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FE56" lockStructure="1"/>
  <bookViews>
    <workbookView xWindow="-15" yWindow="-15" windowWidth="13860" windowHeight="12405" tabRatio="674" activeTab="7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veryHidden" r:id="rId9"/>
    <sheet name="Aop" sheetId="34" state="veryHidden" r:id="rId10"/>
    <sheet name="Podesavanja" sheetId="33" state="veryHidden" r:id="rId11"/>
    <sheet name="Baza" sheetId="35" state="veryHidden" r:id="rId12"/>
    <sheet name="BazaBPK" sheetId="37" state="veryHidden" r:id="rId13"/>
  </sheets>
  <definedNames>
    <definedName name="Datum_Broj">Podesavanja!$H$1</definedName>
    <definedName name="Datum_Format">Podesavanja!$W$1</definedName>
    <definedName name="Datumi_Datum_Aneks">Prevod!$F$55</definedName>
    <definedName name="Datumi_Datum_BPK">Prevod!$F$56</definedName>
    <definedName name="Datumi_Datum_BS">Prevod!$F$51</definedName>
    <definedName name="Datumi_Datum_BTG">Prevod!$F$53</definedName>
    <definedName name="Datumi_Datum_BU">Prevod!$F$52</definedName>
    <definedName name="Datumi_Datum_ODGP">Prevod!$F$54</definedName>
    <definedName name="Godina">Osnovni_podaci!$J$10</definedName>
    <definedName name="ID_Izvjestaj">Podesavanja!$I$1</definedName>
    <definedName name="ID_Jezik">Podesavanja!$B$1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Prevod!$F$89</definedName>
    <definedName name="Kontrola_Obavezno">Prevod!$F$88</definedName>
    <definedName name="Linkovi_Link_Aneks">Prevod!$F$63</definedName>
    <definedName name="Linkovi_Link_BPK">Prevod!$F$64</definedName>
    <definedName name="Linkovi_Link_BS">Prevod!$F$59</definedName>
    <definedName name="Linkovi_Link_BTG">Prevod!$F$62</definedName>
    <definedName name="Linkovi_Link_BU">Prevod!$F$60</definedName>
    <definedName name="Linkovi_Link_ODGP">Prevod!$F$61</definedName>
    <definedName name="Linkovi_Link_Osnovni_podaci">Prevod!$F$58</definedName>
    <definedName name="Linkovi_Link_Uputstvo">Prevod!$F$57</definedName>
    <definedName name="Lookup_Aneks">'04'!$I$19:$K$82</definedName>
    <definedName name="Lookup_BPK">'05'!$E$18:$M$40</definedName>
    <definedName name="Lookup_BS">'01'!$I$20:$M$151</definedName>
    <definedName name="Lookup_BTG">'03'!$I$19:$K$69</definedName>
    <definedName name="Lookup_BUa">'02a'!$I$19:$K$133</definedName>
    <definedName name="Lookup_BUb">'02b'!$I$19:$K$38</definedName>
    <definedName name="Nazivi_bilansa_Aneks">Prevod!$F$48</definedName>
    <definedName name="Nazivi_bilansa_Aneks1">Prevod!$F$49</definedName>
    <definedName name="Nazivi_bilansa_BPK">Prevod!$F$50</definedName>
    <definedName name="Nazivi_bilansa_BS">Prevod!$F$40</definedName>
    <definedName name="Nazivi_bilansa_BS1">Prevod!$F$41</definedName>
    <definedName name="Nazivi_bilansa_BTG">Prevod!$F$46</definedName>
    <definedName name="Nazivi_bilansa_BTG1">Prevod!$F$47</definedName>
    <definedName name="Nazivi_bilansa_BUa">Prevod!$F$42</definedName>
    <definedName name="Nazivi_bilansa_BUa1">Prevod!$F$43</definedName>
    <definedName name="Nazivi_bilansa_BUb">Prevod!$F$44</definedName>
    <definedName name="Nazivi_bilansa_BUb1">Prevod!$F$45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Osnovni_podaci!$J$10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'01'!$C$5:$M$156</definedName>
    <definedName name="_xlnm.Print_Area" localSheetId="3">'02a'!$C$5:$K$138</definedName>
    <definedName name="_xlnm.Print_Area" localSheetId="4">'02b'!$B$5:$K$43</definedName>
    <definedName name="_xlnm.Print_Area" localSheetId="5">'03'!$B$5:$K$74</definedName>
    <definedName name="_xlnm.Print_Area" localSheetId="6">'04'!$B$5:$K$87</definedName>
    <definedName name="_xlnm.Print_Area" localSheetId="7">'05'!$C$5:$M$45</definedName>
    <definedName name="_xlnm.Print_Area" localSheetId="1">Osnovni_podaci!$B$7:$X$127</definedName>
    <definedName name="_xlnm.Print_Area" localSheetId="0">Uputstvo!$B$5:$R$42</definedName>
    <definedName name="_xlnm.Print_Titles" localSheetId="3">'02a'!$16:$17</definedName>
    <definedName name="_xlnm.Print_Titles" localSheetId="5">'03'!$16:$17</definedName>
    <definedName name="_xlnm.Print_Titles" localSheetId="6">'04'!$16:$17</definedName>
    <definedName name="_xlnm.Print_Titles" localSheetId="7">'05'!$15:$16</definedName>
    <definedName name="Revidiran_izvjestaj">Osnovni_podaci!$Y$62</definedName>
    <definedName name="Revizija_Misljenje">Prevod!$F$91</definedName>
    <definedName name="Revizija_Naziv_revizorske_firme">Prevod!$F$93</definedName>
    <definedName name="Revizija_Negativno">Prevod!$F$96</definedName>
    <definedName name="Revizija_Podaci_o_revizorskoj_firmi">Prevod!$F$92</definedName>
    <definedName name="Revizija_Pozitivno">Prevod!$F$94</definedName>
    <definedName name="Revizija_Revidiran_izvjestaj">Prevod!$F$90</definedName>
    <definedName name="Revizija_Sa_rezervom">Prevod!$F$95</definedName>
    <definedName name="Revizija_Uzdrzavanje">Prevod!$F$97</definedName>
    <definedName name="Tabele_Tekuca_godina">Prevod!$F$75</definedName>
    <definedName name="Tabele_zaglavlje_BPK0">Prevod!$F$78</definedName>
    <definedName name="Tabele_zaglavlje_BPK1">Prevod!$F$79</definedName>
    <definedName name="Tabele_zaglavlje_BPK10">Prevod!$F$87</definedName>
    <definedName name="Tabele_zaglavlje_BPK3">Prevod!$F$80</definedName>
    <definedName name="Tabele_zaglavlje_BPK4">Prevod!$F$81</definedName>
    <definedName name="Tabele_zaglavlje_BPK5">Prevod!$F$82</definedName>
    <definedName name="Tabele_zaglavlje_BPK6">Prevod!$F$83</definedName>
    <definedName name="Tabele_zaglavlje_BPK7">Prevod!$F$84</definedName>
    <definedName name="Tabele_zaglavlje_BPK8">Prevod!$F$85</definedName>
    <definedName name="Tabele_zaglavlje_BPK9">Prevod!$F$86</definedName>
    <definedName name="Tabele_zaglavlje_BS_bruto">Prevod!$F$70</definedName>
    <definedName name="Tabele_zaglavlje_BS_ispravka">Prevod!$F$71</definedName>
    <definedName name="Tabele_zaglavlje_BS_iznos_prethodna">Prevod!$F$73</definedName>
    <definedName name="Tabele_zaglavlje_BS_iznos_tekuca">Prevod!$F$69</definedName>
    <definedName name="Tabele_zaglavlje_BS_neto">Prevod!$F$72</definedName>
    <definedName name="Tabele_zaglavlje_Grupa_racuna">Prevod!$F$65</definedName>
    <definedName name="Tabele_zaglavlje_Iznos">Prevod!$F$74</definedName>
    <definedName name="Tabele_zaglavlje_Oznaka_aop">Prevod!$F$67</definedName>
    <definedName name="Tabele_zaglavlje_Pozicija">Prevod!$F$66</definedName>
    <definedName name="Tabele_zaglavlje_Prethodna_godina">Prevod!$F$76</definedName>
    <definedName name="Tabele_zaglavlje_Redni_broj">Prevod!$F$68</definedName>
    <definedName name="Tabele_zaglavlje_Tekuca_godina">Prevod!$F$75</definedName>
    <definedName name="Tabele_zaglavlje_Valuta">Prevod!$F$77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45621"/>
</workbook>
</file>

<file path=xl/calcChain.xml><?xml version="1.0" encoding="utf-8"?>
<calcChain xmlns="http://schemas.openxmlformats.org/spreadsheetml/2006/main">
  <c r="B69" i="32" l="1"/>
  <c r="F93" i="31"/>
  <c r="G93" i="31"/>
  <c r="H93" i="31"/>
  <c r="AA37" i="32"/>
  <c r="AB37" i="32" s="1"/>
  <c r="AA35" i="32"/>
  <c r="AB35" i="32" s="1"/>
  <c r="AA33" i="32"/>
  <c r="AB33" i="32"/>
  <c r="AA31" i="32"/>
  <c r="AB31" i="32" s="1"/>
  <c r="AA29" i="32"/>
  <c r="Y29" i="32" s="1"/>
  <c r="AA27" i="32"/>
  <c r="Y27" i="32" s="1"/>
  <c r="AA10" i="32"/>
  <c r="C1" i="33"/>
  <c r="H1" i="33"/>
  <c r="X1" i="33"/>
  <c r="O6" i="33" a="1"/>
  <c r="O6" i="33" s="1"/>
  <c r="U3" i="33"/>
  <c r="T3" i="33"/>
  <c r="W1" i="33"/>
  <c r="H3" i="33"/>
  <c r="H4" i="33"/>
  <c r="H5" i="33"/>
  <c r="H6" i="33"/>
  <c r="D12" i="32" s="1"/>
  <c r="AB12" i="32" s="1"/>
  <c r="U1" i="33"/>
  <c r="V1" i="33"/>
  <c r="AA54" i="32"/>
  <c r="AA52" i="32"/>
  <c r="Y52" i="32" s="1"/>
  <c r="AA49" i="32"/>
  <c r="Y49" i="32" s="1"/>
  <c r="AB49" i="32" s="1"/>
  <c r="AA47" i="32"/>
  <c r="Y47" i="32" s="1"/>
  <c r="AB47" i="32" s="1"/>
  <c r="AA45" i="32"/>
  <c r="Y45" i="32"/>
  <c r="AB45" i="32" s="1"/>
  <c r="AA40" i="32"/>
  <c r="Y40" i="32" s="1"/>
  <c r="AB40" i="32" s="1"/>
  <c r="AA22" i="32"/>
  <c r="Y22" i="32" s="1"/>
  <c r="AB22" i="32" s="1"/>
  <c r="AA20" i="32"/>
  <c r="Y20" i="32" s="1"/>
  <c r="AB20" i="32" s="1"/>
  <c r="AA17" i="32"/>
  <c r="Y17" i="32" s="1"/>
  <c r="AB17" i="32" s="1"/>
  <c r="F20" i="31"/>
  <c r="B12" i="32" s="1"/>
  <c r="G20" i="31"/>
  <c r="H20" i="31"/>
  <c r="F25" i="31"/>
  <c r="G25" i="31"/>
  <c r="H25" i="31"/>
  <c r="T1" i="33"/>
  <c r="V4" i="33"/>
  <c r="W4" i="33"/>
  <c r="V5" i="33"/>
  <c r="W5" i="33" s="1"/>
  <c r="V6" i="33"/>
  <c r="W6" i="33"/>
  <c r="F32" i="31"/>
  <c r="B76" i="32" s="1"/>
  <c r="G32" i="31"/>
  <c r="H32" i="31"/>
  <c r="F17" i="31"/>
  <c r="B7" i="32" s="1"/>
  <c r="G17" i="31"/>
  <c r="H17" i="31"/>
  <c r="F94" i="31"/>
  <c r="F3" i="33"/>
  <c r="F1" i="33"/>
  <c r="F95" i="31"/>
  <c r="F4" i="33"/>
  <c r="F96" i="31"/>
  <c r="F5" i="33"/>
  <c r="F97" i="31"/>
  <c r="F6" i="33"/>
  <c r="G94" i="31"/>
  <c r="G95" i="31"/>
  <c r="G96" i="31"/>
  <c r="G97" i="31"/>
  <c r="H94" i="31"/>
  <c r="H95" i="31"/>
  <c r="H96" i="31"/>
  <c r="H97" i="31"/>
  <c r="F91" i="31"/>
  <c r="B64" i="32"/>
  <c r="F92" i="31"/>
  <c r="B66" i="32"/>
  <c r="G91" i="31"/>
  <c r="G92" i="31"/>
  <c r="H91" i="31"/>
  <c r="H92" i="31"/>
  <c r="F90" i="31"/>
  <c r="B62" i="32"/>
  <c r="G90" i="31"/>
  <c r="H90" i="31"/>
  <c r="F37" i="31"/>
  <c r="B47" i="32" s="1"/>
  <c r="G37" i="31"/>
  <c r="H37" i="31"/>
  <c r="F8" i="31"/>
  <c r="D7" i="32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A74" i="32"/>
  <c r="Y74" i="32" s="1"/>
  <c r="Z74" i="32"/>
  <c r="AA72" i="32"/>
  <c r="Y72" i="32" s="1"/>
  <c r="AA70" i="32"/>
  <c r="Y70" i="32"/>
  <c r="J8" i="32"/>
  <c r="AA8" i="32" s="1"/>
  <c r="Y8" i="32"/>
  <c r="AA60" i="32"/>
  <c r="Y60" i="32" s="1"/>
  <c r="AB60" i="32" s="1"/>
  <c r="AA58" i="32"/>
  <c r="Y58" i="32"/>
  <c r="AA56" i="32"/>
  <c r="Y56" i="32" s="1"/>
  <c r="AB56" i="32" s="1"/>
  <c r="Y54" i="32"/>
  <c r="Y43" i="32"/>
  <c r="Y37" i="32"/>
  <c r="Y33" i="32"/>
  <c r="AA15" i="32"/>
  <c r="Y15" i="32" s="1"/>
  <c r="AA24" i="32"/>
  <c r="Y24" i="32" s="1"/>
  <c r="Z24" i="32" s="1"/>
  <c r="Y10" i="32"/>
  <c r="Z10" i="32"/>
  <c r="F89" i="31"/>
  <c r="G89" i="31"/>
  <c r="H89" i="31"/>
  <c r="F88" i="31"/>
  <c r="G88" i="31"/>
  <c r="H88" i="31"/>
  <c r="F2" i="31"/>
  <c r="B14" i="32" s="1"/>
  <c r="F3" i="31"/>
  <c r="B39" i="32" s="1"/>
  <c r="F4" i="31"/>
  <c r="F5" i="31"/>
  <c r="B26" i="32" s="1"/>
  <c r="F7" i="31"/>
  <c r="F11" i="31"/>
  <c r="F12" i="31"/>
  <c r="B54" i="32" s="1"/>
  <c r="F13" i="31"/>
  <c r="B56" i="32" s="1"/>
  <c r="F14" i="31"/>
  <c r="B58" i="32"/>
  <c r="F15" i="31"/>
  <c r="B60" i="32" s="1"/>
  <c r="F16" i="31"/>
  <c r="F18" i="31"/>
  <c r="B8" i="32" s="1"/>
  <c r="F19" i="31"/>
  <c r="B10" i="32" s="1"/>
  <c r="F21" i="31"/>
  <c r="J3" i="33" s="1"/>
  <c r="F22" i="31"/>
  <c r="F23" i="31"/>
  <c r="J5" i="33"/>
  <c r="F24" i="31"/>
  <c r="J6" i="33" s="1"/>
  <c r="F26" i="31"/>
  <c r="B119" i="32"/>
  <c r="B67" i="32"/>
  <c r="F27" i="31"/>
  <c r="F28" i="31"/>
  <c r="B121" i="32"/>
  <c r="F29" i="31"/>
  <c r="B124" i="32"/>
  <c r="B72" i="32"/>
  <c r="F30" i="31"/>
  <c r="B126" i="32"/>
  <c r="F31" i="31"/>
  <c r="F33" i="31"/>
  <c r="B118" i="32"/>
  <c r="F34" i="31"/>
  <c r="F35" i="31"/>
  <c r="B43" i="32"/>
  <c r="F36" i="31"/>
  <c r="F38" i="31"/>
  <c r="B49" i="32"/>
  <c r="F39" i="31"/>
  <c r="H43" i="10" s="1"/>
  <c r="F40" i="31"/>
  <c r="F41" i="31"/>
  <c r="C13" i="1"/>
  <c r="F42" i="31"/>
  <c r="C12" i="2" s="1"/>
  <c r="F43" i="31"/>
  <c r="C13" i="2"/>
  <c r="F44" i="31"/>
  <c r="C12" i="36" s="1"/>
  <c r="F45" i="31"/>
  <c r="F46" i="31"/>
  <c r="C12" i="8" s="1"/>
  <c r="F47" i="31"/>
  <c r="C13" i="8"/>
  <c r="F48" i="31"/>
  <c r="C12" i="14" s="1"/>
  <c r="F49" i="31"/>
  <c r="C13" i="14" s="1"/>
  <c r="F50" i="31"/>
  <c r="C12" i="10"/>
  <c r="F57" i="31"/>
  <c r="F58" i="31"/>
  <c r="F59" i="31"/>
  <c r="F60" i="31"/>
  <c r="F61" i="31"/>
  <c r="F62" i="31"/>
  <c r="F63" i="31"/>
  <c r="F64" i="31"/>
  <c r="F65" i="31"/>
  <c r="C16" i="36" s="1"/>
  <c r="F66" i="31"/>
  <c r="F67" i="31"/>
  <c r="I16" i="8" s="1"/>
  <c r="F68" i="31"/>
  <c r="C15" i="10" s="1"/>
  <c r="F69" i="31"/>
  <c r="F70" i="31"/>
  <c r="F71" i="31"/>
  <c r="F72" i="31"/>
  <c r="F73" i="31"/>
  <c r="M85" i="1"/>
  <c r="F74" i="31"/>
  <c r="J16" i="14" s="1"/>
  <c r="F75" i="31"/>
  <c r="F76" i="31"/>
  <c r="K17" i="36" s="1"/>
  <c r="F77" i="31"/>
  <c r="F78" i="31"/>
  <c r="E15" i="10"/>
  <c r="F79" i="31"/>
  <c r="F80" i="31"/>
  <c r="F16" i="10" s="1"/>
  <c r="F81" i="31"/>
  <c r="G16" i="10" s="1"/>
  <c r="F82" i="31"/>
  <c r="H16" i="10"/>
  <c r="F83" i="31"/>
  <c r="I16" i="10" s="1"/>
  <c r="F84" i="31"/>
  <c r="J16" i="10" s="1"/>
  <c r="F85" i="31"/>
  <c r="K16" i="10" s="1"/>
  <c r="F86" i="31"/>
  <c r="L15" i="10"/>
  <c r="F87" i="31"/>
  <c r="M15" i="10" s="1"/>
  <c r="G21" i="10"/>
  <c r="G29" i="10" s="1"/>
  <c r="G32" i="10" s="1"/>
  <c r="G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E21" i="37"/>
  <c r="E22" i="37"/>
  <c r="E23" i="37"/>
  <c r="E24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8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7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1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4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6" i="35"/>
  <c r="F217" i="35"/>
  <c r="F218" i="35"/>
  <c r="F219" i="35"/>
  <c r="F220" i="35"/>
  <c r="F221" i="35"/>
  <c r="F222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6" i="35"/>
  <c r="F247" i="35"/>
  <c r="F248" i="35"/>
  <c r="F249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2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0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F355" i="35"/>
  <c r="F356" i="35"/>
  <c r="F357" i="35"/>
  <c r="F358" i="35"/>
  <c r="F359" i="35"/>
  <c r="F360" i="35"/>
  <c r="F361" i="35"/>
  <c r="F362" i="35"/>
  <c r="F363" i="35"/>
  <c r="F364" i="35"/>
  <c r="F365" i="35"/>
  <c r="F366" i="35"/>
  <c r="G33" i="31"/>
  <c r="H33" i="31"/>
  <c r="A365" i="34"/>
  <c r="K57" i="14"/>
  <c r="K46" i="14"/>
  <c r="K26" i="14"/>
  <c r="K19" i="14"/>
  <c r="J57" i="14"/>
  <c r="J46" i="14"/>
  <c r="J26" i="14"/>
  <c r="J19" i="1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E360" i="34" s="1"/>
  <c r="C62" i="14" s="1"/>
  <c r="A361" i="34"/>
  <c r="A362" i="34"/>
  <c r="A363" i="34"/>
  <c r="A364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M110" i="1"/>
  <c r="L110" i="1"/>
  <c r="J27" i="36"/>
  <c r="J20" i="36"/>
  <c r="K39" i="10"/>
  <c r="M39" i="10" s="1"/>
  <c r="K38" i="10"/>
  <c r="M38" i="10" s="1"/>
  <c r="K37" i="10"/>
  <c r="M37" i="10" s="1"/>
  <c r="K36" i="10"/>
  <c r="M36" i="10"/>
  <c r="K35" i="10"/>
  <c r="M35" i="10" s="1"/>
  <c r="K34" i="10"/>
  <c r="M34" i="10" s="1"/>
  <c r="K33" i="10"/>
  <c r="M33" i="10" s="1"/>
  <c r="K31" i="10"/>
  <c r="M31" i="10"/>
  <c r="K30" i="10"/>
  <c r="M30" i="10" s="1"/>
  <c r="K28" i="10"/>
  <c r="M28" i="10" s="1"/>
  <c r="K27" i="10"/>
  <c r="M27" i="10" s="1"/>
  <c r="K26" i="10"/>
  <c r="M26" i="10"/>
  <c r="K25" i="10"/>
  <c r="M25" i="10" s="1"/>
  <c r="K24" i="10"/>
  <c r="M24" i="10" s="1"/>
  <c r="K23" i="10"/>
  <c r="M23" i="10" s="1"/>
  <c r="K22" i="10"/>
  <c r="M22" i="10"/>
  <c r="K20" i="10"/>
  <c r="M20" i="10" s="1"/>
  <c r="K19" i="10"/>
  <c r="M19" i="10" s="1"/>
  <c r="L21" i="10"/>
  <c r="L29" i="10" s="1"/>
  <c r="L32" i="10" s="1"/>
  <c r="L40" i="10" s="1"/>
  <c r="J21" i="10"/>
  <c r="J29" i="10" s="1"/>
  <c r="J32" i="10" s="1"/>
  <c r="J40" i="10" s="1"/>
  <c r="I21" i="10"/>
  <c r="I29" i="10" s="1"/>
  <c r="I32" i="10" s="1"/>
  <c r="I40" i="10" s="1"/>
  <c r="H21" i="10"/>
  <c r="H29" i="10" s="1"/>
  <c r="H32" i="10" s="1"/>
  <c r="H40" i="10" s="1"/>
  <c r="K18" i="10"/>
  <c r="M18" i="10" s="1"/>
  <c r="F21" i="10"/>
  <c r="F29" i="10" s="1"/>
  <c r="L90" i="1"/>
  <c r="M136" i="1"/>
  <c r="M131" i="1"/>
  <c r="M121" i="1"/>
  <c r="M113" i="1"/>
  <c r="M105" i="1"/>
  <c r="M99" i="1"/>
  <c r="M90" i="1"/>
  <c r="D15" i="10"/>
  <c r="G79" i="31"/>
  <c r="G80" i="31"/>
  <c r="G81" i="31"/>
  <c r="G82" i="31"/>
  <c r="G83" i="31"/>
  <c r="G84" i="31"/>
  <c r="G85" i="31"/>
  <c r="G86" i="31"/>
  <c r="G87" i="31"/>
  <c r="H79" i="31"/>
  <c r="H80" i="31"/>
  <c r="H81" i="31"/>
  <c r="H82" i="31"/>
  <c r="H83" i="31"/>
  <c r="H84" i="31"/>
  <c r="H85" i="31"/>
  <c r="H86" i="31"/>
  <c r="H87" i="31"/>
  <c r="G78" i="31"/>
  <c r="H78" i="31"/>
  <c r="L105" i="1"/>
  <c r="L99" i="1"/>
  <c r="L82" i="1"/>
  <c r="L79" i="1"/>
  <c r="L78" i="1"/>
  <c r="L77" i="1"/>
  <c r="L76" i="1"/>
  <c r="L75" i="1"/>
  <c r="L73" i="1"/>
  <c r="L72" i="1"/>
  <c r="L71" i="1"/>
  <c r="L70" i="1"/>
  <c r="L69" i="1"/>
  <c r="L68" i="1"/>
  <c r="L67" i="1"/>
  <c r="L66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102" i="2"/>
  <c r="K92" i="2"/>
  <c r="K78" i="2"/>
  <c r="K67" i="2"/>
  <c r="K58" i="2"/>
  <c r="K51" i="2"/>
  <c r="K42" i="2"/>
  <c r="K38" i="2"/>
  <c r="K35" i="2" s="1"/>
  <c r="K126" i="2" s="1"/>
  <c r="K25" i="2"/>
  <c r="K21" i="2"/>
  <c r="J42" i="2"/>
  <c r="J38" i="2"/>
  <c r="J35" i="2" s="1"/>
  <c r="L113" i="1"/>
  <c r="L121" i="1"/>
  <c r="L136" i="1"/>
  <c r="L131" i="1"/>
  <c r="L130" i="1" s="1"/>
  <c r="L120" i="1" s="1"/>
  <c r="K27" i="36"/>
  <c r="K33" i="36"/>
  <c r="K35" i="36" s="1"/>
  <c r="K20" i="36"/>
  <c r="G68" i="31"/>
  <c r="H68" i="31"/>
  <c r="G7" i="31"/>
  <c r="H7" i="31"/>
  <c r="C13" i="36"/>
  <c r="G44" i="31"/>
  <c r="G45" i="31"/>
  <c r="H44" i="31"/>
  <c r="H45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0" i="31"/>
  <c r="G41" i="31"/>
  <c r="G42" i="31"/>
  <c r="G43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9" i="31"/>
  <c r="G70" i="31"/>
  <c r="G71" i="31"/>
  <c r="G72" i="31"/>
  <c r="G73" i="31"/>
  <c r="G74" i="31"/>
  <c r="G75" i="31"/>
  <c r="G76" i="31"/>
  <c r="G77" i="31"/>
  <c r="A3" i="34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E299" i="34" s="1"/>
  <c r="A203" i="34"/>
  <c r="A204" i="34"/>
  <c r="A205" i="34"/>
  <c r="A206" i="34"/>
  <c r="A207" i="34"/>
  <c r="A208" i="34"/>
  <c r="A209" i="34"/>
  <c r="A210" i="34"/>
  <c r="E210" i="34" s="1"/>
  <c r="A211" i="34"/>
  <c r="A212" i="34"/>
  <c r="A213" i="34"/>
  <c r="A214" i="34"/>
  <c r="A215" i="34"/>
  <c r="A216" i="34"/>
  <c r="A217" i="34"/>
  <c r="A218" i="34"/>
  <c r="F218" i="34" s="1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E234" i="34" s="1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F250" i="34" s="1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E266" i="34" s="1"/>
  <c r="A267" i="34"/>
  <c r="A268" i="34"/>
  <c r="A269" i="34"/>
  <c r="A270" i="34"/>
  <c r="A271" i="34"/>
  <c r="A272" i="34"/>
  <c r="A273" i="34"/>
  <c r="A274" i="34"/>
  <c r="F274" i="34" s="1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F286" i="34" s="1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F306" i="34" s="1"/>
  <c r="A307" i="34"/>
  <c r="A308" i="34"/>
  <c r="A309" i="34"/>
  <c r="A310" i="34"/>
  <c r="A311" i="34"/>
  <c r="A312" i="34"/>
  <c r="A313" i="34"/>
  <c r="A314" i="34"/>
  <c r="F314" i="34" s="1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E330" i="34" s="1"/>
  <c r="A331" i="34"/>
  <c r="A332" i="34"/>
  <c r="A333" i="34"/>
  <c r="A334" i="34"/>
  <c r="A335" i="34"/>
  <c r="A336" i="34"/>
  <c r="A337" i="34"/>
  <c r="A338" i="34"/>
  <c r="F338" i="34" s="1"/>
  <c r="A339" i="34"/>
  <c r="A340" i="34"/>
  <c r="A341" i="34"/>
  <c r="A342" i="34"/>
  <c r="A343" i="34"/>
  <c r="A344" i="34"/>
  <c r="A345" i="34"/>
  <c r="A346" i="34"/>
  <c r="A347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A402" i="34"/>
  <c r="A403" i="34"/>
  <c r="A2" i="34"/>
  <c r="M74" i="1"/>
  <c r="K74" i="1"/>
  <c r="J74" i="1"/>
  <c r="B52" i="32"/>
  <c r="B5" i="32"/>
  <c r="J4" i="33"/>
  <c r="K5" i="10"/>
  <c r="B45" i="32"/>
  <c r="C12" i="1"/>
  <c r="D16" i="36"/>
  <c r="J17" i="1"/>
  <c r="K17" i="1"/>
  <c r="L17" i="1"/>
  <c r="J17" i="14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0" i="31"/>
  <c r="H41" i="31"/>
  <c r="H42" i="31"/>
  <c r="H43" i="31"/>
  <c r="H46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9" i="31"/>
  <c r="H70" i="31"/>
  <c r="H71" i="31"/>
  <c r="H72" i="31"/>
  <c r="H73" i="31"/>
  <c r="H74" i="31"/>
  <c r="H75" i="31"/>
  <c r="H76" i="31"/>
  <c r="H77" i="31"/>
  <c r="J25" i="2"/>
  <c r="J58" i="2"/>
  <c r="J51" i="2"/>
  <c r="J102" i="2"/>
  <c r="J21" i="2"/>
  <c r="J20" i="2" s="1"/>
  <c r="J92" i="2"/>
  <c r="J21" i="1"/>
  <c r="J20" i="1" s="1"/>
  <c r="K59" i="1"/>
  <c r="J78" i="2"/>
  <c r="J67" i="2"/>
  <c r="K27" i="1"/>
  <c r="J53" i="8"/>
  <c r="J48" i="8"/>
  <c r="J40" i="8"/>
  <c r="J33" i="8"/>
  <c r="J24" i="8"/>
  <c r="J20" i="8"/>
  <c r="J30" i="8" s="1"/>
  <c r="J40" i="1"/>
  <c r="J34" i="1"/>
  <c r="J27" i="1"/>
  <c r="J51" i="1"/>
  <c r="J65" i="1"/>
  <c r="J59" i="1"/>
  <c r="M21" i="1"/>
  <c r="K21" i="1"/>
  <c r="K20" i="8"/>
  <c r="K24" i="8"/>
  <c r="K33" i="8"/>
  <c r="K40" i="8"/>
  <c r="K48" i="8"/>
  <c r="K53" i="8"/>
  <c r="K60" i="8" s="1"/>
  <c r="M27" i="1"/>
  <c r="K34" i="1"/>
  <c r="M34" i="1"/>
  <c r="K40" i="1"/>
  <c r="L40" i="1" s="1"/>
  <c r="M40" i="1"/>
  <c r="K51" i="1"/>
  <c r="M51" i="1"/>
  <c r="M59" i="1"/>
  <c r="M58" i="1" s="1"/>
  <c r="K65" i="1"/>
  <c r="L65" i="1"/>
  <c r="M65" i="1"/>
  <c r="L74" i="1"/>
  <c r="E344" i="34"/>
  <c r="C46" i="14" s="1"/>
  <c r="F315" i="34"/>
  <c r="E307" i="34"/>
  <c r="F247" i="34"/>
  <c r="E167" i="34"/>
  <c r="I115" i="1"/>
  <c r="E342" i="34"/>
  <c r="E306" i="34"/>
  <c r="E282" i="34"/>
  <c r="E278" i="34"/>
  <c r="E289" i="34"/>
  <c r="E241" i="34"/>
  <c r="E117" i="34"/>
  <c r="C138" i="1" s="1"/>
  <c r="F93" i="34"/>
  <c r="E69" i="34"/>
  <c r="F57" i="34"/>
  <c r="F37" i="34"/>
  <c r="E21" i="34"/>
  <c r="F13" i="34"/>
  <c r="D30" i="1"/>
  <c r="F308" i="34"/>
  <c r="F304" i="34"/>
  <c r="F288" i="34"/>
  <c r="F272" i="34"/>
  <c r="F264" i="34"/>
  <c r="F248" i="34"/>
  <c r="E216" i="34"/>
  <c r="F212" i="34"/>
  <c r="D100" i="2" s="1"/>
  <c r="F188" i="34"/>
  <c r="E176" i="34"/>
  <c r="E168" i="34"/>
  <c r="E164" i="34"/>
  <c r="E148" i="34"/>
  <c r="F144" i="34"/>
  <c r="E136" i="34"/>
  <c r="E116" i="34"/>
  <c r="E108" i="34"/>
  <c r="F92" i="34"/>
  <c r="F88" i="34"/>
  <c r="D109" i="1"/>
  <c r="E76" i="34"/>
  <c r="C97" i="1" s="1"/>
  <c r="E72" i="34"/>
  <c r="F56" i="34"/>
  <c r="D73" i="1" s="1"/>
  <c r="E52" i="34"/>
  <c r="E40" i="34"/>
  <c r="F36" i="34"/>
  <c r="E36" i="34"/>
  <c r="C53" i="1"/>
  <c r="F24" i="34"/>
  <c r="D41" i="1" s="1"/>
  <c r="E20" i="34"/>
  <c r="E288" i="34"/>
  <c r="E256" i="34"/>
  <c r="C29" i="36"/>
  <c r="E63" i="34"/>
  <c r="F131" i="34"/>
  <c r="D19" i="2"/>
  <c r="F127" i="34"/>
  <c r="F123" i="34"/>
  <c r="F107" i="34"/>
  <c r="D128" i="1"/>
  <c r="F103" i="34"/>
  <c r="D124" i="1" s="1"/>
  <c r="F83" i="34"/>
  <c r="F51" i="34"/>
  <c r="D68" i="1" s="1"/>
  <c r="E43" i="34"/>
  <c r="C60" i="1" s="1"/>
  <c r="E35" i="34"/>
  <c r="C52" i="1" s="1"/>
  <c r="F31" i="34"/>
  <c r="D48" i="1"/>
  <c r="F19" i="34"/>
  <c r="D36" i="1" s="1"/>
  <c r="F15" i="34"/>
  <c r="E11" i="34"/>
  <c r="F3" i="34"/>
  <c r="E292" i="34"/>
  <c r="C45" i="8" s="1"/>
  <c r="E276" i="34"/>
  <c r="C29" i="8"/>
  <c r="E107" i="34"/>
  <c r="C128" i="1"/>
  <c r="E91" i="34"/>
  <c r="C112" i="1"/>
  <c r="F330" i="34"/>
  <c r="F326" i="34"/>
  <c r="D67" i="8"/>
  <c r="F310" i="34"/>
  <c r="D63" i="8"/>
  <c r="D59" i="8"/>
  <c r="F302" i="34"/>
  <c r="D39" i="8"/>
  <c r="F282" i="34"/>
  <c r="F266" i="34"/>
  <c r="D19" i="8" s="1"/>
  <c r="F254" i="34"/>
  <c r="D27" i="36" s="1"/>
  <c r="F238" i="34"/>
  <c r="D126" i="2"/>
  <c r="F234" i="34"/>
  <c r="D122" i="2"/>
  <c r="F230" i="34"/>
  <c r="F222" i="34"/>
  <c r="D110" i="2" s="1"/>
  <c r="E218" i="34"/>
  <c r="F210" i="34"/>
  <c r="C98" i="2"/>
  <c r="F206" i="34"/>
  <c r="D94" i="2"/>
  <c r="F198" i="34"/>
  <c r="D86" i="2"/>
  <c r="F194" i="34"/>
  <c r="D82" i="2" s="1"/>
  <c r="F186" i="34"/>
  <c r="D74" i="2" s="1"/>
  <c r="E186" i="34"/>
  <c r="C74" i="2" s="1"/>
  <c r="F174" i="34"/>
  <c r="F170" i="34"/>
  <c r="D58" i="2" s="1"/>
  <c r="E170" i="34"/>
  <c r="F162" i="34"/>
  <c r="D50" i="2" s="1"/>
  <c r="E162" i="34"/>
  <c r="C50" i="2" s="1"/>
  <c r="F158" i="34"/>
  <c r="E154" i="34"/>
  <c r="C42" i="2" s="1"/>
  <c r="F150" i="34"/>
  <c r="D38" i="2"/>
  <c r="F146" i="34"/>
  <c r="F142" i="34"/>
  <c r="D30" i="2"/>
  <c r="F138" i="34"/>
  <c r="D26" i="2" s="1"/>
  <c r="E138" i="34"/>
  <c r="F130" i="34"/>
  <c r="D151" i="1"/>
  <c r="E130" i="34"/>
  <c r="C151" i="1"/>
  <c r="F126" i="34"/>
  <c r="E122" i="34"/>
  <c r="C143" i="1" s="1"/>
  <c r="F118" i="34"/>
  <c r="D139" i="1" s="1"/>
  <c r="F114" i="34"/>
  <c r="F110" i="34"/>
  <c r="D131" i="1"/>
  <c r="F106" i="34"/>
  <c r="D127" i="1" s="1"/>
  <c r="E106" i="34"/>
  <c r="F98" i="34"/>
  <c r="D119" i="1" s="1"/>
  <c r="E98" i="34"/>
  <c r="C119" i="1" s="1"/>
  <c r="F94" i="34"/>
  <c r="E90" i="34"/>
  <c r="C111" i="1"/>
  <c r="F86" i="34"/>
  <c r="D107" i="1" s="1"/>
  <c r="F82" i="34"/>
  <c r="F78" i="34"/>
  <c r="D99" i="1" s="1"/>
  <c r="F74" i="34"/>
  <c r="D95" i="1" s="1"/>
  <c r="E74" i="34"/>
  <c r="F66" i="34"/>
  <c r="D83" i="1" s="1"/>
  <c r="E66" i="34"/>
  <c r="C83" i="1"/>
  <c r="F62" i="34"/>
  <c r="E58" i="34"/>
  <c r="C75" i="1" s="1"/>
  <c r="F54" i="34"/>
  <c r="D71" i="1" s="1"/>
  <c r="F50" i="34"/>
  <c r="F46" i="34"/>
  <c r="D63" i="1"/>
  <c r="F42" i="34"/>
  <c r="D59" i="1"/>
  <c r="E42" i="34"/>
  <c r="F34" i="34"/>
  <c r="D51" i="1" s="1"/>
  <c r="E34" i="34"/>
  <c r="C51" i="1" s="1"/>
  <c r="F30" i="34"/>
  <c r="E26" i="34"/>
  <c r="C43" i="1"/>
  <c r="F22" i="34"/>
  <c r="D39" i="1" s="1"/>
  <c r="F18" i="34"/>
  <c r="F14" i="34"/>
  <c r="D31" i="1" s="1"/>
  <c r="F10" i="34"/>
  <c r="D27" i="1" s="1"/>
  <c r="E10" i="34"/>
  <c r="E334" i="34"/>
  <c r="C36" i="14" s="1"/>
  <c r="E328" i="34"/>
  <c r="C30" i="14" s="1"/>
  <c r="E318" i="34"/>
  <c r="E296" i="34"/>
  <c r="C49" i="8" s="1"/>
  <c r="E286" i="34"/>
  <c r="C39" i="8" s="1"/>
  <c r="E270" i="34"/>
  <c r="E254" i="34"/>
  <c r="C27" i="36" s="1"/>
  <c r="E238" i="34"/>
  <c r="C126" i="2"/>
  <c r="E232" i="34"/>
  <c r="E103" i="34"/>
  <c r="C124" i="1" s="1"/>
  <c r="E87" i="34"/>
  <c r="C108" i="1"/>
  <c r="E71" i="34"/>
  <c r="F8" i="34"/>
  <c r="D25" i="1"/>
  <c r="F4" i="34"/>
  <c r="D21" i="1"/>
  <c r="E8" i="34"/>
  <c r="D16" i="1"/>
  <c r="D16" i="2"/>
  <c r="K17" i="2"/>
  <c r="C16" i="1"/>
  <c r="I46" i="2"/>
  <c r="F79" i="34"/>
  <c r="F59" i="34"/>
  <c r="D76" i="1" s="1"/>
  <c r="M130" i="1"/>
  <c r="M120" i="1" s="1"/>
  <c r="K58" i="1"/>
  <c r="F63" i="34"/>
  <c r="I30" i="14"/>
  <c r="I46" i="14"/>
  <c r="I23" i="36"/>
  <c r="I33" i="36"/>
  <c r="I37" i="36"/>
  <c r="I19" i="14"/>
  <c r="I43" i="14"/>
  <c r="I47" i="14"/>
  <c r="I24" i="36"/>
  <c r="I30" i="36"/>
  <c r="I34" i="36"/>
  <c r="I32" i="14"/>
  <c r="I36" i="14"/>
  <c r="I40" i="14"/>
  <c r="I44" i="14"/>
  <c r="I19" i="36"/>
  <c r="I35" i="36"/>
  <c r="E37" i="10"/>
  <c r="E25" i="10"/>
  <c r="E21" i="10"/>
  <c r="E40" i="10"/>
  <c r="E39" i="10"/>
  <c r="E35" i="10"/>
  <c r="E31" i="10"/>
  <c r="E27" i="10"/>
  <c r="E23" i="10"/>
  <c r="E22" i="10"/>
  <c r="I21" i="14"/>
  <c r="I25" i="14"/>
  <c r="I29" i="14"/>
  <c r="I41" i="14"/>
  <c r="I26" i="36"/>
  <c r="I28" i="36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9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6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67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128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68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C7" i="14"/>
  <c r="C7" i="2"/>
  <c r="C7" i="8"/>
  <c r="J16" i="36"/>
  <c r="C11" i="14"/>
  <c r="H154" i="1"/>
  <c r="C11" i="1"/>
  <c r="J16" i="8"/>
  <c r="C5" i="36"/>
  <c r="H84" i="14"/>
  <c r="C5" i="1"/>
  <c r="C5" i="2"/>
  <c r="J16" i="2"/>
  <c r="C7" i="1"/>
  <c r="C5" i="8"/>
  <c r="C11" i="8"/>
  <c r="C7" i="36"/>
  <c r="C5" i="14"/>
  <c r="L80" i="1"/>
  <c r="H74" i="8"/>
  <c r="J154" i="1"/>
  <c r="D16" i="14"/>
  <c r="C11" i="36"/>
  <c r="H73" i="8"/>
  <c r="K17" i="14"/>
  <c r="D16" i="8"/>
  <c r="C6" i="36"/>
  <c r="D85" i="1"/>
  <c r="K17" i="8"/>
  <c r="I59" i="8"/>
  <c r="I37" i="8"/>
  <c r="I65" i="2"/>
  <c r="I33" i="2"/>
  <c r="I62" i="2"/>
  <c r="I78" i="1"/>
  <c r="I62" i="1"/>
  <c r="I46" i="1"/>
  <c r="I30" i="1"/>
  <c r="I124" i="2"/>
  <c r="I21" i="2"/>
  <c r="I138" i="1"/>
  <c r="I122" i="1"/>
  <c r="I106" i="1"/>
  <c r="I90" i="1"/>
  <c r="I112" i="2"/>
  <c r="I91" i="2"/>
  <c r="I70" i="2"/>
  <c r="I48" i="2"/>
  <c r="I145" i="1"/>
  <c r="I76" i="1"/>
  <c r="I60" i="1"/>
  <c r="I44" i="1"/>
  <c r="I127" i="2"/>
  <c r="I106" i="2"/>
  <c r="I23" i="2"/>
  <c r="I140" i="1"/>
  <c r="I108" i="1"/>
  <c r="I92" i="1"/>
  <c r="I71" i="1"/>
  <c r="I41" i="2"/>
  <c r="I19" i="8"/>
  <c r="E83" i="34"/>
  <c r="C104" i="1" s="1"/>
  <c r="I121" i="2"/>
  <c r="I109" i="2"/>
  <c r="I69" i="8"/>
  <c r="I51" i="8"/>
  <c r="F400" i="34"/>
  <c r="D37" i="10"/>
  <c r="F340" i="34"/>
  <c r="D42" i="14" s="1"/>
  <c r="E332" i="34"/>
  <c r="C34" i="14" s="1"/>
  <c r="E391" i="34"/>
  <c r="C28" i="10"/>
  <c r="E383" i="34"/>
  <c r="C20" i="10"/>
  <c r="E343" i="34"/>
  <c r="E319" i="34"/>
  <c r="C21" i="14"/>
  <c r="E311" i="34"/>
  <c r="E303" i="34"/>
  <c r="I27" i="8"/>
  <c r="I57" i="2"/>
  <c r="I110" i="2"/>
  <c r="I56" i="2"/>
  <c r="I135" i="1"/>
  <c r="I111" i="1"/>
  <c r="I95" i="1"/>
  <c r="I74" i="1"/>
  <c r="I42" i="1"/>
  <c r="I26" i="1"/>
  <c r="I98" i="2"/>
  <c r="I76" i="2"/>
  <c r="I55" i="2"/>
  <c r="I34" i="2"/>
  <c r="I150" i="1"/>
  <c r="I118" i="1"/>
  <c r="I81" i="1"/>
  <c r="I65" i="1"/>
  <c r="I49" i="1"/>
  <c r="I33" i="1"/>
  <c r="I128" i="2"/>
  <c r="I107" i="2"/>
  <c r="I43" i="2"/>
  <c r="I24" i="2"/>
  <c r="I141" i="1"/>
  <c r="I125" i="1"/>
  <c r="I109" i="1"/>
  <c r="I93" i="1"/>
  <c r="I72" i="1"/>
  <c r="I40" i="1"/>
  <c r="I24" i="1"/>
  <c r="I122" i="2"/>
  <c r="I100" i="2"/>
  <c r="I79" i="2"/>
  <c r="I58" i="2"/>
  <c r="I36" i="2"/>
  <c r="I136" i="1"/>
  <c r="I120" i="1"/>
  <c r="I104" i="1"/>
  <c r="I83" i="1"/>
  <c r="I67" i="1"/>
  <c r="I51" i="1"/>
  <c r="I35" i="1"/>
  <c r="I42" i="8"/>
  <c r="I89" i="2"/>
  <c r="I49" i="2"/>
  <c r="I83" i="2"/>
  <c r="I40" i="2"/>
  <c r="I151" i="1"/>
  <c r="I127" i="1"/>
  <c r="I91" i="1"/>
  <c r="I70" i="1"/>
  <c r="I54" i="1"/>
  <c r="I38" i="1"/>
  <c r="I22" i="1"/>
  <c r="I114" i="2"/>
  <c r="I92" i="2"/>
  <c r="I50" i="2"/>
  <c r="I29" i="2"/>
  <c r="I146" i="1"/>
  <c r="I130" i="1"/>
  <c r="I114" i="1"/>
  <c r="I98" i="1"/>
  <c r="I77" i="1"/>
  <c r="I45" i="1"/>
  <c r="I29" i="1"/>
  <c r="I123" i="2"/>
  <c r="I102" i="2"/>
  <c r="I80" i="2"/>
  <c r="I59" i="2"/>
  <c r="I38" i="2"/>
  <c r="I137" i="1"/>
  <c r="I121" i="1"/>
  <c r="I105" i="1"/>
  <c r="I89" i="1"/>
  <c r="I68" i="1"/>
  <c r="I52" i="1"/>
  <c r="I36" i="1"/>
  <c r="I116" i="2"/>
  <c r="I95" i="2"/>
  <c r="I74" i="2"/>
  <c r="I52" i="2"/>
  <c r="I31" i="2"/>
  <c r="I148" i="1"/>
  <c r="I132" i="1"/>
  <c r="I100" i="1"/>
  <c r="I79" i="1"/>
  <c r="I63" i="1"/>
  <c r="I47" i="1"/>
  <c r="I31" i="1"/>
  <c r="I104" i="2"/>
  <c r="I81" i="2"/>
  <c r="I20" i="8"/>
  <c r="I120" i="2"/>
  <c r="I22" i="8"/>
  <c r="I36" i="8"/>
  <c r="I77" i="2"/>
  <c r="I53" i="8"/>
  <c r="I67" i="8"/>
  <c r="I50" i="8"/>
  <c r="I48" i="8"/>
  <c r="F396" i="34"/>
  <c r="D33" i="10" s="1"/>
  <c r="E388" i="34"/>
  <c r="C25" i="10"/>
  <c r="F336" i="34"/>
  <c r="D38" i="14" s="1"/>
  <c r="E300" i="34"/>
  <c r="C53" i="8"/>
  <c r="E236" i="34"/>
  <c r="C124" i="2"/>
  <c r="E387" i="34"/>
  <c r="C24" i="10"/>
  <c r="E347" i="34"/>
  <c r="C49" i="14"/>
  <c r="E339" i="34"/>
  <c r="C41" i="14"/>
  <c r="E323" i="34"/>
  <c r="C25" i="14" s="1"/>
  <c r="I43" i="1"/>
  <c r="I112" i="1"/>
  <c r="I47" i="2"/>
  <c r="I132" i="2"/>
  <c r="I149" i="1"/>
  <c r="I96" i="2"/>
  <c r="I57" i="1"/>
  <c r="I126" i="1"/>
  <c r="I66" i="2"/>
  <c r="I34" i="1"/>
  <c r="I103" i="1"/>
  <c r="I32" i="8"/>
  <c r="I59" i="1"/>
  <c r="I128" i="1"/>
  <c r="I68" i="2"/>
  <c r="I32" i="1"/>
  <c r="I101" i="1"/>
  <c r="I32" i="2"/>
  <c r="I73" i="1"/>
  <c r="I142" i="1"/>
  <c r="I87" i="2"/>
  <c r="I50" i="1"/>
  <c r="I123" i="1"/>
  <c r="I45" i="2"/>
  <c r="H86" i="14"/>
  <c r="I5" i="14"/>
  <c r="J155" i="1"/>
  <c r="I5" i="2"/>
  <c r="H42" i="36"/>
  <c r="J44" i="10"/>
  <c r="H137" i="2"/>
  <c r="C11" i="10"/>
  <c r="C11" i="2"/>
  <c r="J17" i="2"/>
  <c r="I333" i="35"/>
  <c r="I329" i="35"/>
  <c r="I325" i="35"/>
  <c r="I321" i="35"/>
  <c r="I317" i="35"/>
  <c r="I313" i="35"/>
  <c r="I309" i="35"/>
  <c r="I305" i="35"/>
  <c r="I301" i="35"/>
  <c r="I297" i="35"/>
  <c r="I293" i="35"/>
  <c r="I289" i="35"/>
  <c r="I285" i="35"/>
  <c r="I281" i="35"/>
  <c r="I277" i="35"/>
  <c r="I273" i="35"/>
  <c r="I269" i="35"/>
  <c r="I265" i="35"/>
  <c r="I261" i="35"/>
  <c r="I257" i="35"/>
  <c r="I253" i="35"/>
  <c r="I249" i="35"/>
  <c r="I245" i="35"/>
  <c r="I241" i="35"/>
  <c r="I237" i="35"/>
  <c r="I233" i="35"/>
  <c r="I229" i="35"/>
  <c r="I225" i="35"/>
  <c r="I221" i="35"/>
  <c r="I217" i="35"/>
  <c r="I213" i="35"/>
  <c r="I209" i="35"/>
  <c r="I205" i="35"/>
  <c r="I201" i="35"/>
  <c r="I197" i="35"/>
  <c r="I193" i="35"/>
  <c r="I189" i="35"/>
  <c r="I185" i="35"/>
  <c r="I181" i="35"/>
  <c r="I177" i="35"/>
  <c r="I173" i="35"/>
  <c r="I169" i="35"/>
  <c r="I165" i="35"/>
  <c r="I161" i="35"/>
  <c r="I157" i="35"/>
  <c r="I153" i="35"/>
  <c r="I149" i="35"/>
  <c r="I145" i="35"/>
  <c r="I141" i="35"/>
  <c r="I137" i="35"/>
  <c r="I133" i="35"/>
  <c r="I129" i="35"/>
  <c r="I366" i="35"/>
  <c r="I332" i="35"/>
  <c r="I328" i="35"/>
  <c r="I324" i="35"/>
  <c r="I320" i="35"/>
  <c r="I316" i="35"/>
  <c r="I312" i="35"/>
  <c r="I308" i="35"/>
  <c r="I304" i="35"/>
  <c r="I300" i="35"/>
  <c r="I296" i="35"/>
  <c r="I292" i="35"/>
  <c r="I288" i="35"/>
  <c r="I284" i="35"/>
  <c r="I280" i="35"/>
  <c r="I276" i="35"/>
  <c r="I272" i="35"/>
  <c r="I268" i="35"/>
  <c r="I264" i="35"/>
  <c r="I260" i="35"/>
  <c r="I256" i="35"/>
  <c r="I252" i="35"/>
  <c r="I248" i="35"/>
  <c r="I244" i="35"/>
  <c r="I240" i="35"/>
  <c r="I236" i="35"/>
  <c r="I232" i="35"/>
  <c r="I228" i="35"/>
  <c r="I224" i="35"/>
  <c r="I220" i="35"/>
  <c r="I216" i="35"/>
  <c r="I212" i="35"/>
  <c r="I208" i="35"/>
  <c r="I204" i="35"/>
  <c r="I200" i="35"/>
  <c r="I196" i="35"/>
  <c r="I192" i="35"/>
  <c r="I188" i="35"/>
  <c r="I184" i="35"/>
  <c r="I180" i="35"/>
  <c r="I176" i="35"/>
  <c r="I172" i="35"/>
  <c r="I168" i="35"/>
  <c r="I164" i="35"/>
  <c r="I160" i="35"/>
  <c r="I156" i="35"/>
  <c r="I152" i="35"/>
  <c r="I148" i="35"/>
  <c r="I144" i="35"/>
  <c r="I140" i="35"/>
  <c r="I136" i="35"/>
  <c r="I132" i="35"/>
  <c r="I335" i="35"/>
  <c r="I331" i="35"/>
  <c r="I327" i="35"/>
  <c r="I323" i="35"/>
  <c r="I319" i="35"/>
  <c r="I315" i="35"/>
  <c r="I311" i="35"/>
  <c r="I307" i="35"/>
  <c r="I303" i="35"/>
  <c r="I299" i="35"/>
  <c r="I295" i="35"/>
  <c r="I291" i="35"/>
  <c r="I287" i="35"/>
  <c r="I283" i="35"/>
  <c r="I279" i="35"/>
  <c r="I275" i="35"/>
  <c r="I271" i="35"/>
  <c r="I267" i="35"/>
  <c r="I263" i="35"/>
  <c r="I259" i="35"/>
  <c r="I255" i="35"/>
  <c r="I251" i="35"/>
  <c r="I247" i="35"/>
  <c r="I243" i="35"/>
  <c r="I239" i="35"/>
  <c r="I235" i="35"/>
  <c r="I231" i="35"/>
  <c r="I227" i="35"/>
  <c r="I223" i="35"/>
  <c r="I219" i="35"/>
  <c r="I215" i="35"/>
  <c r="I211" i="35"/>
  <c r="I207" i="35"/>
  <c r="I203" i="35"/>
  <c r="I199" i="35"/>
  <c r="I195" i="35"/>
  <c r="I191" i="35"/>
  <c r="I187" i="35"/>
  <c r="I183" i="35"/>
  <c r="I179" i="35"/>
  <c r="I175" i="35"/>
  <c r="I171" i="35"/>
  <c r="I167" i="35"/>
  <c r="I163" i="35"/>
  <c r="I159" i="35"/>
  <c r="I155" i="35"/>
  <c r="I151" i="35"/>
  <c r="I147" i="35"/>
  <c r="I143" i="35"/>
  <c r="I139" i="35"/>
  <c r="I135" i="35"/>
  <c r="I131" i="35"/>
  <c r="I334" i="35"/>
  <c r="I330" i="35"/>
  <c r="I326" i="35"/>
  <c r="I322" i="35"/>
  <c r="I318" i="35"/>
  <c r="I314" i="35"/>
  <c r="I310" i="35"/>
  <c r="I306" i="35"/>
  <c r="I302" i="35"/>
  <c r="I298" i="35"/>
  <c r="I294" i="35"/>
  <c r="I290" i="35"/>
  <c r="I286" i="35"/>
  <c r="I282" i="35"/>
  <c r="I278" i="35"/>
  <c r="I274" i="35"/>
  <c r="I270" i="35"/>
  <c r="I266" i="35"/>
  <c r="I262" i="35"/>
  <c r="I258" i="35"/>
  <c r="I254" i="35"/>
  <c r="I250" i="35"/>
  <c r="I246" i="35"/>
  <c r="I242" i="35"/>
  <c r="I238" i="35"/>
  <c r="I234" i="35"/>
  <c r="I230" i="35"/>
  <c r="I226" i="35"/>
  <c r="I222" i="35"/>
  <c r="I218" i="35"/>
  <c r="I214" i="35"/>
  <c r="I210" i="35"/>
  <c r="I206" i="35"/>
  <c r="I202" i="35"/>
  <c r="I198" i="35"/>
  <c r="I194" i="35"/>
  <c r="I190" i="35"/>
  <c r="I186" i="35"/>
  <c r="I182" i="35"/>
  <c r="I178" i="35"/>
  <c r="I174" i="35"/>
  <c r="I170" i="35"/>
  <c r="I166" i="35"/>
  <c r="I162" i="35"/>
  <c r="I158" i="35"/>
  <c r="I154" i="35"/>
  <c r="I150" i="35"/>
  <c r="I146" i="35"/>
  <c r="I142" i="35"/>
  <c r="I138" i="35"/>
  <c r="I134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F307" i="34"/>
  <c r="I68" i="8"/>
  <c r="I61" i="8"/>
  <c r="F348" i="34"/>
  <c r="D50" i="14" s="1"/>
  <c r="E351" i="34"/>
  <c r="C53" i="14" s="1"/>
  <c r="E379" i="34"/>
  <c r="C81" i="14"/>
  <c r="E350" i="34"/>
  <c r="C52" i="14"/>
  <c r="K61" i="8"/>
  <c r="J58" i="1"/>
  <c r="L58" i="1" s="1"/>
  <c r="J45" i="8"/>
  <c r="J111" i="2"/>
  <c r="K46" i="8"/>
  <c r="F398" i="34"/>
  <c r="D35" i="10" s="1"/>
  <c r="F390" i="34"/>
  <c r="D27" i="10"/>
  <c r="E314" i="34"/>
  <c r="I65" i="8"/>
  <c r="E274" i="34"/>
  <c r="C27" i="8" s="1"/>
  <c r="E250" i="34"/>
  <c r="C23" i="36" s="1"/>
  <c r="K111" i="2"/>
  <c r="J33" i="36"/>
  <c r="J61" i="8"/>
  <c r="K62" i="8"/>
  <c r="L34" i="1"/>
  <c r="K30" i="8"/>
  <c r="F2" i="34"/>
  <c r="F382" i="34"/>
  <c r="D19" i="10"/>
  <c r="E338" i="34"/>
  <c r="C40" i="14" s="1"/>
  <c r="E294" i="34"/>
  <c r="C47" i="8" s="1"/>
  <c r="F87" i="34"/>
  <c r="I73" i="2"/>
  <c r="I66" i="1"/>
  <c r="I25" i="2"/>
  <c r="I25" i="1"/>
  <c r="I117" i="1"/>
  <c r="I90" i="2"/>
  <c r="I75" i="1"/>
  <c r="I47" i="8"/>
  <c r="I45" i="8"/>
  <c r="I126" i="2"/>
  <c r="I43" i="8"/>
  <c r="I26" i="8"/>
  <c r="E400" i="34"/>
  <c r="C37" i="10"/>
  <c r="E380" i="34"/>
  <c r="C82" i="14"/>
  <c r="E336" i="34"/>
  <c r="C38" i="14" s="1"/>
  <c r="E403" i="34"/>
  <c r="C40" i="10" s="1"/>
  <c r="F387" i="34"/>
  <c r="D24" i="10"/>
  <c r="F339" i="34"/>
  <c r="D41" i="14"/>
  <c r="E315" i="34"/>
  <c r="C68" i="8" s="1"/>
  <c r="F303" i="34"/>
  <c r="D56" i="8" s="1"/>
  <c r="F295" i="34"/>
  <c r="D48" i="8"/>
  <c r="F287" i="34"/>
  <c r="D40" i="8"/>
  <c r="E283" i="34"/>
  <c r="C36" i="8"/>
  <c r="I40" i="8"/>
  <c r="I23" i="8"/>
  <c r="I57" i="8"/>
  <c r="I117" i="2"/>
  <c r="I94" i="2"/>
  <c r="E271" i="34"/>
  <c r="C24" i="8" s="1"/>
  <c r="E263" i="34"/>
  <c r="C36" i="36" s="1"/>
  <c r="E255" i="34"/>
  <c r="C28" i="36" s="1"/>
  <c r="E247" i="34"/>
  <c r="C20" i="36" s="1"/>
  <c r="E239" i="34"/>
  <c r="C127" i="2"/>
  <c r="E231" i="34"/>
  <c r="C119" i="2" s="1"/>
  <c r="E223" i="34"/>
  <c r="C111" i="2" s="1"/>
  <c r="E215" i="34"/>
  <c r="C103" i="2" s="1"/>
  <c r="E207" i="34"/>
  <c r="C95" i="2"/>
  <c r="F191" i="34"/>
  <c r="D79" i="2"/>
  <c r="F183" i="34"/>
  <c r="D71" i="2" s="1"/>
  <c r="E179" i="34"/>
  <c r="C67" i="2" s="1"/>
  <c r="E171" i="34"/>
  <c r="C59" i="2" s="1"/>
  <c r="F163" i="34"/>
  <c r="D51" i="2"/>
  <c r="F155" i="34"/>
  <c r="D43" i="2" s="1"/>
  <c r="E151" i="34"/>
  <c r="C39" i="2" s="1"/>
  <c r="E143" i="34"/>
  <c r="C31" i="2" s="1"/>
  <c r="I53" i="2"/>
  <c r="I30" i="2"/>
  <c r="F135" i="34"/>
  <c r="D23" i="2" s="1"/>
  <c r="E115" i="34"/>
  <c r="C136" i="1" s="1"/>
  <c r="F401" i="34"/>
  <c r="D38" i="10" s="1"/>
  <c r="F393" i="34"/>
  <c r="D30" i="10" s="1"/>
  <c r="F385" i="34"/>
  <c r="D22" i="10" s="1"/>
  <c r="E345" i="34"/>
  <c r="C47" i="14" s="1"/>
  <c r="E337" i="34"/>
  <c r="C39" i="14"/>
  <c r="E329" i="34"/>
  <c r="C31" i="14" s="1"/>
  <c r="E321" i="34"/>
  <c r="C23" i="14" s="1"/>
  <c r="I35" i="2"/>
  <c r="I130" i="2"/>
  <c r="I143" i="1"/>
  <c r="I108" i="2"/>
  <c r="I94" i="1"/>
  <c r="I54" i="2"/>
  <c r="I48" i="1"/>
  <c r="I144" i="1"/>
  <c r="E396" i="34"/>
  <c r="C33" i="10"/>
  <c r="K45" i="8"/>
  <c r="K21" i="10"/>
  <c r="M21" i="10" s="1"/>
  <c r="K20" i="1"/>
  <c r="J63" i="8"/>
  <c r="L27" i="1"/>
  <c r="J112" i="2"/>
  <c r="K20" i="2"/>
  <c r="J60" i="8"/>
  <c r="K31" i="8"/>
  <c r="J35" i="36"/>
  <c r="H41" i="36"/>
  <c r="J17" i="36"/>
  <c r="H136" i="2"/>
  <c r="M16" i="1"/>
  <c r="H72" i="8"/>
  <c r="J17" i="8"/>
  <c r="H85" i="14"/>
  <c r="C10" i="1"/>
  <c r="I5" i="36"/>
  <c r="H138" i="2"/>
  <c r="C6" i="14"/>
  <c r="C6" i="8"/>
  <c r="H87" i="14"/>
  <c r="I5" i="8"/>
  <c r="C16" i="8"/>
  <c r="K5" i="1"/>
  <c r="H43" i="36"/>
  <c r="J156" i="1"/>
  <c r="C6" i="1"/>
  <c r="C6" i="10"/>
  <c r="F85" i="14"/>
  <c r="F41" i="36"/>
  <c r="F136" i="2"/>
  <c r="F72" i="8"/>
  <c r="C10" i="36"/>
  <c r="C10" i="8"/>
  <c r="C10" i="10"/>
  <c r="C10" i="2"/>
  <c r="F311" i="34"/>
  <c r="D64" i="8" s="1"/>
  <c r="F319" i="34"/>
  <c r="D21" i="14"/>
  <c r="F383" i="34"/>
  <c r="D20" i="10" s="1"/>
  <c r="F378" i="34"/>
  <c r="D80" i="14" s="1"/>
  <c r="F374" i="34"/>
  <c r="D76" i="14" s="1"/>
  <c r="F366" i="34"/>
  <c r="D68" i="14" s="1"/>
  <c r="F357" i="34"/>
  <c r="D59" i="14" s="1"/>
  <c r="F353" i="34"/>
  <c r="D55" i="14"/>
  <c r="I69" i="14"/>
  <c r="I65" i="14"/>
  <c r="I61" i="14"/>
  <c r="I53" i="14"/>
  <c r="I49" i="14"/>
  <c r="I78" i="14"/>
  <c r="I74" i="14"/>
  <c r="F323" i="34"/>
  <c r="D25" i="14"/>
  <c r="I72" i="14"/>
  <c r="I68" i="14"/>
  <c r="I64" i="14"/>
  <c r="I60" i="14"/>
  <c r="I52" i="14"/>
  <c r="I82" i="14"/>
  <c r="I77" i="14"/>
  <c r="I73" i="14"/>
  <c r="F365" i="34"/>
  <c r="D67" i="14"/>
  <c r="E384" i="34"/>
  <c r="C21" i="10"/>
  <c r="I63" i="8"/>
  <c r="I71" i="14"/>
  <c r="I67" i="14"/>
  <c r="I63" i="14"/>
  <c r="I59" i="14"/>
  <c r="I55" i="14"/>
  <c r="I51" i="14"/>
  <c r="I80" i="14"/>
  <c r="I76" i="14"/>
  <c r="E365" i="34"/>
  <c r="C67" i="14"/>
  <c r="F331" i="34"/>
  <c r="D33" i="14"/>
  <c r="F347" i="34"/>
  <c r="D49" i="14"/>
  <c r="E316" i="34"/>
  <c r="C69" i="8" s="1"/>
  <c r="I66" i="8"/>
  <c r="F343" i="34"/>
  <c r="D45" i="14" s="1"/>
  <c r="F377" i="34"/>
  <c r="D79" i="14" s="1"/>
  <c r="F369" i="34"/>
  <c r="D71" i="14" s="1"/>
  <c r="F360" i="34"/>
  <c r="D62" i="14"/>
  <c r="F352" i="34"/>
  <c r="D54" i="14"/>
  <c r="E377" i="34"/>
  <c r="C79" i="14"/>
  <c r="I70" i="14"/>
  <c r="I66" i="14"/>
  <c r="I62" i="14"/>
  <c r="I58" i="14"/>
  <c r="I54" i="14"/>
  <c r="I50" i="14"/>
  <c r="I79" i="14"/>
  <c r="I365" i="35"/>
  <c r="I364" i="35"/>
  <c r="I363" i="35"/>
  <c r="I362" i="35"/>
  <c r="I361" i="35"/>
  <c r="I360" i="35"/>
  <c r="I359" i="35"/>
  <c r="I358" i="35"/>
  <c r="I357" i="35"/>
  <c r="I356" i="35"/>
  <c r="I355" i="35"/>
  <c r="I354" i="35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40" i="35"/>
  <c r="I339" i="35"/>
  <c r="I338" i="35"/>
  <c r="I337" i="35"/>
  <c r="I336" i="35"/>
  <c r="G24" i="37"/>
  <c r="F32" i="10"/>
  <c r="F40" i="10" s="1"/>
  <c r="K40" i="10" s="1"/>
  <c r="M40" i="10" s="1"/>
  <c r="K29" i="10"/>
  <c r="M29" i="10" s="1"/>
  <c r="B19" i="32"/>
  <c r="B24" i="32"/>
  <c r="B15" i="32"/>
  <c r="B22" i="32"/>
  <c r="J45" i="10"/>
  <c r="C5" i="10"/>
  <c r="C7" i="10"/>
  <c r="C6" i="2"/>
  <c r="J43" i="10"/>
  <c r="B17" i="32"/>
  <c r="H40" i="36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C10" i="14"/>
  <c r="AB52" i="32"/>
  <c r="M14" i="10"/>
  <c r="K15" i="14"/>
  <c r="M15" i="1"/>
  <c r="K15" i="8"/>
  <c r="K15" i="2"/>
  <c r="K15" i="36"/>
  <c r="J16" i="1"/>
  <c r="L85" i="1"/>
  <c r="C85" i="1"/>
  <c r="C16" i="14"/>
  <c r="C16" i="2"/>
  <c r="J153" i="1"/>
  <c r="B40" i="32"/>
  <c r="J42" i="10"/>
  <c r="H71" i="8"/>
  <c r="H135" i="2"/>
  <c r="D42" i="32"/>
  <c r="AA64" i="32"/>
  <c r="Y64" i="32" s="1"/>
  <c r="J7" i="32"/>
  <c r="G42" i="32"/>
  <c r="H5" i="37"/>
  <c r="H9" i="37"/>
  <c r="H13" i="37"/>
  <c r="H17" i="37"/>
  <c r="H21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6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0" i="35"/>
  <c r="G134" i="35"/>
  <c r="G138" i="35"/>
  <c r="G142" i="35"/>
  <c r="G146" i="35"/>
  <c r="G150" i="35"/>
  <c r="G154" i="35"/>
  <c r="G158" i="35"/>
  <c r="G162" i="35"/>
  <c r="G166" i="35"/>
  <c r="G170" i="35"/>
  <c r="G174" i="35"/>
  <c r="G178" i="35"/>
  <c r="G182" i="35"/>
  <c r="G186" i="35"/>
  <c r="G190" i="35"/>
  <c r="G194" i="35"/>
  <c r="G198" i="35"/>
  <c r="G202" i="35"/>
  <c r="G206" i="35"/>
  <c r="G210" i="35"/>
  <c r="G214" i="35"/>
  <c r="G218" i="35"/>
  <c r="G222" i="35"/>
  <c r="G226" i="35"/>
  <c r="G230" i="35"/>
  <c r="G234" i="35"/>
  <c r="G238" i="35"/>
  <c r="G242" i="35"/>
  <c r="G246" i="35"/>
  <c r="G250" i="35"/>
  <c r="G254" i="35"/>
  <c r="G258" i="35"/>
  <c r="G262" i="35"/>
  <c r="G266" i="35"/>
  <c r="G270" i="35"/>
  <c r="G274" i="35"/>
  <c r="G278" i="35"/>
  <c r="G282" i="35"/>
  <c r="G286" i="35"/>
  <c r="G290" i="35"/>
  <c r="G294" i="35"/>
  <c r="G298" i="35"/>
  <c r="G302" i="35"/>
  <c r="G306" i="35"/>
  <c r="G310" i="35"/>
  <c r="G314" i="35"/>
  <c r="G318" i="35"/>
  <c r="H2" i="37"/>
  <c r="H6" i="37"/>
  <c r="H10" i="37"/>
  <c r="H14" i="37"/>
  <c r="H18" i="37"/>
  <c r="H22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67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1" i="35"/>
  <c r="G135" i="35"/>
  <c r="G139" i="35"/>
  <c r="G143" i="35"/>
  <c r="G147" i="35"/>
  <c r="G151" i="35"/>
  <c r="G155" i="35"/>
  <c r="G159" i="35"/>
  <c r="G163" i="35"/>
  <c r="G167" i="35"/>
  <c r="G171" i="35"/>
  <c r="G175" i="35"/>
  <c r="G179" i="35"/>
  <c r="G183" i="35"/>
  <c r="G187" i="35"/>
  <c r="G191" i="35"/>
  <c r="G195" i="35"/>
  <c r="G199" i="35"/>
  <c r="G203" i="35"/>
  <c r="G207" i="35"/>
  <c r="G211" i="35"/>
  <c r="G215" i="35"/>
  <c r="G219" i="35"/>
  <c r="G223" i="35"/>
  <c r="G227" i="35"/>
  <c r="G231" i="35"/>
  <c r="G235" i="35"/>
  <c r="G239" i="35"/>
  <c r="G243" i="35"/>
  <c r="G247" i="35"/>
  <c r="G251" i="35"/>
  <c r="G255" i="35"/>
  <c r="G259" i="35"/>
  <c r="G263" i="35"/>
  <c r="G267" i="35"/>
  <c r="G271" i="35"/>
  <c r="G275" i="35"/>
  <c r="G279" i="35"/>
  <c r="G283" i="35"/>
  <c r="G287" i="35"/>
  <c r="G291" i="35"/>
  <c r="G295" i="35"/>
  <c r="G299" i="35"/>
  <c r="G303" i="35"/>
  <c r="G307" i="35"/>
  <c r="G311" i="35"/>
  <c r="G315" i="35"/>
  <c r="H3" i="37"/>
  <c r="H7" i="37"/>
  <c r="H11" i="37"/>
  <c r="H15" i="37"/>
  <c r="H19" i="37"/>
  <c r="H23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8" i="35"/>
  <c r="G132" i="35"/>
  <c r="G136" i="35"/>
  <c r="G140" i="35"/>
  <c r="G144" i="35"/>
  <c r="G148" i="35"/>
  <c r="G152" i="35"/>
  <c r="G156" i="35"/>
  <c r="G160" i="35"/>
  <c r="G164" i="35"/>
  <c r="G168" i="35"/>
  <c r="G172" i="35"/>
  <c r="G176" i="35"/>
  <c r="G180" i="35"/>
  <c r="G184" i="35"/>
  <c r="G188" i="35"/>
  <c r="G192" i="35"/>
  <c r="G196" i="35"/>
  <c r="G200" i="35"/>
  <c r="G204" i="35"/>
  <c r="G208" i="35"/>
  <c r="G212" i="35"/>
  <c r="G216" i="35"/>
  <c r="G220" i="35"/>
  <c r="G224" i="35"/>
  <c r="G228" i="35"/>
  <c r="G232" i="35"/>
  <c r="G236" i="35"/>
  <c r="G240" i="35"/>
  <c r="G244" i="35"/>
  <c r="G248" i="35"/>
  <c r="G252" i="35"/>
  <c r="G256" i="35"/>
  <c r="G260" i="35"/>
  <c r="G264" i="35"/>
  <c r="G268" i="35"/>
  <c r="G272" i="35"/>
  <c r="G276" i="35"/>
  <c r="G280" i="35"/>
  <c r="G284" i="35"/>
  <c r="G288" i="35"/>
  <c r="G292" i="35"/>
  <c r="G296" i="35"/>
  <c r="G300" i="35"/>
  <c r="G304" i="35"/>
  <c r="G308" i="35"/>
  <c r="G312" i="35"/>
  <c r="G316" i="35"/>
  <c r="H4" i="37"/>
  <c r="H8" i="37"/>
  <c r="H12" i="37"/>
  <c r="H16" i="37"/>
  <c r="H20" i="37"/>
  <c r="H24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29" i="35"/>
  <c r="G133" i="35"/>
  <c r="G137" i="35"/>
  <c r="G141" i="35"/>
  <c r="G145" i="35"/>
  <c r="G149" i="35"/>
  <c r="G153" i="35"/>
  <c r="G157" i="35"/>
  <c r="G161" i="35"/>
  <c r="G165" i="35"/>
  <c r="G169" i="35"/>
  <c r="G173" i="35"/>
  <c r="G177" i="35"/>
  <c r="G181" i="35"/>
  <c r="G185" i="35"/>
  <c r="G189" i="35"/>
  <c r="G193" i="35"/>
  <c r="G197" i="35"/>
  <c r="G201" i="35"/>
  <c r="G205" i="35"/>
  <c r="G209" i="35"/>
  <c r="G213" i="35"/>
  <c r="G217" i="35"/>
  <c r="G221" i="35"/>
  <c r="G225" i="35"/>
  <c r="G229" i="35"/>
  <c r="G233" i="35"/>
  <c r="G237" i="35"/>
  <c r="G241" i="35"/>
  <c r="G245" i="35"/>
  <c r="G249" i="35"/>
  <c r="G253" i="35"/>
  <c r="G257" i="35"/>
  <c r="G261" i="35"/>
  <c r="G265" i="35"/>
  <c r="G269" i="35"/>
  <c r="G273" i="35"/>
  <c r="G277" i="35"/>
  <c r="G281" i="35"/>
  <c r="G285" i="35"/>
  <c r="G289" i="35"/>
  <c r="G293" i="35"/>
  <c r="G297" i="35"/>
  <c r="G301" i="35"/>
  <c r="G305" i="35"/>
  <c r="G309" i="35"/>
  <c r="G313" i="35"/>
  <c r="G317" i="35"/>
  <c r="G319" i="35"/>
  <c r="G323" i="35"/>
  <c r="G327" i="35"/>
  <c r="G331" i="35"/>
  <c r="G335" i="35"/>
  <c r="G339" i="35"/>
  <c r="G343" i="35"/>
  <c r="G347" i="35"/>
  <c r="G351" i="35"/>
  <c r="G355" i="35"/>
  <c r="G359" i="35"/>
  <c r="G363" i="35"/>
  <c r="G322" i="35"/>
  <c r="G338" i="35"/>
  <c r="G346" i="35"/>
  <c r="G358" i="35"/>
  <c r="G320" i="35"/>
  <c r="G324" i="35"/>
  <c r="G328" i="35"/>
  <c r="G332" i="35"/>
  <c r="G336" i="35"/>
  <c r="G340" i="35"/>
  <c r="G344" i="35"/>
  <c r="G348" i="35"/>
  <c r="G352" i="35"/>
  <c r="G356" i="35"/>
  <c r="G360" i="35"/>
  <c r="G364" i="35"/>
  <c r="G330" i="35"/>
  <c r="G342" i="35"/>
  <c r="G350" i="35"/>
  <c r="G362" i="35"/>
  <c r="G321" i="35"/>
  <c r="G325" i="35"/>
  <c r="G329" i="35"/>
  <c r="G333" i="35"/>
  <c r="G337" i="35"/>
  <c r="G341" i="35"/>
  <c r="G345" i="35"/>
  <c r="G349" i="35"/>
  <c r="G353" i="35"/>
  <c r="G357" i="35"/>
  <c r="G361" i="35"/>
  <c r="G365" i="35"/>
  <c r="G326" i="35"/>
  <c r="G334" i="35"/>
  <c r="G354" i="35"/>
  <c r="G366" i="35"/>
  <c r="B74" i="32"/>
  <c r="J10" i="2"/>
  <c r="J10" i="8"/>
  <c r="J10" i="14"/>
  <c r="J10" i="36"/>
  <c r="L10" i="1"/>
  <c r="L10" i="10"/>
  <c r="J8" i="14"/>
  <c r="J8" i="2"/>
  <c r="L8" i="1"/>
  <c r="J8" i="36"/>
  <c r="J8" i="8"/>
  <c r="L8" i="10"/>
  <c r="Y31" i="32"/>
  <c r="Y35" i="32"/>
  <c r="AB72" i="32"/>
  <c r="J7" i="14"/>
  <c r="J7" i="36"/>
  <c r="J7" i="2"/>
  <c r="L7" i="1"/>
  <c r="J7" i="8"/>
  <c r="L7" i="10"/>
  <c r="L9" i="1"/>
  <c r="J9" i="36"/>
  <c r="J9" i="2"/>
  <c r="J9" i="8"/>
  <c r="J9" i="14"/>
  <c r="L9" i="10"/>
  <c r="AB70" i="32"/>
  <c r="I1" i="33"/>
  <c r="C153" i="35" s="1"/>
  <c r="X6" i="33"/>
  <c r="X5" i="33"/>
  <c r="I392" i="34" s="1"/>
  <c r="X4" i="33"/>
  <c r="I395" i="34" s="1"/>
  <c r="H381" i="34"/>
  <c r="G384" i="34"/>
  <c r="H384" i="34"/>
  <c r="G381" i="34"/>
  <c r="F381" i="34" s="1"/>
  <c r="D18" i="10" s="1"/>
  <c r="G392" i="34"/>
  <c r="H392" i="34"/>
  <c r="G395" i="34"/>
  <c r="H395" i="34"/>
  <c r="V3" i="33"/>
  <c r="W3" i="33" s="1"/>
  <c r="B108" i="32"/>
  <c r="AB54" i="32"/>
  <c r="AB58" i="32"/>
  <c r="AB10" i="32"/>
  <c r="C79" i="35"/>
  <c r="E53" i="31"/>
  <c r="G403" i="34"/>
  <c r="F403" i="34"/>
  <c r="D40" i="10" s="1"/>
  <c r="C52" i="31"/>
  <c r="F52" i="31" s="1"/>
  <c r="C53" i="31"/>
  <c r="F53" i="31" s="1"/>
  <c r="C14" i="8" s="1"/>
  <c r="D55" i="31"/>
  <c r="H403" i="34"/>
  <c r="E51" i="31"/>
  <c r="D56" i="31"/>
  <c r="E54" i="31"/>
  <c r="E52" i="31"/>
  <c r="C54" i="31"/>
  <c r="F54" i="31" s="1"/>
  <c r="C55" i="31"/>
  <c r="F55" i="31"/>
  <c r="C14" i="14" s="1"/>
  <c r="E56" i="31"/>
  <c r="E55" i="31"/>
  <c r="D54" i="31"/>
  <c r="D51" i="31"/>
  <c r="D53" i="31"/>
  <c r="D52" i="31"/>
  <c r="C51" i="31"/>
  <c r="F51" i="31" s="1"/>
  <c r="C14" i="1"/>
  <c r="C56" i="31"/>
  <c r="F56" i="31" s="1"/>
  <c r="C13" i="10"/>
  <c r="F384" i="34"/>
  <c r="D21" i="10" s="1"/>
  <c r="F392" i="34"/>
  <c r="D29" i="10"/>
  <c r="F395" i="34"/>
  <c r="D32" i="10"/>
  <c r="C349" i="35"/>
  <c r="C316" i="35"/>
  <c r="AB67" i="32"/>
  <c r="C113" i="35"/>
  <c r="C69" i="35"/>
  <c r="C18" i="35"/>
  <c r="C227" i="35"/>
  <c r="AB74" i="32"/>
  <c r="C267" i="35"/>
  <c r="C341" i="35"/>
  <c r="C226" i="35"/>
  <c r="C193" i="35"/>
  <c r="C126" i="35"/>
  <c r="C297" i="35"/>
  <c r="C338" i="35"/>
  <c r="X3" i="33"/>
  <c r="I403" i="34"/>
  <c r="K32" i="10"/>
  <c r="M32" i="10" s="1"/>
  <c r="M256" i="35"/>
  <c r="M304" i="35"/>
  <c r="L256" i="35"/>
  <c r="L304" i="35"/>
  <c r="J46" i="8" l="1"/>
  <c r="J89" i="2"/>
  <c r="J126" i="2"/>
  <c r="J90" i="2"/>
  <c r="J125" i="2"/>
  <c r="J48" i="2"/>
  <c r="J49" i="2"/>
  <c r="L89" i="1"/>
  <c r="L149" i="1" s="1"/>
  <c r="L151" i="1" s="1"/>
  <c r="L59" i="1"/>
  <c r="J50" i="1"/>
  <c r="J81" i="1" s="1"/>
  <c r="J83" i="1" s="1"/>
  <c r="K50" i="1"/>
  <c r="K81" i="1" s="1"/>
  <c r="K83" i="1" s="1"/>
  <c r="L51" i="1"/>
  <c r="L20" i="1"/>
  <c r="L21" i="1"/>
  <c r="K63" i="8"/>
  <c r="K65" i="8" s="1"/>
  <c r="J31" i="8"/>
  <c r="J62" i="8"/>
  <c r="J64" i="8" s="1"/>
  <c r="K112" i="2"/>
  <c r="K90" i="2"/>
  <c r="K125" i="2"/>
  <c r="K49" i="2"/>
  <c r="K48" i="2"/>
  <c r="M89" i="1"/>
  <c r="M149" i="1"/>
  <c r="M151" i="1" s="1"/>
  <c r="M50" i="1"/>
  <c r="M20" i="1"/>
  <c r="I43" i="36"/>
  <c r="I87" i="14"/>
  <c r="I138" i="2"/>
  <c r="K156" i="1"/>
  <c r="I74" i="8"/>
  <c r="K45" i="10"/>
  <c r="I40" i="36"/>
  <c r="I71" i="8"/>
  <c r="I135" i="2"/>
  <c r="I84" i="14"/>
  <c r="K42" i="10"/>
  <c r="K153" i="1"/>
  <c r="Z29" i="32"/>
  <c r="AB29" i="32" s="1"/>
  <c r="J6" i="2" s="1"/>
  <c r="Z27" i="32"/>
  <c r="AB27" i="32" s="1"/>
  <c r="AB24" i="32"/>
  <c r="E311" i="35" s="1"/>
  <c r="D10" i="2"/>
  <c r="D10" i="8"/>
  <c r="D10" i="36"/>
  <c r="D10" i="10"/>
  <c r="C9" i="1"/>
  <c r="C9" i="2"/>
  <c r="C9" i="14"/>
  <c r="C9" i="10"/>
  <c r="C9" i="36"/>
  <c r="C9" i="8"/>
  <c r="D6" i="2"/>
  <c r="D6" i="1"/>
  <c r="D6" i="10"/>
  <c r="D6" i="8"/>
  <c r="D6" i="36"/>
  <c r="D6" i="14"/>
  <c r="C14" i="36"/>
  <c r="C14" i="2"/>
  <c r="I73" i="8"/>
  <c r="K44" i="10"/>
  <c r="K155" i="1"/>
  <c r="I86" i="14"/>
  <c r="I42" i="36"/>
  <c r="F355" i="34"/>
  <c r="E355" i="34"/>
  <c r="I57" i="14"/>
  <c r="D56" i="14"/>
  <c r="C57" i="14"/>
  <c r="C71" i="35"/>
  <c r="C198" i="35"/>
  <c r="C298" i="35"/>
  <c r="C134" i="35"/>
  <c r="C27" i="35"/>
  <c r="C164" i="35"/>
  <c r="C101" i="35"/>
  <c r="C352" i="35"/>
  <c r="C350" i="35"/>
  <c r="C117" i="35"/>
  <c r="C331" i="35"/>
  <c r="I56" i="14"/>
  <c r="I22" i="37"/>
  <c r="C104" i="35"/>
  <c r="C58" i="35"/>
  <c r="C188" i="35"/>
  <c r="C199" i="35"/>
  <c r="C285" i="35"/>
  <c r="C356" i="35"/>
  <c r="C144" i="35"/>
  <c r="C154" i="35"/>
  <c r="I15" i="37"/>
  <c r="C279" i="35"/>
  <c r="C44" i="35"/>
  <c r="C157" i="35"/>
  <c r="C16" i="35"/>
  <c r="I16" i="2"/>
  <c r="C332" i="35"/>
  <c r="C310" i="35"/>
  <c r="C339" i="35"/>
  <c r="C204" i="35"/>
  <c r="C36" i="35"/>
  <c r="C142" i="35"/>
  <c r="C3" i="35"/>
  <c r="C299" i="35"/>
  <c r="C177" i="35"/>
  <c r="C67" i="35"/>
  <c r="C286" i="35"/>
  <c r="C14" i="35"/>
  <c r="C208" i="35"/>
  <c r="C261" i="35"/>
  <c r="C150" i="35"/>
  <c r="C282" i="35"/>
  <c r="I23" i="37"/>
  <c r="C30" i="35"/>
  <c r="C191" i="35"/>
  <c r="C213" i="35"/>
  <c r="C141" i="35"/>
  <c r="C203" i="35"/>
  <c r="C182" i="35"/>
  <c r="C216" i="35"/>
  <c r="C294" i="35"/>
  <c r="C259" i="35"/>
  <c r="C325" i="35"/>
  <c r="C76" i="35"/>
  <c r="C223" i="35"/>
  <c r="C318" i="35"/>
  <c r="C83" i="35"/>
  <c r="I6" i="37"/>
  <c r="C283" i="35"/>
  <c r="I21" i="37"/>
  <c r="C22" i="35"/>
  <c r="C264" i="35"/>
  <c r="C85" i="35"/>
  <c r="C74" i="35"/>
  <c r="C255" i="35"/>
  <c r="C272" i="35"/>
  <c r="C312" i="35"/>
  <c r="C186" i="35"/>
  <c r="C258" i="35"/>
  <c r="C120" i="35"/>
  <c r="C149" i="35"/>
  <c r="C222" i="35"/>
  <c r="C239" i="35"/>
  <c r="C9" i="35"/>
  <c r="C284" i="35"/>
  <c r="C314" i="35"/>
  <c r="C132" i="35"/>
  <c r="C189" i="35"/>
  <c r="C211" i="35"/>
  <c r="C347" i="35"/>
  <c r="C205" i="35"/>
  <c r="C328" i="35"/>
  <c r="C335" i="35"/>
  <c r="I11" i="37"/>
  <c r="C171" i="35"/>
  <c r="C322" i="35"/>
  <c r="C123" i="35"/>
  <c r="C274" i="35"/>
  <c r="C201" i="35"/>
  <c r="C151" i="35"/>
  <c r="C270" i="35"/>
  <c r="C260" i="35"/>
  <c r="C266" i="35"/>
  <c r="C271" i="35"/>
  <c r="C210" i="35"/>
  <c r="C277" i="35"/>
  <c r="C273" i="35"/>
  <c r="C47" i="35"/>
  <c r="C296" i="35"/>
  <c r="C7" i="35"/>
  <c r="C187" i="35"/>
  <c r="C128" i="35"/>
  <c r="C181" i="35"/>
  <c r="C4" i="35"/>
  <c r="C94" i="35"/>
  <c r="C97" i="35"/>
  <c r="C295" i="35"/>
  <c r="C11" i="35"/>
  <c r="C243" i="35"/>
  <c r="C99" i="35"/>
  <c r="C293" i="35"/>
  <c r="C35" i="35"/>
  <c r="C60" i="35"/>
  <c r="C10" i="35"/>
  <c r="C169" i="35"/>
  <c r="C158" i="35"/>
  <c r="C148" i="35"/>
  <c r="C246" i="35"/>
  <c r="C175" i="35"/>
  <c r="C34" i="35"/>
  <c r="C304" i="35"/>
  <c r="C302" i="35"/>
  <c r="C86" i="35"/>
  <c r="C218" i="35"/>
  <c r="C160" i="35"/>
  <c r="C353" i="35"/>
  <c r="C49" i="35"/>
  <c r="C131" i="35"/>
  <c r="I19" i="37"/>
  <c r="C72" i="35"/>
  <c r="I3" i="37"/>
  <c r="C102" i="35"/>
  <c r="C139" i="35"/>
  <c r="C214" i="35"/>
  <c r="C140" i="35"/>
  <c r="C311" i="35"/>
  <c r="C220" i="35"/>
  <c r="C333" i="35"/>
  <c r="J1" i="33"/>
  <c r="C234" i="35"/>
  <c r="C232" i="35"/>
  <c r="C326" i="35"/>
  <c r="C119" i="35"/>
  <c r="C130" i="35"/>
  <c r="C38" i="35"/>
  <c r="C2" i="35"/>
  <c r="C55" i="35"/>
  <c r="C178" i="35"/>
  <c r="I24" i="37"/>
  <c r="C50" i="35"/>
  <c r="C366" i="35"/>
  <c r="C251" i="35"/>
  <c r="C317" i="35"/>
  <c r="C52" i="35"/>
  <c r="I9" i="37"/>
  <c r="C121" i="35"/>
  <c r="C161" i="35"/>
  <c r="C56" i="35"/>
  <c r="C229" i="35"/>
  <c r="C280" i="35"/>
  <c r="C20" i="35"/>
  <c r="C281" i="35"/>
  <c r="C110" i="35"/>
  <c r="C276" i="35"/>
  <c r="C136" i="35"/>
  <c r="C135" i="35"/>
  <c r="C252" i="35"/>
  <c r="C241" i="35"/>
  <c r="C190" i="35"/>
  <c r="C337" i="35"/>
  <c r="C237" i="35"/>
  <c r="C365" i="35"/>
  <c r="C287" i="35"/>
  <c r="C166" i="35"/>
  <c r="I2" i="37"/>
  <c r="C31" i="35"/>
  <c r="C13" i="35"/>
  <c r="C247" i="35"/>
  <c r="C300" i="35"/>
  <c r="C197" i="35"/>
  <c r="C167" i="35"/>
  <c r="C45" i="35"/>
  <c r="C73" i="35"/>
  <c r="C122" i="35"/>
  <c r="I8" i="37"/>
  <c r="C192" i="35"/>
  <c r="C291" i="35"/>
  <c r="C84" i="35"/>
  <c r="C207" i="35"/>
  <c r="C236" i="35"/>
  <c r="C329" i="35"/>
  <c r="C37" i="35"/>
  <c r="C106" i="35"/>
  <c r="C88" i="35"/>
  <c r="C364" i="35"/>
  <c r="C21" i="35"/>
  <c r="C230" i="35"/>
  <c r="C257" i="35"/>
  <c r="C5" i="35"/>
  <c r="C124" i="35"/>
  <c r="C165" i="35"/>
  <c r="C307" i="35"/>
  <c r="C54" i="35"/>
  <c r="C105" i="35"/>
  <c r="C112" i="35"/>
  <c r="C327" i="35"/>
  <c r="I13" i="37"/>
  <c r="C351" i="35"/>
  <c r="C315" i="35"/>
  <c r="C217" i="35"/>
  <c r="C78" i="35"/>
  <c r="C162" i="35"/>
  <c r="C242" i="35"/>
  <c r="C250" i="35"/>
  <c r="C107" i="35"/>
  <c r="C308" i="35"/>
  <c r="C43" i="35"/>
  <c r="C256" i="35"/>
  <c r="I7" i="37"/>
  <c r="C92" i="35"/>
  <c r="C172" i="35"/>
  <c r="C269" i="35"/>
  <c r="C336" i="35"/>
  <c r="C262" i="35"/>
  <c r="C70" i="35"/>
  <c r="C138" i="35"/>
  <c r="C340" i="35"/>
  <c r="C125" i="35"/>
  <c r="C163" i="35"/>
  <c r="C77" i="35"/>
  <c r="C6" i="35"/>
  <c r="C179" i="35"/>
  <c r="C196" i="35"/>
  <c r="C46" i="35"/>
  <c r="C265" i="35"/>
  <c r="C248" i="35"/>
  <c r="C75" i="35"/>
  <c r="C40" i="35"/>
  <c r="C184" i="35"/>
  <c r="C23" i="35"/>
  <c r="C81" i="35"/>
  <c r="C147" i="35"/>
  <c r="C306" i="35"/>
  <c r="C342" i="35"/>
  <c r="C289" i="35"/>
  <c r="C212" i="35"/>
  <c r="C145" i="35"/>
  <c r="C221" i="35"/>
  <c r="C343" i="35"/>
  <c r="C90" i="35"/>
  <c r="C233" i="35"/>
  <c r="C362" i="35"/>
  <c r="C66" i="35"/>
  <c r="I5" i="37"/>
  <c r="C195" i="35"/>
  <c r="C305" i="35"/>
  <c r="C103" i="35"/>
  <c r="C156" i="35"/>
  <c r="C313" i="35"/>
  <c r="C61" i="35"/>
  <c r="C91" i="35"/>
  <c r="C51" i="35"/>
  <c r="C63" i="35"/>
  <c r="C12" i="35"/>
  <c r="C109" i="35"/>
  <c r="C29" i="35"/>
  <c r="I10" i="37"/>
  <c r="C225" i="35"/>
  <c r="C360" i="35"/>
  <c r="C108" i="35"/>
  <c r="C354" i="35"/>
  <c r="C168" i="35"/>
  <c r="C309" i="35"/>
  <c r="C64" i="35"/>
  <c r="C53" i="35"/>
  <c r="C202" i="35"/>
  <c r="C245" i="35"/>
  <c r="C324" i="35"/>
  <c r="C159" i="35"/>
  <c r="I18" i="37"/>
  <c r="C346" i="35"/>
  <c r="C32" i="35"/>
  <c r="C290" i="35"/>
  <c r="C180" i="35"/>
  <c r="C129" i="35"/>
  <c r="C228" i="35"/>
  <c r="C115" i="35"/>
  <c r="C42" i="35"/>
  <c r="C219" i="35"/>
  <c r="C89" i="35"/>
  <c r="C263" i="35"/>
  <c r="C330" i="35"/>
  <c r="C127" i="35"/>
  <c r="C57" i="35"/>
  <c r="C155" i="35"/>
  <c r="C194" i="35"/>
  <c r="C206" i="35"/>
  <c r="C93" i="35"/>
  <c r="C62" i="35"/>
  <c r="C288" i="35"/>
  <c r="C240" i="35"/>
  <c r="I12" i="37"/>
  <c r="I20" i="37"/>
  <c r="C355" i="35"/>
  <c r="C19" i="35"/>
  <c r="C118" i="35"/>
  <c r="C146" i="35"/>
  <c r="I4" i="37"/>
  <c r="C235" i="35"/>
  <c r="C174" i="35"/>
  <c r="C24" i="35"/>
  <c r="C249" i="35"/>
  <c r="C96" i="35"/>
  <c r="C68" i="35"/>
  <c r="C185" i="35"/>
  <c r="C183" i="35"/>
  <c r="C95" i="35"/>
  <c r="C357" i="35"/>
  <c r="C361" i="35"/>
  <c r="C39" i="35"/>
  <c r="C348" i="35"/>
  <c r="C344" i="35"/>
  <c r="C59" i="35"/>
  <c r="C137" i="35"/>
  <c r="C358" i="35"/>
  <c r="I14" i="37"/>
  <c r="C268" i="35"/>
  <c r="C292" i="35"/>
  <c r="C244" i="35"/>
  <c r="C363" i="35"/>
  <c r="C301" i="35"/>
  <c r="C100" i="35"/>
  <c r="C25" i="35"/>
  <c r="C80" i="35"/>
  <c r="C65" i="35"/>
  <c r="I17" i="37"/>
  <c r="C26" i="35"/>
  <c r="C320" i="35"/>
  <c r="I16" i="37"/>
  <c r="C116" i="35"/>
  <c r="C111" i="35"/>
  <c r="C200" i="35"/>
  <c r="C15" i="35"/>
  <c r="C254" i="35"/>
  <c r="C87" i="35"/>
  <c r="C209" i="35"/>
  <c r="C215" i="35"/>
  <c r="C319" i="35"/>
  <c r="C82" i="35"/>
  <c r="C173" i="35"/>
  <c r="C98" i="35"/>
  <c r="C224" i="35"/>
  <c r="C176" i="35"/>
  <c r="I381" i="34"/>
  <c r="I384" i="34"/>
  <c r="E16" i="10"/>
  <c r="I85" i="1"/>
  <c r="I16" i="14"/>
  <c r="I16" i="1"/>
  <c r="I16" i="36"/>
  <c r="C334" i="35"/>
  <c r="C28" i="35"/>
  <c r="C143" i="35"/>
  <c r="C345" i="35"/>
  <c r="C275" i="35"/>
  <c r="AB64" i="32"/>
  <c r="Y5" i="32"/>
  <c r="C170" i="35"/>
  <c r="C238" i="35"/>
  <c r="C323" i="35"/>
  <c r="C133" i="35"/>
  <c r="C41" i="35"/>
  <c r="C152" i="35"/>
  <c r="C359" i="35"/>
  <c r="C303" i="35"/>
  <c r="C278" i="35"/>
  <c r="C8" i="35"/>
  <c r="C48" i="35"/>
  <c r="C114" i="35"/>
  <c r="C321" i="35"/>
  <c r="C231" i="35"/>
  <c r="C17" i="35"/>
  <c r="C33" i="35"/>
  <c r="I137" i="2"/>
  <c r="C253" i="35"/>
  <c r="D10" i="1"/>
  <c r="D10" i="14"/>
  <c r="D32" i="14"/>
  <c r="C57" i="8"/>
  <c r="D53" i="1"/>
  <c r="F64" i="34"/>
  <c r="D113" i="1"/>
  <c r="F128" i="34"/>
  <c r="F152" i="34"/>
  <c r="D40" i="2" s="1"/>
  <c r="F240" i="34"/>
  <c r="D128" i="2" s="1"/>
  <c r="F312" i="34"/>
  <c r="F33" i="34"/>
  <c r="D50" i="1" s="1"/>
  <c r="F69" i="34"/>
  <c r="D90" i="1" s="1"/>
  <c r="E225" i="34"/>
  <c r="F139" i="34"/>
  <c r="D36" i="36"/>
  <c r="I96" i="1"/>
  <c r="F85" i="34"/>
  <c r="D106" i="1" s="1"/>
  <c r="F143" i="34"/>
  <c r="I39" i="8"/>
  <c r="I44" i="2"/>
  <c r="D40" i="14"/>
  <c r="C129" i="1"/>
  <c r="F132" i="34"/>
  <c r="F164" i="34"/>
  <c r="D25" i="36"/>
  <c r="D62" i="1"/>
  <c r="C110" i="1"/>
  <c r="E137" i="34"/>
  <c r="C25" i="2" s="1"/>
  <c r="E397" i="34"/>
  <c r="C34" i="10" s="1"/>
  <c r="E163" i="34"/>
  <c r="E322" i="34"/>
  <c r="C24" i="14" s="1"/>
  <c r="F322" i="34"/>
  <c r="D24" i="14" s="1"/>
  <c r="E298" i="34"/>
  <c r="C51" i="8" s="1"/>
  <c r="F298" i="34"/>
  <c r="D51" i="8" s="1"/>
  <c r="E290" i="34"/>
  <c r="C43" i="8" s="1"/>
  <c r="F290" i="34"/>
  <c r="D43" i="8" s="1"/>
  <c r="E258" i="34"/>
  <c r="F258" i="34"/>
  <c r="D31" i="36" s="1"/>
  <c r="F242" i="34"/>
  <c r="D130" i="2" s="1"/>
  <c r="E242" i="34"/>
  <c r="F226" i="34"/>
  <c r="E226" i="34"/>
  <c r="C114" i="2" s="1"/>
  <c r="I81" i="14"/>
  <c r="D57" i="14"/>
  <c r="F359" i="34"/>
  <c r="D61" i="14" s="1"/>
  <c r="F376" i="34"/>
  <c r="C72" i="14"/>
  <c r="D78" i="14"/>
  <c r="D68" i="2"/>
  <c r="I75" i="14"/>
  <c r="F368" i="34"/>
  <c r="F379" i="34"/>
  <c r="I41" i="1"/>
  <c r="I93" i="2"/>
  <c r="I49" i="8"/>
  <c r="C60" i="8"/>
  <c r="D44" i="8"/>
  <c r="I46" i="8"/>
  <c r="D59" i="2"/>
  <c r="D47" i="2"/>
  <c r="D35" i="2"/>
  <c r="E382" i="34"/>
  <c r="C19" i="10" s="1"/>
  <c r="C19" i="8"/>
  <c r="C130" i="2"/>
  <c r="E389" i="34"/>
  <c r="C26" i="10" s="1"/>
  <c r="F317" i="34"/>
  <c r="D19" i="14" s="1"/>
  <c r="F309" i="34"/>
  <c r="F301" i="34"/>
  <c r="F293" i="34"/>
  <c r="F285" i="34"/>
  <c r="F277" i="34"/>
  <c r="D30" i="8" s="1"/>
  <c r="F269" i="34"/>
  <c r="D22" i="8" s="1"/>
  <c r="F261" i="34"/>
  <c r="D34" i="36" s="1"/>
  <c r="F253" i="34"/>
  <c r="D26" i="36" s="1"/>
  <c r="F245" i="34"/>
  <c r="F237" i="34"/>
  <c r="F229" i="34"/>
  <c r="F221" i="34"/>
  <c r="F213" i="34"/>
  <c r="D101" i="2" s="1"/>
  <c r="F205" i="34"/>
  <c r="D93" i="2" s="1"/>
  <c r="F197" i="34"/>
  <c r="D85" i="2" s="1"/>
  <c r="F189" i="34"/>
  <c r="D77" i="2" s="1"/>
  <c r="F181" i="34"/>
  <c r="F173" i="34"/>
  <c r="D70" i="14"/>
  <c r="D81" i="14"/>
  <c r="I75" i="2"/>
  <c r="I54" i="8"/>
  <c r="I31" i="8"/>
  <c r="I30" i="8"/>
  <c r="C20" i="8"/>
  <c r="D28" i="36"/>
  <c r="D131" i="2"/>
  <c r="I69" i="2"/>
  <c r="C23" i="2"/>
  <c r="C120" i="1"/>
  <c r="E398" i="34"/>
  <c r="C35" i="10" s="1"/>
  <c r="E346" i="34"/>
  <c r="C48" i="14" s="1"/>
  <c r="E262" i="34"/>
  <c r="D62" i="8"/>
  <c r="D54" i="8"/>
  <c r="D46" i="8"/>
  <c r="D38" i="8"/>
  <c r="D133" i="2"/>
  <c r="D125" i="2"/>
  <c r="D117" i="2"/>
  <c r="D109" i="2"/>
  <c r="D69" i="2"/>
  <c r="D61" i="2"/>
  <c r="D45" i="2"/>
  <c r="F349" i="34"/>
  <c r="D51" i="14" s="1"/>
  <c r="E354" i="34"/>
  <c r="C56" i="14" s="1"/>
  <c r="E376" i="34"/>
  <c r="C78" i="14" s="1"/>
  <c r="F371" i="34"/>
  <c r="D73" i="14" s="1"/>
  <c r="E340" i="34"/>
  <c r="C42" i="14" s="1"/>
  <c r="I133" i="1"/>
  <c r="I64" i="8"/>
  <c r="I28" i="8"/>
  <c r="F335" i="34"/>
  <c r="D37" i="14" s="1"/>
  <c r="C32" i="8"/>
  <c r="I41" i="8"/>
  <c r="C35" i="2"/>
  <c r="I37" i="2"/>
  <c r="F394" i="34"/>
  <c r="D31" i="10" s="1"/>
  <c r="C35" i="36"/>
  <c r="C122" i="2"/>
  <c r="F325" i="34"/>
  <c r="E317" i="34"/>
  <c r="C19" i="14" s="1"/>
  <c r="E309" i="34"/>
  <c r="E301" i="34"/>
  <c r="E293" i="34"/>
  <c r="C46" i="8" s="1"/>
  <c r="E285" i="34"/>
  <c r="E277" i="34"/>
  <c r="E269" i="34"/>
  <c r="C22" i="8" s="1"/>
  <c r="E261" i="34"/>
  <c r="E253" i="34"/>
  <c r="E245" i="34"/>
  <c r="E237" i="34"/>
  <c r="C125" i="2" s="1"/>
  <c r="E229" i="34"/>
  <c r="E221" i="34"/>
  <c r="E213" i="34"/>
  <c r="E205" i="34"/>
  <c r="E197" i="34"/>
  <c r="C85" i="2" s="1"/>
  <c r="E189" i="34"/>
  <c r="C77" i="2" s="1"/>
  <c r="E181" i="34"/>
  <c r="E173" i="34"/>
  <c r="E165" i="34"/>
  <c r="E157" i="34"/>
  <c r="E149" i="34"/>
  <c r="C37" i="2" s="1"/>
  <c r="E141" i="34"/>
  <c r="E133" i="34"/>
  <c r="C21" i="2" s="1"/>
  <c r="D60" i="14"/>
  <c r="F356" i="34"/>
  <c r="D58" i="14" s="1"/>
  <c r="F373" i="34"/>
  <c r="D75" i="14" s="1"/>
  <c r="I111" i="2"/>
  <c r="I131" i="2"/>
  <c r="I21" i="8"/>
  <c r="E284" i="34"/>
  <c r="C37" i="8" s="1"/>
  <c r="C52" i="8"/>
  <c r="I24" i="8"/>
  <c r="I133" i="2"/>
  <c r="C87" i="2"/>
  <c r="D75" i="2"/>
  <c r="D63" i="2"/>
  <c r="C55" i="2"/>
  <c r="D31" i="2"/>
  <c r="I51" i="2"/>
  <c r="C44" i="14"/>
  <c r="C63" i="8"/>
  <c r="C35" i="8"/>
  <c r="C31" i="36"/>
  <c r="F333" i="34"/>
  <c r="E325" i="34"/>
  <c r="F367" i="34"/>
  <c r="D69" i="14" s="1"/>
  <c r="E349" i="34"/>
  <c r="C51" i="14" s="1"/>
  <c r="I44" i="8"/>
  <c r="D68" i="8"/>
  <c r="D36" i="8"/>
  <c r="I85" i="2"/>
  <c r="I131" i="1"/>
  <c r="F402" i="34"/>
  <c r="D39" i="10" s="1"/>
  <c r="C32" i="14"/>
  <c r="C31" i="8"/>
  <c r="E333" i="34"/>
  <c r="C35" i="14" s="1"/>
  <c r="E313" i="34"/>
  <c r="E297" i="34"/>
  <c r="E281" i="34"/>
  <c r="E265" i="34"/>
  <c r="E249" i="34"/>
  <c r="C22" i="36" s="1"/>
  <c r="E233" i="34"/>
  <c r="C121" i="2" s="1"/>
  <c r="E217" i="34"/>
  <c r="C105" i="2" s="1"/>
  <c r="E201" i="34"/>
  <c r="C89" i="2" s="1"/>
  <c r="E185" i="34"/>
  <c r="C73" i="2" s="1"/>
  <c r="E169" i="34"/>
  <c r="C45" i="2"/>
  <c r="E121" i="34"/>
  <c r="C142" i="1" s="1"/>
  <c r="E113" i="34"/>
  <c r="E105" i="34"/>
  <c r="C126" i="1" s="1"/>
  <c r="E97" i="34"/>
  <c r="C118" i="1" s="1"/>
  <c r="E89" i="34"/>
  <c r="E81" i="34"/>
  <c r="E73" i="34"/>
  <c r="E65" i="34"/>
  <c r="C82" i="1" s="1"/>
  <c r="E57" i="34"/>
  <c r="C74" i="1" s="1"/>
  <c r="E49" i="34"/>
  <c r="C66" i="1" s="1"/>
  <c r="E41" i="34"/>
  <c r="C58" i="1" s="1"/>
  <c r="E33" i="34"/>
  <c r="E25" i="34"/>
  <c r="E17" i="34"/>
  <c r="E9" i="34"/>
  <c r="F332" i="34"/>
  <c r="D34" i="14" s="1"/>
  <c r="F316" i="34"/>
  <c r="D69" i="8" s="1"/>
  <c r="F300" i="34"/>
  <c r="F284" i="34"/>
  <c r="D37" i="8" s="1"/>
  <c r="F268" i="34"/>
  <c r="F252" i="34"/>
  <c r="F236" i="34"/>
  <c r="F220" i="34"/>
  <c r="E212" i="34"/>
  <c r="C100" i="2" s="1"/>
  <c r="E204" i="34"/>
  <c r="C92" i="2" s="1"/>
  <c r="E196" i="34"/>
  <c r="C84" i="2" s="1"/>
  <c r="E373" i="34"/>
  <c r="C75" i="14" s="1"/>
  <c r="E372" i="34"/>
  <c r="C74" i="14" s="1"/>
  <c r="I110" i="1"/>
  <c r="I105" i="2"/>
  <c r="E252" i="34"/>
  <c r="F291" i="34"/>
  <c r="I25" i="8"/>
  <c r="D32" i="36"/>
  <c r="D123" i="2"/>
  <c r="E187" i="34"/>
  <c r="C51" i="2"/>
  <c r="E139" i="34"/>
  <c r="C27" i="2" s="1"/>
  <c r="C18" i="10"/>
  <c r="C27" i="14"/>
  <c r="E305" i="34"/>
  <c r="C58" i="8" s="1"/>
  <c r="C42" i="8"/>
  <c r="C101" i="2"/>
  <c r="D81" i="2"/>
  <c r="E177" i="34"/>
  <c r="C65" i="2" s="1"/>
  <c r="E161" i="34"/>
  <c r="C49" i="2" s="1"/>
  <c r="F109" i="34"/>
  <c r="D122" i="1"/>
  <c r="E93" i="34"/>
  <c r="C114" i="1" s="1"/>
  <c r="C106" i="1"/>
  <c r="F73" i="34"/>
  <c r="D94" i="1" s="1"/>
  <c r="F45" i="34"/>
  <c r="D54" i="1"/>
  <c r="E29" i="34"/>
  <c r="C46" i="1" s="1"/>
  <c r="C38" i="1"/>
  <c r="F9" i="34"/>
  <c r="D26" i="1" s="1"/>
  <c r="C88" i="1"/>
  <c r="F296" i="34"/>
  <c r="D49" i="8" s="1"/>
  <c r="F260" i="34"/>
  <c r="D132" i="2"/>
  <c r="F224" i="34"/>
  <c r="E356" i="34"/>
  <c r="C58" i="14" s="1"/>
  <c r="F361" i="34"/>
  <c r="D63" i="14" s="1"/>
  <c r="F354" i="34"/>
  <c r="I64" i="1"/>
  <c r="I52" i="8"/>
  <c r="C25" i="36"/>
  <c r="I101" i="2"/>
  <c r="C32" i="36"/>
  <c r="D95" i="2"/>
  <c r="C75" i="2"/>
  <c r="I72" i="2"/>
  <c r="E326" i="34"/>
  <c r="C28" i="14" s="1"/>
  <c r="D47" i="14"/>
  <c r="F321" i="34"/>
  <c r="C38" i="8"/>
  <c r="C117" i="2"/>
  <c r="E193" i="34"/>
  <c r="E145" i="34"/>
  <c r="C33" i="2" s="1"/>
  <c r="E129" i="34"/>
  <c r="F117" i="34"/>
  <c r="D130" i="1"/>
  <c r="E101" i="34"/>
  <c r="E369" i="34"/>
  <c r="C71" i="14" s="1"/>
  <c r="F364" i="34"/>
  <c r="D66" i="14" s="1"/>
  <c r="F388" i="34"/>
  <c r="D25" i="10" s="1"/>
  <c r="I27" i="2"/>
  <c r="I88" i="2"/>
  <c r="F283" i="34"/>
  <c r="I115" i="2"/>
  <c r="D115" i="2"/>
  <c r="F203" i="34"/>
  <c r="D91" i="2" s="1"/>
  <c r="E155" i="34"/>
  <c r="C43" i="2" s="1"/>
  <c r="I147" i="1"/>
  <c r="E402" i="34"/>
  <c r="C39" i="10" s="1"/>
  <c r="E310" i="34"/>
  <c r="E246" i="34"/>
  <c r="F341" i="34"/>
  <c r="D23" i="14"/>
  <c r="C54" i="8"/>
  <c r="D34" i="8"/>
  <c r="C38" i="36"/>
  <c r="C133" i="2"/>
  <c r="E209" i="34"/>
  <c r="C81" i="2"/>
  <c r="C61" i="2"/>
  <c r="F157" i="34"/>
  <c r="F141" i="34"/>
  <c r="D29" i="2" s="1"/>
  <c r="C150" i="1"/>
  <c r="D138" i="1"/>
  <c r="E109" i="34"/>
  <c r="C122" i="1"/>
  <c r="F89" i="34"/>
  <c r="D102" i="1"/>
  <c r="C94" i="1"/>
  <c r="F61" i="34"/>
  <c r="D78" i="1" s="1"/>
  <c r="E45" i="34"/>
  <c r="F25" i="34"/>
  <c r="D34" i="1"/>
  <c r="C26" i="1"/>
  <c r="F328" i="34"/>
  <c r="D30" i="14" s="1"/>
  <c r="D65" i="8"/>
  <c r="F292" i="34"/>
  <c r="F256" i="34"/>
  <c r="D108" i="2"/>
  <c r="F208" i="34"/>
  <c r="D88" i="2"/>
  <c r="E192" i="34"/>
  <c r="C80" i="2" s="1"/>
  <c r="E184" i="34"/>
  <c r="C72" i="2" s="1"/>
  <c r="C64" i="2"/>
  <c r="C56" i="2"/>
  <c r="C24" i="2"/>
  <c r="C149" i="1"/>
  <c r="C93" i="1"/>
  <c r="C81" i="1"/>
  <c r="C57" i="1"/>
  <c r="C41" i="1"/>
  <c r="C25" i="8"/>
  <c r="C108" i="2"/>
  <c r="D148" i="1"/>
  <c r="I97" i="2"/>
  <c r="D24" i="8"/>
  <c r="F195" i="34"/>
  <c r="D83" i="2" s="1"/>
  <c r="C59" i="8"/>
  <c r="F389" i="34"/>
  <c r="D26" i="10" s="1"/>
  <c r="C66" i="8"/>
  <c r="C34" i="8"/>
  <c r="C113" i="2"/>
  <c r="F165" i="34"/>
  <c r="D53" i="2" s="1"/>
  <c r="C29" i="2"/>
  <c r="F121" i="34"/>
  <c r="F105" i="34"/>
  <c r="D114" i="1"/>
  <c r="F77" i="34"/>
  <c r="C90" i="1"/>
  <c r="F53" i="34"/>
  <c r="D70" i="1" s="1"/>
  <c r="F41" i="34"/>
  <c r="D58" i="1" s="1"/>
  <c r="F29" i="34"/>
  <c r="D46" i="1" s="1"/>
  <c r="F17" i="34"/>
  <c r="F320" i="34"/>
  <c r="D25" i="8"/>
  <c r="D21" i="36"/>
  <c r="D112" i="2"/>
  <c r="D96" i="2"/>
  <c r="D76" i="2"/>
  <c r="F168" i="34"/>
  <c r="D48" i="2"/>
  <c r="E152" i="34"/>
  <c r="C40" i="2" s="1"/>
  <c r="F140" i="34"/>
  <c r="D28" i="2" s="1"/>
  <c r="D20" i="2"/>
  <c r="E124" i="34"/>
  <c r="C137" i="1"/>
  <c r="F104" i="34"/>
  <c r="E88" i="34"/>
  <c r="C109" i="1" s="1"/>
  <c r="F76" i="34"/>
  <c r="D97" i="1" s="1"/>
  <c r="D89" i="1"/>
  <c r="E60" i="34"/>
  <c r="C77" i="1" s="1"/>
  <c r="C69" i="1"/>
  <c r="F40" i="34"/>
  <c r="E24" i="34"/>
  <c r="I82" i="1"/>
  <c r="I34" i="8"/>
  <c r="F267" i="34"/>
  <c r="D20" i="8" s="1"/>
  <c r="E227" i="34"/>
  <c r="C115" i="2" s="1"/>
  <c r="E195" i="34"/>
  <c r="C83" i="2" s="1"/>
  <c r="F147" i="34"/>
  <c r="D43" i="14"/>
  <c r="C62" i="8"/>
  <c r="C30" i="8"/>
  <c r="C26" i="36"/>
  <c r="C109" i="2"/>
  <c r="C53" i="2"/>
  <c r="D142" i="1"/>
  <c r="D126" i="1"/>
  <c r="D110" i="1"/>
  <c r="D98" i="1"/>
  <c r="F65" i="34"/>
  <c r="D82" i="1" s="1"/>
  <c r="E53" i="34"/>
  <c r="C34" i="1"/>
  <c r="E5" i="34"/>
  <c r="D22" i="14"/>
  <c r="D45" i="8"/>
  <c r="D21" i="8"/>
  <c r="F244" i="34"/>
  <c r="F216" i="34"/>
  <c r="E208" i="34"/>
  <c r="C96" i="2" s="1"/>
  <c r="F196" i="34"/>
  <c r="D84" i="2" s="1"/>
  <c r="E188" i="34"/>
  <c r="C76" i="2" s="1"/>
  <c r="F176" i="34"/>
  <c r="D64" i="2" s="1"/>
  <c r="D56" i="2"/>
  <c r="E160" i="34"/>
  <c r="C48" i="2" s="1"/>
  <c r="F148" i="34"/>
  <c r="D36" i="2" s="1"/>
  <c r="E132" i="34"/>
  <c r="C20" i="2" s="1"/>
  <c r="C145" i="1"/>
  <c r="F112" i="34"/>
  <c r="D125" i="1"/>
  <c r="E96" i="34"/>
  <c r="C117" i="1" s="1"/>
  <c r="F84" i="34"/>
  <c r="E68" i="34"/>
  <c r="F48" i="34"/>
  <c r="D65" i="1" s="1"/>
  <c r="D57" i="1"/>
  <c r="E32" i="34"/>
  <c r="C49" i="1" s="1"/>
  <c r="F20" i="34"/>
  <c r="D37" i="1" s="1"/>
  <c r="E240" i="34"/>
  <c r="C128" i="2" s="1"/>
  <c r="C80" i="1"/>
  <c r="F115" i="34"/>
  <c r="D120" i="1"/>
  <c r="E308" i="34"/>
  <c r="C61" i="8" s="1"/>
  <c r="E244" i="34"/>
  <c r="C132" i="2" s="1"/>
  <c r="E75" i="34"/>
  <c r="C96" i="1" s="1"/>
  <c r="E230" i="34"/>
  <c r="E222" i="34"/>
  <c r="C110" i="2" s="1"/>
  <c r="E214" i="34"/>
  <c r="C102" i="2" s="1"/>
  <c r="E206" i="34"/>
  <c r="E198" i="34"/>
  <c r="C86" i="2" s="1"/>
  <c r="E190" i="34"/>
  <c r="C78" i="2" s="1"/>
  <c r="E182" i="34"/>
  <c r="C70" i="2" s="1"/>
  <c r="E174" i="34"/>
  <c r="C62" i="2" s="1"/>
  <c r="E399" i="34"/>
  <c r="C36" i="10" s="1"/>
  <c r="I27" i="1"/>
  <c r="I55" i="8"/>
  <c r="C107" i="2"/>
  <c r="D27" i="2"/>
  <c r="F386" i="34"/>
  <c r="D23" i="10" s="1"/>
  <c r="C19" i="36"/>
  <c r="C50" i="8"/>
  <c r="C129" i="2"/>
  <c r="C97" i="2"/>
  <c r="C69" i="2"/>
  <c r="E153" i="34"/>
  <c r="F133" i="34"/>
  <c r="D21" i="2" s="1"/>
  <c r="F113" i="34"/>
  <c r="F97" i="34"/>
  <c r="D118" i="1" s="1"/>
  <c r="E61" i="34"/>
  <c r="C78" i="1" s="1"/>
  <c r="D66" i="1"/>
  <c r="E37" i="34"/>
  <c r="C54" i="1" s="1"/>
  <c r="C42" i="1"/>
  <c r="E13" i="34"/>
  <c r="C30" i="1" s="1"/>
  <c r="D61" i="8"/>
  <c r="D33" i="36"/>
  <c r="F232" i="34"/>
  <c r="D120" i="2" s="1"/>
  <c r="C104" i="2"/>
  <c r="F192" i="34"/>
  <c r="D80" i="2" s="1"/>
  <c r="F172" i="34"/>
  <c r="D60" i="2" s="1"/>
  <c r="D52" i="2"/>
  <c r="E156" i="34"/>
  <c r="C44" i="2" s="1"/>
  <c r="C36" i="2"/>
  <c r="F136" i="34"/>
  <c r="D149" i="1"/>
  <c r="E120" i="34"/>
  <c r="C141" i="1" s="1"/>
  <c r="F108" i="34"/>
  <c r="D129" i="1" s="1"/>
  <c r="D121" i="1"/>
  <c r="E92" i="34"/>
  <c r="C113" i="1" s="1"/>
  <c r="C105" i="1"/>
  <c r="F72" i="34"/>
  <c r="D93" i="1" s="1"/>
  <c r="D81" i="1"/>
  <c r="D20" i="36"/>
  <c r="C57" i="2"/>
  <c r="F125" i="34"/>
  <c r="D146" i="1" s="1"/>
  <c r="F81" i="34"/>
  <c r="C62" i="1"/>
  <c r="F21" i="34"/>
  <c r="C22" i="1"/>
  <c r="D57" i="8"/>
  <c r="D37" i="36"/>
  <c r="E172" i="34"/>
  <c r="D44" i="2"/>
  <c r="E144" i="34"/>
  <c r="C32" i="2" s="1"/>
  <c r="E128" i="34"/>
  <c r="D133" i="1"/>
  <c r="E84" i="34"/>
  <c r="F68" i="34"/>
  <c r="E56" i="34"/>
  <c r="C73" i="1" s="1"/>
  <c r="E44" i="34"/>
  <c r="F28" i="34"/>
  <c r="C37" i="1"/>
  <c r="C41" i="8"/>
  <c r="E79" i="34"/>
  <c r="F119" i="34"/>
  <c r="F99" i="34"/>
  <c r="F35" i="34"/>
  <c r="D44" i="1"/>
  <c r="E19" i="34"/>
  <c r="C28" i="1"/>
  <c r="E324" i="34"/>
  <c r="F334" i="34"/>
  <c r="D35" i="8"/>
  <c r="F262" i="34"/>
  <c r="D19" i="36"/>
  <c r="C118" i="2"/>
  <c r="D98" i="2"/>
  <c r="E202" i="34"/>
  <c r="F182" i="34"/>
  <c r="D62" i="2"/>
  <c r="E166" i="34"/>
  <c r="E158" i="34"/>
  <c r="E150" i="34"/>
  <c r="E142" i="34"/>
  <c r="E134" i="34"/>
  <c r="E126" i="34"/>
  <c r="E118" i="34"/>
  <c r="E110" i="34"/>
  <c r="E102" i="34"/>
  <c r="E94" i="34"/>
  <c r="E86" i="34"/>
  <c r="E78" i="34"/>
  <c r="E70" i="34"/>
  <c r="E62" i="34"/>
  <c r="E54" i="34"/>
  <c r="E46" i="34"/>
  <c r="E38" i="34"/>
  <c r="E30" i="34"/>
  <c r="E22" i="34"/>
  <c r="E14" i="34"/>
  <c r="E6" i="34"/>
  <c r="E312" i="34"/>
  <c r="E280" i="34"/>
  <c r="E248" i="34"/>
  <c r="E119" i="34"/>
  <c r="E55" i="34"/>
  <c r="E12" i="34"/>
  <c r="D100" i="1"/>
  <c r="I26" i="14"/>
  <c r="D80" i="1"/>
  <c r="I27" i="36"/>
  <c r="I35" i="14"/>
  <c r="E18" i="10"/>
  <c r="I48" i="14"/>
  <c r="E33" i="10"/>
  <c r="E24" i="10"/>
  <c r="E38" i="10"/>
  <c r="I33" i="14"/>
  <c r="I32" i="36"/>
  <c r="E371" i="34"/>
  <c r="C73" i="14" s="1"/>
  <c r="I56" i="8"/>
  <c r="F171" i="34"/>
  <c r="E394" i="34"/>
  <c r="C31" i="10" s="1"/>
  <c r="E401" i="34"/>
  <c r="C38" i="10" s="1"/>
  <c r="E257" i="34"/>
  <c r="C30" i="36" s="1"/>
  <c r="C93" i="2"/>
  <c r="D49" i="2"/>
  <c r="E125" i="34"/>
  <c r="C146" i="1" s="1"/>
  <c r="F101" i="34"/>
  <c r="C102" i="1"/>
  <c r="D38" i="1"/>
  <c r="E67" i="34"/>
  <c r="D53" i="8"/>
  <c r="D29" i="36"/>
  <c r="D104" i="2"/>
  <c r="F200" i="34"/>
  <c r="F184" i="34"/>
  <c r="D72" i="2" s="1"/>
  <c r="C60" i="2"/>
  <c r="E140" i="34"/>
  <c r="C28" i="2" s="1"/>
  <c r="F124" i="34"/>
  <c r="D145" i="1" s="1"/>
  <c r="E112" i="34"/>
  <c r="C133" i="1" s="1"/>
  <c r="F96" i="34"/>
  <c r="D117" i="1" s="1"/>
  <c r="F80" i="34"/>
  <c r="C89" i="1"/>
  <c r="F52" i="34"/>
  <c r="D69" i="1" s="1"/>
  <c r="C61" i="1"/>
  <c r="D45" i="1"/>
  <c r="F16" i="34"/>
  <c r="D33" i="1" s="1"/>
  <c r="E272" i="34"/>
  <c r="C100" i="1"/>
  <c r="D140" i="1"/>
  <c r="F95" i="34"/>
  <c r="D116" i="1" s="1"/>
  <c r="F43" i="34"/>
  <c r="D60" i="1" s="1"/>
  <c r="D52" i="1"/>
  <c r="E27" i="34"/>
  <c r="C44" i="1" s="1"/>
  <c r="C36" i="1"/>
  <c r="F7" i="34"/>
  <c r="D24" i="1" s="1"/>
  <c r="C26" i="14"/>
  <c r="E59" i="34"/>
  <c r="C76" i="1" s="1"/>
  <c r="D36" i="14"/>
  <c r="F278" i="34"/>
  <c r="D31" i="8" s="1"/>
  <c r="D35" i="36"/>
  <c r="D106" i="2"/>
  <c r="C90" i="2"/>
  <c r="F190" i="34"/>
  <c r="D70" i="2"/>
  <c r="C54" i="2"/>
  <c r="C46" i="2"/>
  <c r="C38" i="2"/>
  <c r="C30" i="2"/>
  <c r="C22" i="2"/>
  <c r="C147" i="1"/>
  <c r="C139" i="1"/>
  <c r="C131" i="1"/>
  <c r="C123" i="1"/>
  <c r="C115" i="1"/>
  <c r="C107" i="1"/>
  <c r="C99" i="1"/>
  <c r="C91" i="1"/>
  <c r="C79" i="1"/>
  <c r="C71" i="1"/>
  <c r="C63" i="1"/>
  <c r="C55" i="1"/>
  <c r="C47" i="1"/>
  <c r="C39" i="1"/>
  <c r="C31" i="1"/>
  <c r="C23" i="1"/>
  <c r="C65" i="8"/>
  <c r="C33" i="8"/>
  <c r="C21" i="36"/>
  <c r="C140" i="1"/>
  <c r="C72" i="1"/>
  <c r="C29" i="1"/>
  <c r="F67" i="34"/>
  <c r="D88" i="1" s="1"/>
  <c r="F55" i="34"/>
  <c r="I22" i="14"/>
  <c r="I29" i="36"/>
  <c r="I39" i="14"/>
  <c r="I20" i="14"/>
  <c r="E29" i="10"/>
  <c r="E20" i="10"/>
  <c r="E34" i="10"/>
  <c r="I37" i="14"/>
  <c r="I36" i="36"/>
  <c r="I119" i="1"/>
  <c r="I82" i="2"/>
  <c r="I69" i="1"/>
  <c r="I28" i="2"/>
  <c r="I28" i="1"/>
  <c r="I124" i="1"/>
  <c r="I33" i="8"/>
  <c r="I58" i="8"/>
  <c r="C21" i="8"/>
  <c r="C45" i="14"/>
  <c r="C64" i="8"/>
  <c r="I22" i="2"/>
  <c r="I119" i="2"/>
  <c r="I102" i="1"/>
  <c r="I64" i="2"/>
  <c r="I56" i="1"/>
  <c r="I19" i="2"/>
  <c r="I60" i="8"/>
  <c r="I107" i="1"/>
  <c r="I71" i="2"/>
  <c r="I61" i="1"/>
  <c r="I20" i="2"/>
  <c r="I20" i="1"/>
  <c r="I116" i="1"/>
  <c r="I38" i="8"/>
  <c r="I29" i="8"/>
  <c r="F344" i="34"/>
  <c r="D46" i="14" s="1"/>
  <c r="E395" i="34"/>
  <c r="C32" i="10" s="1"/>
  <c r="E331" i="34"/>
  <c r="C33" i="14" s="1"/>
  <c r="I80" i="1"/>
  <c r="I67" i="2"/>
  <c r="I118" i="2"/>
  <c r="D60" i="8"/>
  <c r="F351" i="34"/>
  <c r="D53" i="14" s="1"/>
  <c r="F350" i="34"/>
  <c r="D52" i="14" s="1"/>
  <c r="C67" i="8"/>
  <c r="D19" i="1"/>
  <c r="D108" i="1"/>
  <c r="I61" i="2"/>
  <c r="C61" i="14"/>
  <c r="I62" i="8"/>
  <c r="E203" i="34"/>
  <c r="C91" i="2" s="1"/>
  <c r="C19" i="2"/>
  <c r="C41" i="2"/>
  <c r="D134" i="1"/>
  <c r="E85" i="34"/>
  <c r="D74" i="1"/>
  <c r="C50" i="1"/>
  <c r="F5" i="34"/>
  <c r="D22" i="1" s="1"/>
  <c r="D41" i="8"/>
  <c r="D124" i="2"/>
  <c r="F204" i="34"/>
  <c r="D92" i="2" s="1"/>
  <c r="F180" i="34"/>
  <c r="C52" i="2"/>
  <c r="D32" i="2"/>
  <c r="F120" i="34"/>
  <c r="D141" i="1" s="1"/>
  <c r="E104" i="34"/>
  <c r="C125" i="1" s="1"/>
  <c r="D105" i="1"/>
  <c r="E64" i="34"/>
  <c r="E48" i="34"/>
  <c r="C65" i="1" s="1"/>
  <c r="F32" i="34"/>
  <c r="D49" i="1" s="1"/>
  <c r="E16" i="34"/>
  <c r="C33" i="1" s="1"/>
  <c r="E228" i="34"/>
  <c r="C116" i="2" s="1"/>
  <c r="D144" i="1"/>
  <c r="D104" i="1"/>
  <c r="F39" i="34"/>
  <c r="F27" i="34"/>
  <c r="D32" i="1"/>
  <c r="D20" i="1"/>
  <c r="E260" i="34"/>
  <c r="C33" i="36" s="1"/>
  <c r="F346" i="34"/>
  <c r="D48" i="14" s="1"/>
  <c r="D28" i="14"/>
  <c r="D55" i="8"/>
  <c r="D27" i="8"/>
  <c r="D118" i="2"/>
  <c r="C106" i="2"/>
  <c r="C94" i="2"/>
  <c r="C58" i="2"/>
  <c r="D46" i="2"/>
  <c r="D34" i="2"/>
  <c r="C26" i="2"/>
  <c r="D147" i="1"/>
  <c r="D135" i="1"/>
  <c r="C127" i="1"/>
  <c r="D115" i="1"/>
  <c r="D103" i="1"/>
  <c r="C95" i="1"/>
  <c r="D79" i="1"/>
  <c r="D67" i="1"/>
  <c r="C59" i="1"/>
  <c r="D47" i="1"/>
  <c r="D35" i="1"/>
  <c r="C27" i="1"/>
  <c r="C20" i="14"/>
  <c r="C23" i="8"/>
  <c r="C120" i="2"/>
  <c r="C92" i="1"/>
  <c r="C25" i="1"/>
  <c r="F91" i="34"/>
  <c r="E51" i="34"/>
  <c r="I34" i="14"/>
  <c r="I23" i="14"/>
  <c r="I38" i="36"/>
  <c r="I21" i="36"/>
  <c r="E36" i="10"/>
  <c r="E19" i="10"/>
  <c r="I45" i="14"/>
  <c r="I26" i="2"/>
  <c r="I103" i="2"/>
  <c r="I53" i="1"/>
  <c r="I129" i="1"/>
  <c r="I84" i="2"/>
  <c r="I55" i="1"/>
  <c r="I35" i="8"/>
  <c r="E392" i="34"/>
  <c r="E268" i="34"/>
  <c r="E335" i="34"/>
  <c r="C37" i="14" s="1"/>
  <c r="C56" i="8"/>
  <c r="E367" i="34"/>
  <c r="C69" i="14" s="1"/>
  <c r="I78" i="2"/>
  <c r="E199" i="34"/>
  <c r="D35" i="14"/>
  <c r="E273" i="34"/>
  <c r="C26" i="8" s="1"/>
  <c r="D89" i="2"/>
  <c r="F149" i="34"/>
  <c r="D37" i="2" s="1"/>
  <c r="C134" i="1"/>
  <c r="E77" i="34"/>
  <c r="C98" i="1" s="1"/>
  <c r="C70" i="1"/>
  <c r="F280" i="34"/>
  <c r="D33" i="8" s="1"/>
  <c r="E200" i="34"/>
  <c r="C88" i="2" s="1"/>
  <c r="E180" i="34"/>
  <c r="C68" i="2" s="1"/>
  <c r="F160" i="34"/>
  <c r="F100" i="34"/>
  <c r="D101" i="1"/>
  <c r="F60" i="34"/>
  <c r="D77" i="1" s="1"/>
  <c r="F44" i="34"/>
  <c r="D61" i="1" s="1"/>
  <c r="E28" i="34"/>
  <c r="C45" i="1" s="1"/>
  <c r="E320" i="34"/>
  <c r="C22" i="14" s="1"/>
  <c r="D136" i="1"/>
  <c r="F71" i="34"/>
  <c r="D56" i="1"/>
  <c r="C32" i="1"/>
  <c r="E3" i="34"/>
  <c r="C20" i="1" s="1"/>
  <c r="E123" i="34"/>
  <c r="C144" i="1" s="1"/>
  <c r="F294" i="34"/>
  <c r="F270" i="34"/>
  <c r="D23" i="36"/>
  <c r="D114" i="2"/>
  <c r="F214" i="34"/>
  <c r="D102" i="2" s="1"/>
  <c r="F202" i="34"/>
  <c r="D78" i="2"/>
  <c r="D66" i="2"/>
  <c r="F166" i="34"/>
  <c r="F134" i="34"/>
  <c r="F102" i="34"/>
  <c r="D123" i="1" s="1"/>
  <c r="F70" i="34"/>
  <c r="D91" i="1" s="1"/>
  <c r="F38" i="34"/>
  <c r="D55" i="1" s="1"/>
  <c r="F6" i="34"/>
  <c r="D23" i="1" s="1"/>
  <c r="E302" i="34"/>
  <c r="E264" i="34"/>
  <c r="E224" i="34"/>
  <c r="F12" i="34"/>
  <c r="E4" i="34"/>
  <c r="C21" i="1" s="1"/>
  <c r="D112" i="1"/>
  <c r="C68" i="1"/>
  <c r="D72" i="1"/>
  <c r="I38" i="14"/>
  <c r="I27" i="14"/>
  <c r="I24" i="14"/>
  <c r="I25" i="36"/>
  <c r="E32" i="10"/>
  <c r="E30" i="10"/>
  <c r="I20" i="36"/>
  <c r="I139" i="1"/>
  <c r="I60" i="2"/>
  <c r="I37" i="1"/>
  <c r="I113" i="1"/>
  <c r="I63" i="2"/>
  <c r="I39" i="1"/>
  <c r="I99" i="2"/>
  <c r="C29" i="10"/>
  <c r="F399" i="34"/>
  <c r="D36" i="10" s="1"/>
  <c r="E364" i="34"/>
  <c r="C66" i="14" s="1"/>
  <c r="I129" i="2"/>
  <c r="F187" i="34"/>
  <c r="E386" i="34"/>
  <c r="C23" i="10" s="1"/>
  <c r="D27" i="14"/>
  <c r="C34" i="36"/>
  <c r="C130" i="1"/>
  <c r="F49" i="34"/>
  <c r="D42" i="1"/>
  <c r="F324" i="34"/>
  <c r="D26" i="14" s="1"/>
  <c r="F276" i="34"/>
  <c r="D29" i="8" s="1"/>
  <c r="F228" i="34"/>
  <c r="D116" i="2" s="1"/>
  <c r="F156" i="34"/>
  <c r="D24" i="2"/>
  <c r="F116" i="34"/>
  <c r="D137" i="1" s="1"/>
  <c r="E100" i="34"/>
  <c r="C121" i="1" s="1"/>
  <c r="E80" i="34"/>
  <c r="C101" i="1" s="1"/>
  <c r="E304" i="34"/>
  <c r="E220" i="34"/>
  <c r="F111" i="34"/>
  <c r="D132" i="1" s="1"/>
  <c r="D92" i="1"/>
  <c r="F23" i="34"/>
  <c r="D40" i="1" s="1"/>
  <c r="F11" i="34"/>
  <c r="D28" i="1" s="1"/>
  <c r="F342" i="34"/>
  <c r="D44" i="14" s="1"/>
  <c r="F318" i="34"/>
  <c r="D20" i="14" s="1"/>
  <c r="D47" i="8"/>
  <c r="D23" i="8"/>
  <c r="F246" i="34"/>
  <c r="D90" i="2"/>
  <c r="D54" i="2"/>
  <c r="D22" i="2"/>
  <c r="C103" i="1"/>
  <c r="D75" i="1"/>
  <c r="C67" i="1"/>
  <c r="C55" i="8"/>
  <c r="C37" i="36"/>
  <c r="C112" i="2"/>
  <c r="D29" i="1"/>
  <c r="I19" i="1"/>
  <c r="E47" i="34"/>
  <c r="C64" i="1" s="1"/>
  <c r="F75" i="34"/>
  <c r="D96" i="1" s="1"/>
  <c r="I42" i="14"/>
  <c r="I31" i="14"/>
  <c r="I28" i="14"/>
  <c r="I31" i="36"/>
  <c r="E28" i="10"/>
  <c r="E26" i="10"/>
  <c r="I22" i="36"/>
  <c r="I99" i="1"/>
  <c r="I39" i="2"/>
  <c r="I21" i="1"/>
  <c r="I97" i="1"/>
  <c r="I42" i="2"/>
  <c r="I23" i="1"/>
  <c r="I125" i="2"/>
  <c r="F380" i="34"/>
  <c r="D82" i="14" s="1"/>
  <c r="E327" i="34"/>
  <c r="C29" i="14" s="1"/>
  <c r="I113" i="2"/>
  <c r="I58" i="1"/>
  <c r="I134" i="1"/>
  <c r="I86" i="2"/>
  <c r="F358" i="34"/>
  <c r="E194" i="34"/>
  <c r="C82" i="2" s="1"/>
  <c r="F178" i="34"/>
  <c r="E178" i="34"/>
  <c r="C66" i="2" s="1"/>
  <c r="F154" i="34"/>
  <c r="D42" i="2" s="1"/>
  <c r="E146" i="34"/>
  <c r="C34" i="2" s="1"/>
  <c r="F122" i="34"/>
  <c r="D143" i="1" s="1"/>
  <c r="E114" i="34"/>
  <c r="C135" i="1" s="1"/>
  <c r="F90" i="34"/>
  <c r="D111" i="1" s="1"/>
  <c r="E82" i="34"/>
  <c r="F58" i="34"/>
  <c r="E50" i="34"/>
  <c r="F26" i="34"/>
  <c r="D43" i="1" s="1"/>
  <c r="E18" i="34"/>
  <c r="C35" i="1" s="1"/>
  <c r="P4" i="33" a="1"/>
  <c r="P4" i="33" s="1"/>
  <c r="E385" i="34"/>
  <c r="C22" i="10" s="1"/>
  <c r="F345" i="34"/>
  <c r="F337" i="34"/>
  <c r="D39" i="14" s="1"/>
  <c r="F329" i="34"/>
  <c r="D31" i="14" s="1"/>
  <c r="F372" i="34"/>
  <c r="D74" i="14" s="1"/>
  <c r="E353" i="34"/>
  <c r="C55" i="14" s="1"/>
  <c r="F327" i="34"/>
  <c r="D29" i="14" s="1"/>
  <c r="E295" i="34"/>
  <c r="C48" i="8" s="1"/>
  <c r="E287" i="34"/>
  <c r="C40" i="8" s="1"/>
  <c r="E279" i="34"/>
  <c r="F271" i="34"/>
  <c r="F263" i="34"/>
  <c r="F255" i="34"/>
  <c r="F239" i="34"/>
  <c r="D127" i="2" s="1"/>
  <c r="F231" i="34"/>
  <c r="D119" i="2" s="1"/>
  <c r="F223" i="34"/>
  <c r="D111" i="2" s="1"/>
  <c r="F215" i="34"/>
  <c r="D103" i="2" s="1"/>
  <c r="F207" i="34"/>
  <c r="F199" i="34"/>
  <c r="D87" i="2" s="1"/>
  <c r="E191" i="34"/>
  <c r="C79" i="2" s="1"/>
  <c r="E183" i="34"/>
  <c r="C71" i="2" s="1"/>
  <c r="E175" i="34"/>
  <c r="C63" i="2" s="1"/>
  <c r="F167" i="34"/>
  <c r="D55" i="2" s="1"/>
  <c r="E159" i="34"/>
  <c r="C47" i="2" s="1"/>
  <c r="F159" i="34"/>
  <c r="F151" i="34"/>
  <c r="D39" i="2" s="1"/>
  <c r="E135" i="34"/>
  <c r="E127" i="34"/>
  <c r="C148" i="1" s="1"/>
  <c r="E111" i="34"/>
  <c r="C132" i="1" s="1"/>
  <c r="E95" i="34"/>
  <c r="C116" i="1" s="1"/>
  <c r="F47" i="34"/>
  <c r="D64" i="1" s="1"/>
  <c r="E39" i="34"/>
  <c r="C56" i="1" s="1"/>
  <c r="E31" i="34"/>
  <c r="C48" i="1" s="1"/>
  <c r="E23" i="34"/>
  <c r="C40" i="1" s="1"/>
  <c r="E15" i="34"/>
  <c r="E7" i="34"/>
  <c r="C24" i="1" s="1"/>
  <c r="E358" i="34"/>
  <c r="C60" i="14" s="1"/>
  <c r="F175" i="34"/>
  <c r="F279" i="34"/>
  <c r="D32" i="8" s="1"/>
  <c r="E390" i="34"/>
  <c r="C27" i="10" s="1"/>
  <c r="F397" i="34"/>
  <c r="D34" i="10" s="1"/>
  <c r="E366" i="34"/>
  <c r="C68" i="14" s="1"/>
  <c r="E359" i="34"/>
  <c r="E352" i="34"/>
  <c r="C54" i="14" s="1"/>
  <c r="O5" i="33" a="1"/>
  <c r="O5" i="33" s="1"/>
  <c r="P5" i="33" a="1"/>
  <c r="P5" i="33" s="1"/>
  <c r="P3" i="33" a="1"/>
  <c r="P3" i="33" s="1"/>
  <c r="O3" i="33" a="1"/>
  <c r="O3" i="33" s="1"/>
  <c r="O7" i="33" a="1"/>
  <c r="O7" i="33" s="1"/>
  <c r="P7" i="33" a="1"/>
  <c r="P7" i="33" s="1"/>
  <c r="O4" i="33" a="1"/>
  <c r="O4" i="33" s="1"/>
  <c r="E2" i="34"/>
  <c r="C19" i="1" s="1"/>
  <c r="O8" i="33" a="1"/>
  <c r="O8" i="33" s="1"/>
  <c r="P6" i="33" a="1"/>
  <c r="P6" i="33" s="1"/>
  <c r="P8" i="33" a="1"/>
  <c r="P8" i="33" s="1"/>
  <c r="K89" i="2"/>
  <c r="E378" i="34"/>
  <c r="C80" i="14" s="1"/>
  <c r="F363" i="34"/>
  <c r="D65" i="14" s="1"/>
  <c r="E363" i="34"/>
  <c r="C65" i="14" s="1"/>
  <c r="F370" i="34"/>
  <c r="D72" i="14" s="1"/>
  <c r="E381" i="34"/>
  <c r="E341" i="34"/>
  <c r="C43" i="14" s="1"/>
  <c r="F375" i="34"/>
  <c r="D77" i="14" s="1"/>
  <c r="E375" i="34"/>
  <c r="C77" i="14" s="1"/>
  <c r="E362" i="34"/>
  <c r="C64" i="14" s="1"/>
  <c r="E357" i="34"/>
  <c r="C59" i="14" s="1"/>
  <c r="E374" i="34"/>
  <c r="C76" i="14" s="1"/>
  <c r="AB15" i="32"/>
  <c r="E393" i="34"/>
  <c r="C30" i="10" s="1"/>
  <c r="F299" i="34"/>
  <c r="D52" i="8" s="1"/>
  <c r="E291" i="34"/>
  <c r="C44" i="8" s="1"/>
  <c r="F275" i="34"/>
  <c r="D28" i="8" s="1"/>
  <c r="E275" i="34"/>
  <c r="C28" i="8" s="1"/>
  <c r="E267" i="34"/>
  <c r="F259" i="34"/>
  <c r="E259" i="34"/>
  <c r="F251" i="34"/>
  <c r="D24" i="36" s="1"/>
  <c r="E251" i="34"/>
  <c r="C24" i="36" s="1"/>
  <c r="F243" i="34"/>
  <c r="E243" i="34"/>
  <c r="C131" i="2" s="1"/>
  <c r="E235" i="34"/>
  <c r="C123" i="2" s="1"/>
  <c r="F235" i="34"/>
  <c r="F227" i="34"/>
  <c r="F219" i="34"/>
  <c r="D107" i="2" s="1"/>
  <c r="E219" i="34"/>
  <c r="F211" i="34"/>
  <c r="D99" i="2" s="1"/>
  <c r="E211" i="34"/>
  <c r="C99" i="2" s="1"/>
  <c r="F179" i="34"/>
  <c r="D67" i="2" s="1"/>
  <c r="E147" i="34"/>
  <c r="E131" i="34"/>
  <c r="E99" i="34"/>
  <c r="E368" i="34"/>
  <c r="C70" i="14" s="1"/>
  <c r="F391" i="34"/>
  <c r="D28" i="10" s="1"/>
  <c r="F313" i="34"/>
  <c r="D66" i="8" s="1"/>
  <c r="F305" i="34"/>
  <c r="D58" i="8" s="1"/>
  <c r="F297" i="34"/>
  <c r="D50" i="8" s="1"/>
  <c r="F289" i="34"/>
  <c r="D42" i="8" s="1"/>
  <c r="F281" i="34"/>
  <c r="F273" i="34"/>
  <c r="D26" i="8" s="1"/>
  <c r="F265" i="34"/>
  <c r="D38" i="36" s="1"/>
  <c r="F257" i="34"/>
  <c r="D30" i="36" s="1"/>
  <c r="F249" i="34"/>
  <c r="D22" i="36" s="1"/>
  <c r="F241" i="34"/>
  <c r="D129" i="2" s="1"/>
  <c r="F233" i="34"/>
  <c r="D121" i="2" s="1"/>
  <c r="F225" i="34"/>
  <c r="D113" i="2" s="1"/>
  <c r="F217" i="34"/>
  <c r="D105" i="2" s="1"/>
  <c r="F209" i="34"/>
  <c r="D97" i="2" s="1"/>
  <c r="F201" i="34"/>
  <c r="F193" i="34"/>
  <c r="F185" i="34"/>
  <c r="D73" i="2" s="1"/>
  <c r="F177" i="34"/>
  <c r="D65" i="2" s="1"/>
  <c r="F169" i="34"/>
  <c r="D57" i="2" s="1"/>
  <c r="F161" i="34"/>
  <c r="F153" i="34"/>
  <c r="D41" i="2" s="1"/>
  <c r="F145" i="34"/>
  <c r="D33" i="2" s="1"/>
  <c r="F137" i="34"/>
  <c r="D25" i="2" s="1"/>
  <c r="F129" i="34"/>
  <c r="D150" i="1" s="1"/>
  <c r="E361" i="34"/>
  <c r="C63" i="14" s="1"/>
  <c r="E348" i="34"/>
  <c r="C50" i="14" s="1"/>
  <c r="Z8" i="32"/>
  <c r="Z43" i="32"/>
  <c r="F362" i="34"/>
  <c r="D64" i="14" s="1"/>
  <c r="E370" i="34"/>
  <c r="J65" i="8" l="1"/>
  <c r="J69" i="8" s="1"/>
  <c r="J64" i="2"/>
  <c r="J65" i="2"/>
  <c r="L50" i="1"/>
  <c r="L83" i="1"/>
  <c r="K64" i="8"/>
  <c r="K64" i="2"/>
  <c r="K65" i="2"/>
  <c r="M81" i="1"/>
  <c r="AA43" i="32"/>
  <c r="AB43" i="32" s="1"/>
  <c r="L6" i="10"/>
  <c r="L6" i="1"/>
  <c r="J6" i="36"/>
  <c r="J6" i="8"/>
  <c r="J6" i="14"/>
  <c r="J5" i="2"/>
  <c r="J5" i="36"/>
  <c r="J5" i="8"/>
  <c r="J5" i="14"/>
  <c r="L5" i="1"/>
  <c r="L5" i="10"/>
  <c r="E222" i="35"/>
  <c r="E317" i="35"/>
  <c r="E139" i="35"/>
  <c r="E87" i="35"/>
  <c r="E321" i="35"/>
  <c r="E178" i="35"/>
  <c r="E50" i="35"/>
  <c r="E44" i="35"/>
  <c r="E151" i="35"/>
  <c r="E309" i="35"/>
  <c r="E152" i="35"/>
  <c r="E252" i="35"/>
  <c r="E356" i="35"/>
  <c r="E197" i="35"/>
  <c r="E21" i="35"/>
  <c r="E211" i="35"/>
  <c r="E69" i="35"/>
  <c r="E10" i="35"/>
  <c r="E90" i="35"/>
  <c r="E298" i="35"/>
  <c r="D6" i="37"/>
  <c r="E18" i="35"/>
  <c r="E285" i="35"/>
  <c r="E223" i="35"/>
  <c r="E165" i="35"/>
  <c r="E26" i="35"/>
  <c r="E307" i="35"/>
  <c r="E73" i="35"/>
  <c r="E83" i="35"/>
  <c r="E159" i="35"/>
  <c r="E179" i="35"/>
  <c r="E308" i="35"/>
  <c r="E359" i="35"/>
  <c r="E324" i="35"/>
  <c r="E129" i="35"/>
  <c r="E283" i="35"/>
  <c r="E88" i="35"/>
  <c r="E361" i="35"/>
  <c r="E199" i="35"/>
  <c r="E105" i="35"/>
  <c r="E241" i="35"/>
  <c r="E150" i="35"/>
  <c r="E340" i="35"/>
  <c r="E269" i="35"/>
  <c r="E193" i="35"/>
  <c r="E68" i="35"/>
  <c r="E146" i="35"/>
  <c r="E19" i="35"/>
  <c r="E230" i="35"/>
  <c r="E37" i="35"/>
  <c r="E243" i="35"/>
  <c r="E296" i="35"/>
  <c r="E35" i="35"/>
  <c r="E118" i="35"/>
  <c r="E162" i="35"/>
  <c r="E362" i="35"/>
  <c r="E231" i="35"/>
  <c r="E186" i="35"/>
  <c r="E257" i="35"/>
  <c r="E97" i="35"/>
  <c r="E66" i="35"/>
  <c r="E345" i="35"/>
  <c r="E128" i="35"/>
  <c r="E213" i="35"/>
  <c r="E330" i="35"/>
  <c r="E325" i="35"/>
  <c r="D11" i="36"/>
  <c r="E275" i="35"/>
  <c r="E355" i="35"/>
  <c r="E98" i="35"/>
  <c r="E185" i="35"/>
  <c r="E261" i="35"/>
  <c r="E273" i="35"/>
  <c r="E136" i="35"/>
  <c r="E155" i="35"/>
  <c r="D21" i="37"/>
  <c r="E41" i="35"/>
  <c r="E220" i="35"/>
  <c r="E306" i="35"/>
  <c r="E320" i="35"/>
  <c r="E209" i="35"/>
  <c r="E121" i="35"/>
  <c r="E331" i="35"/>
  <c r="E239" i="35"/>
  <c r="E262" i="35"/>
  <c r="E194" i="35"/>
  <c r="D15" i="37"/>
  <c r="E133" i="35"/>
  <c r="D11" i="37"/>
  <c r="E131" i="35"/>
  <c r="E268" i="35"/>
  <c r="E125" i="35"/>
  <c r="E327" i="35"/>
  <c r="E237" i="35"/>
  <c r="E225" i="35"/>
  <c r="E52" i="35"/>
  <c r="E366" i="35"/>
  <c r="E344" i="35"/>
  <c r="E181" i="35"/>
  <c r="E153" i="35"/>
  <c r="E346" i="35"/>
  <c r="E336" i="35"/>
  <c r="E260" i="35"/>
  <c r="D19" i="37"/>
  <c r="E360" i="35"/>
  <c r="E89" i="35"/>
  <c r="E31" i="35"/>
  <c r="E177" i="35"/>
  <c r="E7" i="35"/>
  <c r="E147" i="35"/>
  <c r="E305" i="35"/>
  <c r="E42" i="35"/>
  <c r="D20" i="37"/>
  <c r="E202" i="35"/>
  <c r="E13" i="35"/>
  <c r="E363" i="35"/>
  <c r="E183" i="35"/>
  <c r="E255" i="35"/>
  <c r="E117" i="35"/>
  <c r="E124" i="35"/>
  <c r="E238" i="35"/>
  <c r="E112" i="35"/>
  <c r="E293" i="35"/>
  <c r="E169" i="35"/>
  <c r="E328" i="35"/>
  <c r="E259" i="35"/>
  <c r="E212" i="35"/>
  <c r="E81" i="35"/>
  <c r="D9" i="37"/>
  <c r="E206" i="35"/>
  <c r="D4" i="37"/>
  <c r="E38" i="35"/>
  <c r="E278" i="35"/>
  <c r="E337" i="35"/>
  <c r="E221" i="35"/>
  <c r="E235" i="35"/>
  <c r="E301" i="35"/>
  <c r="E74" i="35"/>
  <c r="E57" i="35"/>
  <c r="E158" i="35"/>
  <c r="E300" i="35"/>
  <c r="E289" i="35"/>
  <c r="E36" i="35"/>
  <c r="E164" i="35"/>
  <c r="E286" i="35"/>
  <c r="E224" i="35"/>
  <c r="E24" i="35"/>
  <c r="D10" i="37"/>
  <c r="E276" i="35"/>
  <c r="E297" i="35"/>
  <c r="E210" i="35"/>
  <c r="E174" i="35"/>
  <c r="E22" i="35"/>
  <c r="E280" i="35"/>
  <c r="E214" i="35"/>
  <c r="E84" i="35"/>
  <c r="E91" i="35"/>
  <c r="E314" i="35"/>
  <c r="E14" i="35"/>
  <c r="E343" i="35"/>
  <c r="E135" i="35"/>
  <c r="E290" i="35"/>
  <c r="E8" i="35"/>
  <c r="E192" i="35"/>
  <c r="E51" i="35"/>
  <c r="E144" i="35"/>
  <c r="E20" i="35"/>
  <c r="E33" i="35"/>
  <c r="E190" i="35"/>
  <c r="E258" i="35"/>
  <c r="E11" i="35"/>
  <c r="E195" i="35"/>
  <c r="D5" i="37"/>
  <c r="E141" i="35"/>
  <c r="E149" i="35"/>
  <c r="D12" i="37"/>
  <c r="E166" i="35"/>
  <c r="E132" i="35"/>
  <c r="E318" i="35"/>
  <c r="E323" i="35"/>
  <c r="E63" i="35"/>
  <c r="E294" i="35"/>
  <c r="E216" i="35"/>
  <c r="E284" i="35"/>
  <c r="E61" i="35"/>
  <c r="E5" i="35"/>
  <c r="E148" i="35"/>
  <c r="E25" i="35"/>
  <c r="D23" i="37"/>
  <c r="E171" i="35"/>
  <c r="E272" i="35"/>
  <c r="E4" i="35"/>
  <c r="E3" i="35"/>
  <c r="E58" i="35"/>
  <c r="E316" i="35"/>
  <c r="E265" i="35"/>
  <c r="E200" i="35"/>
  <c r="E9" i="35"/>
  <c r="E64" i="35"/>
  <c r="E72" i="35"/>
  <c r="E168" i="35"/>
  <c r="E196" i="35"/>
  <c r="D11" i="8"/>
  <c r="E188" i="35"/>
  <c r="E215" i="35"/>
  <c r="E12" i="35"/>
  <c r="E254" i="35"/>
  <c r="E161" i="35"/>
  <c r="E279" i="35"/>
  <c r="E16" i="35"/>
  <c r="E302" i="35"/>
  <c r="E109" i="35"/>
  <c r="E102" i="35"/>
  <c r="E245" i="35"/>
  <c r="E304" i="35"/>
  <c r="E310" i="35"/>
  <c r="E106" i="35"/>
  <c r="E365" i="35"/>
  <c r="E120" i="35"/>
  <c r="E357" i="35"/>
  <c r="E46" i="35"/>
  <c r="D11" i="14"/>
  <c r="D14" i="37"/>
  <c r="E45" i="35"/>
  <c r="D3" i="37"/>
  <c r="E267" i="35"/>
  <c r="E62" i="35"/>
  <c r="E85" i="35"/>
  <c r="E249" i="35"/>
  <c r="E232" i="35"/>
  <c r="E219" i="35"/>
  <c r="E299" i="35"/>
  <c r="E71" i="35"/>
  <c r="D2" i="37"/>
  <c r="D11" i="2"/>
  <c r="E295" i="35"/>
  <c r="E353" i="35"/>
  <c r="E92" i="35"/>
  <c r="E77" i="35"/>
  <c r="E59" i="35"/>
  <c r="E108" i="35"/>
  <c r="E130" i="35"/>
  <c r="E233" i="35"/>
  <c r="E281" i="35"/>
  <c r="E54" i="35"/>
  <c r="E172" i="35"/>
  <c r="E116" i="35"/>
  <c r="E227" i="35"/>
  <c r="E80" i="35"/>
  <c r="E180" i="35"/>
  <c r="E143" i="35"/>
  <c r="E23" i="35"/>
  <c r="E246" i="35"/>
  <c r="E113" i="35"/>
  <c r="D22" i="37"/>
  <c r="E145" i="35"/>
  <c r="E40" i="35"/>
  <c r="E244" i="35"/>
  <c r="E138" i="35"/>
  <c r="E334" i="35"/>
  <c r="E70" i="35"/>
  <c r="E28" i="35"/>
  <c r="E100" i="35"/>
  <c r="E205" i="35"/>
  <c r="E242" i="35"/>
  <c r="E341" i="35"/>
  <c r="E123" i="35"/>
  <c r="E287" i="35"/>
  <c r="D17" i="37"/>
  <c r="E86" i="35"/>
  <c r="E191" i="35"/>
  <c r="E266" i="35"/>
  <c r="E15" i="35"/>
  <c r="D7" i="37"/>
  <c r="E182" i="35"/>
  <c r="E34" i="35"/>
  <c r="E134" i="35"/>
  <c r="E122" i="35"/>
  <c r="E234" i="35"/>
  <c r="E140" i="35"/>
  <c r="E204" i="35"/>
  <c r="E167" i="35"/>
  <c r="E354" i="35"/>
  <c r="D8" i="37"/>
  <c r="E349" i="35"/>
  <c r="E288" i="35"/>
  <c r="E30" i="35"/>
  <c r="E250" i="35"/>
  <c r="E282" i="35"/>
  <c r="E175" i="35"/>
  <c r="E156" i="35"/>
  <c r="E27" i="35"/>
  <c r="E351" i="35"/>
  <c r="E217" i="35"/>
  <c r="E339" i="35"/>
  <c r="D11" i="1"/>
  <c r="E176" i="35"/>
  <c r="E137" i="35"/>
  <c r="E119" i="35"/>
  <c r="E67" i="35"/>
  <c r="D16" i="37"/>
  <c r="E207" i="35"/>
  <c r="E198" i="35"/>
  <c r="E17" i="35"/>
  <c r="E332" i="35"/>
  <c r="E226" i="35"/>
  <c r="E29" i="35"/>
  <c r="E170" i="35"/>
  <c r="E126" i="35"/>
  <c r="E229" i="35"/>
  <c r="E56" i="35"/>
  <c r="E160" i="35"/>
  <c r="E315" i="35"/>
  <c r="E53" i="35"/>
  <c r="E256" i="35"/>
  <c r="E157" i="35"/>
  <c r="E218" i="35"/>
  <c r="E251" i="35"/>
  <c r="E95" i="35"/>
  <c r="E333" i="35"/>
  <c r="E107" i="35"/>
  <c r="E65" i="35"/>
  <c r="E348" i="35"/>
  <c r="E163" i="35"/>
  <c r="E208" i="35"/>
  <c r="E55" i="35"/>
  <c r="E319" i="35"/>
  <c r="E312" i="35"/>
  <c r="E104" i="35"/>
  <c r="E79" i="35"/>
  <c r="E115" i="35"/>
  <c r="E114" i="35"/>
  <c r="E47" i="35"/>
  <c r="E203" i="35"/>
  <c r="E75" i="35"/>
  <c r="E49" i="35"/>
  <c r="E292" i="35"/>
  <c r="E48" i="35"/>
  <c r="E110" i="35"/>
  <c r="E43" i="35"/>
  <c r="E6" i="35"/>
  <c r="E248" i="35"/>
  <c r="D24" i="37"/>
  <c r="E94" i="35"/>
  <c r="E271" i="35"/>
  <c r="E96" i="35"/>
  <c r="E111" i="35"/>
  <c r="E101" i="35"/>
  <c r="E247" i="35"/>
  <c r="E270" i="35"/>
  <c r="E173" i="35"/>
  <c r="E335" i="35"/>
  <c r="E184" i="35"/>
  <c r="E189" i="35"/>
  <c r="E201" i="35"/>
  <c r="E263" i="35"/>
  <c r="E342" i="35"/>
  <c r="D13" i="37"/>
  <c r="E154" i="35"/>
  <c r="E2" i="35"/>
  <c r="D18" i="37"/>
  <c r="E322" i="35"/>
  <c r="E103" i="35"/>
  <c r="E277" i="35"/>
  <c r="E78" i="35"/>
  <c r="E93" i="35"/>
  <c r="E142" i="35"/>
  <c r="E39" i="35"/>
  <c r="E364" i="35"/>
  <c r="E352" i="35"/>
  <c r="E99" i="35"/>
  <c r="E127" i="35"/>
  <c r="E338" i="35"/>
  <c r="E236" i="35"/>
  <c r="E350" i="35"/>
  <c r="E274" i="35"/>
  <c r="E313" i="35"/>
  <c r="E32" i="35"/>
  <c r="E347" i="35"/>
  <c r="E240" i="35"/>
  <c r="E291" i="35"/>
  <c r="E82" i="35"/>
  <c r="E60" i="35"/>
  <c r="E253" i="35"/>
  <c r="E303" i="35"/>
  <c r="E76" i="35"/>
  <c r="E187" i="35"/>
  <c r="E329" i="35"/>
  <c r="E264" i="35"/>
  <c r="D11" i="10"/>
  <c r="E358" i="35"/>
  <c r="E326" i="35"/>
  <c r="E228" i="35"/>
  <c r="C6" i="37"/>
  <c r="D10" i="35"/>
  <c r="D263" i="35"/>
  <c r="D91" i="35"/>
  <c r="D55" i="35"/>
  <c r="D189" i="35"/>
  <c r="D171" i="35"/>
  <c r="C18" i="37"/>
  <c r="D95" i="35"/>
  <c r="D291" i="35"/>
  <c r="D117" i="35"/>
  <c r="D152" i="35"/>
  <c r="D205" i="35"/>
  <c r="D233" i="35"/>
  <c r="D307" i="35"/>
  <c r="D163" i="35"/>
  <c r="D200" i="35"/>
  <c r="C19" i="37"/>
  <c r="D352" i="35"/>
  <c r="D356" i="35"/>
  <c r="D92" i="35"/>
  <c r="D45" i="35"/>
  <c r="D306" i="35"/>
  <c r="D296" i="35"/>
  <c r="D174" i="35"/>
  <c r="D280" i="35"/>
  <c r="D314" i="35"/>
  <c r="C23" i="37"/>
  <c r="D78" i="35"/>
  <c r="D248" i="35"/>
  <c r="D112" i="35"/>
  <c r="D127" i="35"/>
  <c r="D142" i="35"/>
  <c r="D86" i="35"/>
  <c r="D5" i="1"/>
  <c r="D125" i="35"/>
  <c r="D134" i="35"/>
  <c r="D221" i="35"/>
  <c r="D119" i="35"/>
  <c r="D183" i="35"/>
  <c r="D145" i="35"/>
  <c r="D5" i="8"/>
  <c r="D81" i="35"/>
  <c r="D323" i="35"/>
  <c r="D346" i="35"/>
  <c r="D209" i="35"/>
  <c r="D154" i="35"/>
  <c r="D230" i="35"/>
  <c r="D299" i="35"/>
  <c r="C24" i="37"/>
  <c r="D147" i="35"/>
  <c r="D249" i="35"/>
  <c r="D268" i="35"/>
  <c r="D348" i="35"/>
  <c r="D288" i="35"/>
  <c r="D338" i="35"/>
  <c r="D188" i="35"/>
  <c r="D50" i="35"/>
  <c r="D360" i="35"/>
  <c r="D238" i="35"/>
  <c r="D64" i="35"/>
  <c r="D71" i="35"/>
  <c r="D165" i="35"/>
  <c r="D271" i="35"/>
  <c r="D11" i="35"/>
  <c r="D155" i="35"/>
  <c r="D118" i="35"/>
  <c r="D218" i="35"/>
  <c r="D39" i="35"/>
  <c r="D180" i="35"/>
  <c r="D146" i="35"/>
  <c r="D13" i="35"/>
  <c r="D133" i="35"/>
  <c r="D251" i="35"/>
  <c r="D67" i="35"/>
  <c r="D294" i="35"/>
  <c r="D333" i="35"/>
  <c r="D311" i="35"/>
  <c r="D178" i="35"/>
  <c r="D73" i="35"/>
  <c r="D83" i="35"/>
  <c r="D190" i="35"/>
  <c r="D177" i="35"/>
  <c r="D5" i="10"/>
  <c r="D139" i="35"/>
  <c r="D12" i="35"/>
  <c r="D19" i="35"/>
  <c r="D253" i="35"/>
  <c r="D141" i="35"/>
  <c r="D315" i="35"/>
  <c r="D349" i="35"/>
  <c r="D57" i="35"/>
  <c r="D40" i="35"/>
  <c r="D316" i="35"/>
  <c r="D167" i="35"/>
  <c r="D247" i="35"/>
  <c r="D210" i="35"/>
  <c r="D138" i="35"/>
  <c r="D28" i="35"/>
  <c r="D106" i="35"/>
  <c r="D231" i="35"/>
  <c r="D21" i="35"/>
  <c r="D347" i="35"/>
  <c r="D319" i="35"/>
  <c r="D365" i="35"/>
  <c r="D51" i="35"/>
  <c r="D72" i="35"/>
  <c r="D197" i="35"/>
  <c r="D87" i="35"/>
  <c r="C11" i="37"/>
  <c r="D131" i="35"/>
  <c r="D310" i="35"/>
  <c r="D220" i="35"/>
  <c r="D143" i="35"/>
  <c r="D225" i="35"/>
  <c r="D212" i="35"/>
  <c r="D26" i="35"/>
  <c r="D46" i="35"/>
  <c r="D366" i="35"/>
  <c r="D195" i="35"/>
  <c r="D350" i="35"/>
  <c r="D326" i="35"/>
  <c r="D274" i="35"/>
  <c r="D84" i="35"/>
  <c r="D266" i="35"/>
  <c r="C2" i="37"/>
  <c r="D35" i="35"/>
  <c r="D169" i="35"/>
  <c r="D29" i="35"/>
  <c r="C10" i="37"/>
  <c r="D88" i="35"/>
  <c r="D107" i="35"/>
  <c r="D31" i="35"/>
  <c r="D196" i="35"/>
  <c r="D132" i="35"/>
  <c r="D236" i="35"/>
  <c r="C16" i="37"/>
  <c r="D120" i="35"/>
  <c r="D5" i="2"/>
  <c r="D358" i="35"/>
  <c r="D128" i="35"/>
  <c r="D175" i="35"/>
  <c r="D150" i="35"/>
  <c r="D223" i="35"/>
  <c r="D275" i="35"/>
  <c r="D255" i="35"/>
  <c r="D193" i="35"/>
  <c r="D226" i="35"/>
  <c r="D361" i="35"/>
  <c r="D191" i="35"/>
  <c r="C13" i="37"/>
  <c r="D293" i="35"/>
  <c r="D124" i="35"/>
  <c r="D110" i="35"/>
  <c r="D318" i="35"/>
  <c r="D43" i="35"/>
  <c r="D79" i="35"/>
  <c r="D303" i="35"/>
  <c r="D300" i="35"/>
  <c r="D362" i="35"/>
  <c r="D44" i="35"/>
  <c r="D166" i="35"/>
  <c r="D285" i="35"/>
  <c r="D65" i="35"/>
  <c r="D94" i="35"/>
  <c r="C20" i="37"/>
  <c r="D30" i="35"/>
  <c r="D282" i="35"/>
  <c r="D3" i="35"/>
  <c r="C21" i="37"/>
  <c r="D281" i="35"/>
  <c r="D137" i="35"/>
  <c r="D278" i="35"/>
  <c r="D241" i="35"/>
  <c r="D224" i="35"/>
  <c r="D24" i="35"/>
  <c r="D182" i="35"/>
  <c r="D108" i="35"/>
  <c r="D219" i="35"/>
  <c r="D5" i="36"/>
  <c r="D222" i="35"/>
  <c r="D284" i="35"/>
  <c r="D105" i="35"/>
  <c r="D97" i="35"/>
  <c r="D359" i="35"/>
  <c r="D332" i="35"/>
  <c r="D355" i="35"/>
  <c r="D298" i="35"/>
  <c r="D207" i="35"/>
  <c r="D23" i="35"/>
  <c r="D242" i="35"/>
  <c r="D140" i="35"/>
  <c r="D7" i="35"/>
  <c r="D194" i="35"/>
  <c r="D104" i="35"/>
  <c r="D103" i="35"/>
  <c r="D261" i="35"/>
  <c r="D214" i="35"/>
  <c r="D228" i="35"/>
  <c r="D186" i="35"/>
  <c r="D58" i="35"/>
  <c r="C5" i="37"/>
  <c r="C14" i="37"/>
  <c r="C17" i="37"/>
  <c r="D325" i="35"/>
  <c r="D339" i="35"/>
  <c r="D313" i="35"/>
  <c r="D9" i="35"/>
  <c r="D334" i="35"/>
  <c r="D184" i="35"/>
  <c r="D354" i="35"/>
  <c r="D93" i="35"/>
  <c r="D262" i="35"/>
  <c r="D211" i="35"/>
  <c r="D179" i="35"/>
  <c r="D129" i="35"/>
  <c r="D153" i="35"/>
  <c r="D335" i="35"/>
  <c r="D327" i="35"/>
  <c r="D322" i="35"/>
  <c r="D246" i="35"/>
  <c r="D240" i="35"/>
  <c r="D77" i="35"/>
  <c r="D217" i="35"/>
  <c r="D160" i="35"/>
  <c r="D364" i="35"/>
  <c r="D317" i="35"/>
  <c r="D258" i="35"/>
  <c r="D295" i="35"/>
  <c r="D329" i="35"/>
  <c r="D277" i="35"/>
  <c r="D289" i="35"/>
  <c r="C7" i="37"/>
  <c r="D279" i="35"/>
  <c r="D98" i="35"/>
  <c r="D62" i="35"/>
  <c r="D276" i="35"/>
  <c r="D286" i="35"/>
  <c r="D173" i="35"/>
  <c r="D227" i="35"/>
  <c r="D76" i="35"/>
  <c r="D170" i="35"/>
  <c r="D36" i="35"/>
  <c r="D215" i="35"/>
  <c r="C3" i="37"/>
  <c r="D151" i="35"/>
  <c r="D305" i="35"/>
  <c r="D96" i="35"/>
  <c r="D213" i="35"/>
  <c r="D6" i="35"/>
  <c r="D102" i="35"/>
  <c r="D148" i="35"/>
  <c r="D176" i="35"/>
  <c r="C12" i="37"/>
  <c r="C8" i="37"/>
  <c r="D259" i="35"/>
  <c r="D168" i="35"/>
  <c r="D63" i="35"/>
  <c r="D16" i="35"/>
  <c r="D80" i="35"/>
  <c r="D164" i="35"/>
  <c r="D121" i="35"/>
  <c r="D33" i="35"/>
  <c r="D56" i="35"/>
  <c r="D320" i="35"/>
  <c r="D239" i="35"/>
  <c r="D206" i="35"/>
  <c r="D162" i="35"/>
  <c r="D269" i="35"/>
  <c r="D250" i="35"/>
  <c r="D20" i="35"/>
  <c r="D75" i="35"/>
  <c r="D2" i="35"/>
  <c r="D301" i="35"/>
  <c r="C22" i="37"/>
  <c r="D66" i="35"/>
  <c r="D69" i="35"/>
  <c r="D144" i="35"/>
  <c r="D292" i="35"/>
  <c r="D34" i="35"/>
  <c r="D18" i="35"/>
  <c r="C15" i="37"/>
  <c r="D192" i="35"/>
  <c r="D123" i="35"/>
  <c r="D330" i="35"/>
  <c r="D111" i="35"/>
  <c r="D157" i="35"/>
  <c r="D60" i="35"/>
  <c r="D328" i="35"/>
  <c r="D312" i="35"/>
  <c r="D116" i="35"/>
  <c r="D273" i="35"/>
  <c r="D52" i="35"/>
  <c r="D199" i="35"/>
  <c r="D122" i="35"/>
  <c r="D115" i="35"/>
  <c r="D331" i="35"/>
  <c r="D149" i="35"/>
  <c r="D68" i="35"/>
  <c r="D100" i="35"/>
  <c r="D89" i="35"/>
  <c r="D202" i="35"/>
  <c r="D309" i="35"/>
  <c r="D357" i="35"/>
  <c r="D204" i="35"/>
  <c r="D245" i="35"/>
  <c r="D161" i="35"/>
  <c r="D54" i="35"/>
  <c r="D351" i="35"/>
  <c r="D48" i="35"/>
  <c r="D61" i="35"/>
  <c r="D324" i="35"/>
  <c r="D270" i="35"/>
  <c r="D22" i="35"/>
  <c r="D5" i="14"/>
  <c r="D254" i="35"/>
  <c r="D235" i="35"/>
  <c r="D156" i="35"/>
  <c r="D208" i="35"/>
  <c r="D159" i="35"/>
  <c r="D41" i="35"/>
  <c r="D272" i="35"/>
  <c r="D27" i="35"/>
  <c r="D74" i="35"/>
  <c r="D337" i="35"/>
  <c r="D90" i="35"/>
  <c r="D181" i="35"/>
  <c r="D353" i="35"/>
  <c r="D216" i="35"/>
  <c r="D49" i="35"/>
  <c r="D304" i="35"/>
  <c r="D126" i="35"/>
  <c r="D158" i="35"/>
  <c r="D14" i="35"/>
  <c r="D237" i="35"/>
  <c r="D136" i="35"/>
  <c r="D321" i="35"/>
  <c r="C4" i="37"/>
  <c r="D265" i="35"/>
  <c r="D283" i="35"/>
  <c r="D37" i="35"/>
  <c r="D15" i="35"/>
  <c r="D343" i="35"/>
  <c r="D243" i="35"/>
  <c r="D17" i="35"/>
  <c r="D336" i="35"/>
  <c r="D244" i="35"/>
  <c r="D256" i="35"/>
  <c r="D297" i="35"/>
  <c r="D47" i="35"/>
  <c r="D101" i="35"/>
  <c r="D185" i="35"/>
  <c r="D8" i="35"/>
  <c r="D341" i="35"/>
  <c r="D38" i="35"/>
  <c r="D252" i="35"/>
  <c r="D42" i="35"/>
  <c r="D302" i="35"/>
  <c r="D308" i="35"/>
  <c r="D114" i="35"/>
  <c r="D53" i="35"/>
  <c r="D130" i="35"/>
  <c r="D363" i="35"/>
  <c r="D99" i="35"/>
  <c r="D203" i="35"/>
  <c r="D340" i="35"/>
  <c r="D345" i="35"/>
  <c r="D342" i="35"/>
  <c r="D85" i="35"/>
  <c r="D109" i="35"/>
  <c r="D135" i="35"/>
  <c r="D257" i="35"/>
  <c r="D232" i="35"/>
  <c r="D267" i="35"/>
  <c r="D113" i="35"/>
  <c r="D260" i="35"/>
  <c r="D82" i="35"/>
  <c r="D25" i="35"/>
  <c r="D234" i="35"/>
  <c r="D290" i="35"/>
  <c r="D229" i="35"/>
  <c r="D264" i="35"/>
  <c r="D172" i="35"/>
  <c r="D201" i="35"/>
  <c r="D59" i="35"/>
  <c r="D187" i="35"/>
  <c r="D344" i="35"/>
  <c r="D198" i="35"/>
  <c r="D70" i="35"/>
  <c r="D287" i="35"/>
  <c r="D32" i="35"/>
  <c r="C9" i="37"/>
  <c r="D4" i="35"/>
  <c r="D5" i="35"/>
  <c r="L81" i="1"/>
  <c r="AB8" i="32"/>
  <c r="Z5" i="32"/>
  <c r="K124" i="35"/>
  <c r="L20" i="35"/>
  <c r="M127" i="35"/>
  <c r="J33" i="35"/>
  <c r="K76" i="35"/>
  <c r="J87" i="35"/>
  <c r="M252" i="35"/>
  <c r="P3" i="37"/>
  <c r="N23" i="37"/>
  <c r="M206" i="35"/>
  <c r="K117" i="35"/>
  <c r="J38" i="35"/>
  <c r="K43" i="35"/>
  <c r="L318" i="35"/>
  <c r="L174" i="35"/>
  <c r="M361" i="35"/>
  <c r="M314" i="35"/>
  <c r="J82" i="35"/>
  <c r="K3" i="37"/>
  <c r="M6" i="35"/>
  <c r="P24" i="37"/>
  <c r="L264" i="35"/>
  <c r="L21" i="35"/>
  <c r="M202" i="35"/>
  <c r="O11" i="37"/>
  <c r="L155" i="35"/>
  <c r="L46" i="35"/>
  <c r="L158" i="35"/>
  <c r="M324" i="35"/>
  <c r="K25" i="35"/>
  <c r="L41" i="35"/>
  <c r="L236" i="35"/>
  <c r="M354" i="35"/>
  <c r="K88" i="35"/>
  <c r="M170" i="35"/>
  <c r="K26" i="35"/>
  <c r="L28" i="35"/>
  <c r="M213" i="35"/>
  <c r="M151" i="35"/>
  <c r="J115" i="35"/>
  <c r="J61" i="35"/>
  <c r="M341" i="35"/>
  <c r="M76" i="35"/>
  <c r="L73" i="35"/>
  <c r="M96" i="35"/>
  <c r="K95" i="35"/>
  <c r="L29" i="35"/>
  <c r="M313" i="35"/>
  <c r="M19" i="37"/>
  <c r="L167" i="35"/>
  <c r="M191" i="35"/>
  <c r="M245" i="35"/>
  <c r="M188" i="35"/>
  <c r="N14" i="37"/>
  <c r="L162" i="35"/>
  <c r="L17" i="37"/>
  <c r="L37" i="35"/>
  <c r="M182" i="35"/>
  <c r="M145" i="35"/>
  <c r="L63" i="35"/>
  <c r="L35" i="35"/>
  <c r="M9" i="35"/>
  <c r="K11" i="35"/>
  <c r="M67" i="35"/>
  <c r="M328" i="35"/>
  <c r="M42" i="35"/>
  <c r="M220" i="35"/>
  <c r="M142" i="35"/>
  <c r="L74" i="35"/>
  <c r="J88" i="35"/>
  <c r="K67" i="35"/>
  <c r="K13" i="35"/>
  <c r="K69" i="35"/>
  <c r="L342" i="35"/>
  <c r="L103" i="35"/>
  <c r="M131" i="35"/>
  <c r="L316" i="35"/>
  <c r="M232" i="35"/>
  <c r="M310" i="35"/>
  <c r="L265" i="35"/>
  <c r="L292" i="35"/>
  <c r="M14" i="37"/>
  <c r="J112" i="35"/>
  <c r="L9" i="37"/>
  <c r="L96" i="35"/>
  <c r="J19" i="37"/>
  <c r="M47" i="35"/>
  <c r="M336" i="35"/>
  <c r="J12" i="37"/>
  <c r="L47" i="35"/>
  <c r="L361" i="35"/>
  <c r="K92" i="35"/>
  <c r="M123" i="35"/>
  <c r="M40" i="35"/>
  <c r="K13" i="37"/>
  <c r="M292" i="35"/>
  <c r="K17" i="37"/>
  <c r="O14" i="37"/>
  <c r="M116" i="35"/>
  <c r="M312" i="35"/>
  <c r="P15" i="37"/>
  <c r="M24" i="37"/>
  <c r="L2" i="35"/>
  <c r="M332" i="35"/>
  <c r="K72" i="35"/>
  <c r="J62" i="35"/>
  <c r="L169" i="35"/>
  <c r="L154" i="35"/>
  <c r="M320" i="35"/>
  <c r="J79" i="35"/>
  <c r="M164" i="35"/>
  <c r="P7" i="37"/>
  <c r="M85" i="35"/>
  <c r="J92" i="35"/>
  <c r="L90" i="35"/>
  <c r="M8" i="37"/>
  <c r="K4" i="37"/>
  <c r="M133" i="35"/>
  <c r="L213" i="35"/>
  <c r="L356" i="35"/>
  <c r="M128" i="35"/>
  <c r="M337" i="35"/>
  <c r="M299" i="35"/>
  <c r="J64" i="35"/>
  <c r="L151" i="35"/>
  <c r="N10" i="37"/>
  <c r="L196" i="35"/>
  <c r="M286" i="35"/>
  <c r="J5" i="37"/>
  <c r="M249" i="35"/>
  <c r="K24" i="35"/>
  <c r="P19" i="37"/>
  <c r="M32" i="35"/>
  <c r="L109" i="35"/>
  <c r="K78" i="35"/>
  <c r="L163" i="35"/>
  <c r="L328" i="35"/>
  <c r="N21" i="37"/>
  <c r="L89" i="35"/>
  <c r="J86" i="35"/>
  <c r="K53" i="35"/>
  <c r="K84" i="35"/>
  <c r="L349" i="35"/>
  <c r="J59" i="35"/>
  <c r="L198" i="35"/>
  <c r="M247" i="35"/>
  <c r="M5" i="37"/>
  <c r="K11" i="37"/>
  <c r="L52" i="35"/>
  <c r="M352" i="35"/>
  <c r="L330" i="35"/>
  <c r="M171" i="35"/>
  <c r="L4" i="37"/>
  <c r="M61" i="35"/>
  <c r="L259" i="35"/>
  <c r="L179" i="35"/>
  <c r="M2" i="37"/>
  <c r="L23" i="35"/>
  <c r="K45" i="35"/>
  <c r="K115" i="35"/>
  <c r="K19" i="37"/>
  <c r="K65" i="35"/>
  <c r="M195" i="35"/>
  <c r="K2" i="35"/>
  <c r="L249" i="35"/>
  <c r="K126" i="35"/>
  <c r="M97" i="35"/>
  <c r="M22" i="35"/>
  <c r="L114" i="35"/>
  <c r="K127" i="35"/>
  <c r="M45" i="35"/>
  <c r="L235" i="35"/>
  <c r="M181" i="35"/>
  <c r="O7" i="37"/>
  <c r="M199" i="35"/>
  <c r="L99" i="35"/>
  <c r="L206" i="35"/>
  <c r="M114" i="35"/>
  <c r="K2" i="37"/>
  <c r="L329" i="35"/>
  <c r="J56" i="35"/>
  <c r="M4" i="35"/>
  <c r="L194" i="35"/>
  <c r="L173" i="35"/>
  <c r="M331" i="35"/>
  <c r="K18" i="35"/>
  <c r="P21" i="37"/>
  <c r="M21" i="35"/>
  <c r="J75" i="35"/>
  <c r="L182" i="35"/>
  <c r="M333" i="35"/>
  <c r="K10" i="37"/>
  <c r="K7" i="35"/>
  <c r="O5" i="37"/>
  <c r="M189" i="35"/>
  <c r="L203" i="35"/>
  <c r="M290" i="35"/>
  <c r="L336" i="35"/>
  <c r="L230" i="35"/>
  <c r="L161" i="35"/>
  <c r="O6" i="37"/>
  <c r="L202" i="35"/>
  <c r="L195" i="35"/>
  <c r="L267" i="35"/>
  <c r="L4" i="35"/>
  <c r="L164" i="35"/>
  <c r="M101" i="35"/>
  <c r="M129" i="35"/>
  <c r="M60" i="35"/>
  <c r="K15" i="37"/>
  <c r="M216" i="35"/>
  <c r="M48" i="35"/>
  <c r="P17" i="37"/>
  <c r="M134" i="35"/>
  <c r="M353" i="35"/>
  <c r="L19" i="35"/>
  <c r="J126" i="35"/>
  <c r="L224" i="35"/>
  <c r="N15" i="37"/>
  <c r="K32" i="35"/>
  <c r="K14" i="37"/>
  <c r="J114" i="35"/>
  <c r="L287" i="35"/>
  <c r="L140" i="35"/>
  <c r="M219" i="35"/>
  <c r="L364" i="35"/>
  <c r="L127" i="35"/>
  <c r="L309" i="35"/>
  <c r="L339" i="35"/>
  <c r="M241" i="35"/>
  <c r="K12" i="37"/>
  <c r="M71" i="35"/>
  <c r="M43" i="35"/>
  <c r="L53" i="35"/>
  <c r="M120" i="35"/>
  <c r="K106" i="35"/>
  <c r="L123" i="35"/>
  <c r="L197" i="35"/>
  <c r="L55" i="35"/>
  <c r="M64" i="35"/>
  <c r="M162" i="35"/>
  <c r="N13" i="37"/>
  <c r="K97" i="35"/>
  <c r="L30" i="35"/>
  <c r="M108" i="35"/>
  <c r="K98" i="35"/>
  <c r="L234" i="35"/>
  <c r="J109" i="35"/>
  <c r="L125" i="35"/>
  <c r="K40" i="35"/>
  <c r="K99" i="35"/>
  <c r="L357" i="35"/>
  <c r="M99" i="35"/>
  <c r="L51" i="35"/>
  <c r="M211" i="35"/>
  <c r="J65" i="35"/>
  <c r="M12" i="37"/>
  <c r="M95" i="35"/>
  <c r="L257" i="35"/>
  <c r="L211" i="35"/>
  <c r="L77" i="35"/>
  <c r="L5" i="37"/>
  <c r="L275" i="35"/>
  <c r="K29" i="35"/>
  <c r="J76" i="35"/>
  <c r="M349" i="35"/>
  <c r="L366" i="35"/>
  <c r="K104" i="35"/>
  <c r="N24" i="37"/>
  <c r="M276" i="35"/>
  <c r="M268" i="35"/>
  <c r="L68" i="35"/>
  <c r="L16" i="35"/>
  <c r="L263" i="35"/>
  <c r="M124" i="35"/>
  <c r="L282" i="35"/>
  <c r="L305" i="35"/>
  <c r="L278" i="35"/>
  <c r="M18" i="35"/>
  <c r="L306" i="35"/>
  <c r="M98" i="35"/>
  <c r="L260" i="35"/>
  <c r="K96" i="35"/>
  <c r="J77" i="35"/>
  <c r="L350" i="35"/>
  <c r="M309" i="35"/>
  <c r="K47" i="35"/>
  <c r="M297" i="35"/>
  <c r="L69" i="35"/>
  <c r="L274" i="35"/>
  <c r="L326" i="35"/>
  <c r="K23" i="35"/>
  <c r="Q17" i="37"/>
  <c r="J100" i="35"/>
  <c r="O23" i="37"/>
  <c r="L71" i="35"/>
  <c r="N17" i="37"/>
  <c r="K9" i="35"/>
  <c r="M277" i="35"/>
  <c r="J8" i="37"/>
  <c r="O24" i="37"/>
  <c r="K35" i="35"/>
  <c r="M248" i="35"/>
  <c r="M275" i="35"/>
  <c r="M34" i="35"/>
  <c r="L286" i="35"/>
  <c r="J108" i="35"/>
  <c r="M356" i="35"/>
  <c r="N4" i="37"/>
  <c r="L93" i="35"/>
  <c r="L85" i="35"/>
  <c r="M53" i="35"/>
  <c r="K73" i="35"/>
  <c r="L186" i="35"/>
  <c r="K14" i="35"/>
  <c r="K107" i="35"/>
  <c r="L300" i="35"/>
  <c r="K20" i="37"/>
  <c r="L39" i="35"/>
  <c r="Q13" i="37"/>
  <c r="L319" i="35"/>
  <c r="L111" i="35"/>
  <c r="K49" i="35"/>
  <c r="K55" i="35"/>
  <c r="K41" i="35"/>
  <c r="J52" i="35"/>
  <c r="M169" i="35"/>
  <c r="N22" i="37"/>
  <c r="M5" i="35"/>
  <c r="J10" i="37"/>
  <c r="M196" i="35"/>
  <c r="K42" i="35"/>
  <c r="J14" i="35"/>
  <c r="L95" i="35"/>
  <c r="K82" i="35"/>
  <c r="J118" i="35"/>
  <c r="M83" i="35"/>
  <c r="M179" i="35"/>
  <c r="L14" i="35"/>
  <c r="K60" i="35"/>
  <c r="M265" i="35"/>
  <c r="J125" i="35"/>
  <c r="L16" i="37"/>
  <c r="L266" i="35"/>
  <c r="K51" i="35"/>
  <c r="K27" i="35"/>
  <c r="K102" i="35"/>
  <c r="L347" i="35"/>
  <c r="M302" i="35"/>
  <c r="L238" i="35"/>
  <c r="M200" i="35"/>
  <c r="L143" i="35"/>
  <c r="L138" i="35"/>
  <c r="L91" i="35"/>
  <c r="K9" i="37"/>
  <c r="J99" i="35"/>
  <c r="L23" i="37"/>
  <c r="J32" i="35"/>
  <c r="L83" i="35"/>
  <c r="J20" i="37"/>
  <c r="Q2" i="37"/>
  <c r="J8" i="35"/>
  <c r="J6" i="37"/>
  <c r="L353" i="35"/>
  <c r="M235" i="35"/>
  <c r="K6" i="35"/>
  <c r="M17" i="35"/>
  <c r="M330" i="35"/>
  <c r="J54" i="35"/>
  <c r="J104" i="35"/>
  <c r="L141" i="35"/>
  <c r="L70" i="35"/>
  <c r="M293" i="35"/>
  <c r="L108" i="35"/>
  <c r="P6" i="37"/>
  <c r="N18" i="37"/>
  <c r="M243" i="35"/>
  <c r="M152" i="35"/>
  <c r="J83" i="35"/>
  <c r="L332" i="35"/>
  <c r="M16" i="35"/>
  <c r="L126" i="35"/>
  <c r="J68" i="35"/>
  <c r="P22" i="37"/>
  <c r="M12" i="35"/>
  <c r="M149" i="35"/>
  <c r="M178" i="35"/>
  <c r="L283" i="35"/>
  <c r="M184" i="35"/>
  <c r="L199" i="35"/>
  <c r="J72" i="35"/>
  <c r="L31" i="35"/>
  <c r="M82" i="35"/>
  <c r="J71" i="35"/>
  <c r="M260" i="35"/>
  <c r="L72" i="35"/>
  <c r="J5" i="35"/>
  <c r="J15" i="35"/>
  <c r="K77" i="35"/>
  <c r="M119" i="35"/>
  <c r="M329" i="35"/>
  <c r="L27" i="35"/>
  <c r="L50" i="35"/>
  <c r="L105" i="35"/>
  <c r="M166" i="35"/>
  <c r="P4" i="37"/>
  <c r="M73" i="35"/>
  <c r="M190" i="35"/>
  <c r="M305" i="35"/>
  <c r="M2" i="35"/>
  <c r="M141" i="35"/>
  <c r="M143" i="35"/>
  <c r="K120" i="35"/>
  <c r="J47" i="35"/>
  <c r="J41" i="35"/>
  <c r="M57" i="35"/>
  <c r="L314" i="35"/>
  <c r="L79" i="35"/>
  <c r="M335" i="35"/>
  <c r="K37" i="35"/>
  <c r="L120" i="35"/>
  <c r="L54" i="35"/>
  <c r="L18" i="35"/>
  <c r="O22" i="37"/>
  <c r="J80" i="35"/>
  <c r="K61" i="35"/>
  <c r="L212" i="35"/>
  <c r="M3" i="35"/>
  <c r="L218" i="35"/>
  <c r="M278" i="35"/>
  <c r="J18" i="35"/>
  <c r="M234" i="35"/>
  <c r="K118" i="35"/>
  <c r="J2" i="35"/>
  <c r="L13" i="37"/>
  <c r="M212" i="35"/>
  <c r="J116" i="35"/>
  <c r="L148" i="35"/>
  <c r="M274" i="35"/>
  <c r="Q23" i="37"/>
  <c r="J9" i="35"/>
  <c r="M334" i="35"/>
  <c r="J25" i="35"/>
  <c r="O20" i="37"/>
  <c r="M363" i="35"/>
  <c r="M161" i="35"/>
  <c r="M3" i="37"/>
  <c r="J30" i="35"/>
  <c r="M230" i="35"/>
  <c r="J49" i="35"/>
  <c r="M7" i="35"/>
  <c r="M11" i="37"/>
  <c r="L160" i="35"/>
  <c r="N11" i="37"/>
  <c r="M186" i="35"/>
  <c r="M345" i="35"/>
  <c r="L3" i="35"/>
  <c r="K116" i="35"/>
  <c r="K39" i="35"/>
  <c r="M19" i="35"/>
  <c r="P23" i="37"/>
  <c r="K58" i="35"/>
  <c r="L133" i="35"/>
  <c r="N3" i="37"/>
  <c r="K86" i="35"/>
  <c r="L312" i="35"/>
  <c r="L82" i="35"/>
  <c r="L313" i="35"/>
  <c r="M102" i="35"/>
  <c r="K52" i="35"/>
  <c r="M282" i="35"/>
  <c r="K63" i="35"/>
  <c r="M118" i="35"/>
  <c r="M49" i="35"/>
  <c r="M111" i="35"/>
  <c r="M58" i="35"/>
  <c r="L281" i="35"/>
  <c r="M348" i="35"/>
  <c r="M229" i="35"/>
  <c r="L288" i="35"/>
  <c r="J4" i="35"/>
  <c r="L121" i="35"/>
  <c r="M39" i="35"/>
  <c r="M137" i="35"/>
  <c r="M84" i="35"/>
  <c r="L153" i="35"/>
  <c r="M223" i="35"/>
  <c r="M340" i="35"/>
  <c r="Q14" i="37"/>
  <c r="M156" i="35"/>
  <c r="M38" i="35"/>
  <c r="K87" i="35"/>
  <c r="M366" i="35"/>
  <c r="K38" i="35"/>
  <c r="L97" i="35"/>
  <c r="M14" i="35"/>
  <c r="M74" i="35"/>
  <c r="L301" i="35"/>
  <c r="L246" i="35"/>
  <c r="J46" i="35"/>
  <c r="Q9" i="37"/>
  <c r="Q24" i="37"/>
  <c r="J11" i="35"/>
  <c r="K111" i="35"/>
  <c r="L45" i="35"/>
  <c r="L64" i="35"/>
  <c r="L142" i="35"/>
  <c r="M27" i="35"/>
  <c r="L115" i="35"/>
  <c r="L100" i="35"/>
  <c r="Q8" i="37"/>
  <c r="J95" i="35"/>
  <c r="M176" i="35"/>
  <c r="L40" i="35"/>
  <c r="L145" i="35"/>
  <c r="M355" i="35"/>
  <c r="L214" i="35"/>
  <c r="L190" i="35"/>
  <c r="L299" i="35"/>
  <c r="J110" i="35"/>
  <c r="M266" i="35"/>
  <c r="M7" i="37"/>
  <c r="K21" i="37"/>
  <c r="M262" i="35"/>
  <c r="M155" i="35"/>
  <c r="L251" i="35"/>
  <c r="M16" i="37"/>
  <c r="K33" i="35"/>
  <c r="K30" i="35"/>
  <c r="L166" i="35"/>
  <c r="J128" i="35"/>
  <c r="M287" i="35"/>
  <c r="M6" i="37"/>
  <c r="O9" i="37"/>
  <c r="M343" i="35"/>
  <c r="M321" i="35"/>
  <c r="L38" i="35"/>
  <c r="L228" i="35"/>
  <c r="L225" i="35"/>
  <c r="M231" i="35"/>
  <c r="M75" i="35"/>
  <c r="M215" i="35"/>
  <c r="M11" i="35"/>
  <c r="M183" i="35"/>
  <c r="K101" i="35"/>
  <c r="M117" i="35"/>
  <c r="J117" i="35"/>
  <c r="Q11" i="37"/>
  <c r="L354" i="35"/>
  <c r="Q21" i="37"/>
  <c r="M10" i="35"/>
  <c r="M259" i="35"/>
  <c r="K121" i="35"/>
  <c r="M246" i="35"/>
  <c r="K15" i="35"/>
  <c r="N7" i="37"/>
  <c r="L84" i="35"/>
  <c r="J9" i="37"/>
  <c r="O3" i="37"/>
  <c r="M31" i="35"/>
  <c r="L22" i="37"/>
  <c r="M72" i="35"/>
  <c r="O2" i="37"/>
  <c r="L171" i="35"/>
  <c r="K24" i="37"/>
  <c r="J66" i="35"/>
  <c r="L104" i="35"/>
  <c r="L209" i="35"/>
  <c r="L24" i="37"/>
  <c r="M150" i="35"/>
  <c r="L20" i="37"/>
  <c r="L345" i="35"/>
  <c r="K108" i="35"/>
  <c r="M44" i="35"/>
  <c r="M78" i="35"/>
  <c r="M272" i="35"/>
  <c r="M113" i="35"/>
  <c r="M360" i="35"/>
  <c r="M288" i="35"/>
  <c r="J24" i="37"/>
  <c r="M148" i="35"/>
  <c r="Q18" i="37"/>
  <c r="J84" i="35"/>
  <c r="L346" i="35"/>
  <c r="M20" i="35"/>
  <c r="M63" i="35"/>
  <c r="J26" i="35"/>
  <c r="M351" i="35"/>
  <c r="L321" i="35"/>
  <c r="M79" i="35"/>
  <c r="L34" i="35"/>
  <c r="J89" i="35"/>
  <c r="J73" i="35"/>
  <c r="J48" i="35"/>
  <c r="M271" i="35"/>
  <c r="M135" i="35"/>
  <c r="M29" i="35"/>
  <c r="M204" i="35"/>
  <c r="L232" i="35"/>
  <c r="L86" i="35"/>
  <c r="M24" i="35"/>
  <c r="M257" i="35"/>
  <c r="J43" i="35"/>
  <c r="N6" i="37"/>
  <c r="L208" i="35"/>
  <c r="M225" i="35"/>
  <c r="M54" i="35"/>
  <c r="J58" i="35"/>
  <c r="M315" i="35"/>
  <c r="L48" i="35"/>
  <c r="M173" i="35"/>
  <c r="M214" i="35"/>
  <c r="L150" i="35"/>
  <c r="K8" i="35"/>
  <c r="J37" i="35"/>
  <c r="M86" i="35"/>
  <c r="O21" i="37"/>
  <c r="L8" i="35"/>
  <c r="J93" i="35"/>
  <c r="M159" i="35"/>
  <c r="L188" i="35"/>
  <c r="J15" i="37"/>
  <c r="L118" i="35"/>
  <c r="L258" i="35"/>
  <c r="M359" i="35"/>
  <c r="M136" i="35"/>
  <c r="K10" i="35"/>
  <c r="L11" i="37"/>
  <c r="L44" i="35"/>
  <c r="J12" i="35"/>
  <c r="L338" i="35"/>
  <c r="Q16" i="37"/>
  <c r="L344" i="35"/>
  <c r="L26" i="35"/>
  <c r="M295" i="35"/>
  <c r="K128" i="35"/>
  <c r="M144" i="35"/>
  <c r="L343" i="35"/>
  <c r="M158" i="35"/>
  <c r="J21" i="37"/>
  <c r="P18" i="37"/>
  <c r="M50" i="35"/>
  <c r="M180" i="35"/>
  <c r="L290" i="35"/>
  <c r="M280" i="35"/>
  <c r="L65" i="35"/>
  <c r="J121" i="35"/>
  <c r="J34" i="35"/>
  <c r="M68" i="35"/>
  <c r="J105" i="35"/>
  <c r="M51" i="35"/>
  <c r="K16" i="35"/>
  <c r="L112" i="35"/>
  <c r="L205" i="35"/>
  <c r="L245" i="35"/>
  <c r="M233" i="35"/>
  <c r="L170" i="35"/>
  <c r="M291" i="35"/>
  <c r="K50" i="35"/>
  <c r="L61" i="35"/>
  <c r="L340" i="35"/>
  <c r="L273" i="35"/>
  <c r="L178" i="35"/>
  <c r="K94" i="35"/>
  <c r="J127" i="35"/>
  <c r="K70" i="35"/>
  <c r="M208" i="35"/>
  <c r="M28" i="35"/>
  <c r="K64" i="35"/>
  <c r="L19" i="37"/>
  <c r="J7" i="37"/>
  <c r="J21" i="35"/>
  <c r="J69" i="35"/>
  <c r="M77" i="35"/>
  <c r="O17" i="37"/>
  <c r="L101" i="35"/>
  <c r="M132" i="35"/>
  <c r="L184" i="35"/>
  <c r="M205" i="35"/>
  <c r="L128" i="35"/>
  <c r="L204" i="35"/>
  <c r="M59" i="35"/>
  <c r="J7" i="35"/>
  <c r="M322" i="35"/>
  <c r="L17" i="35"/>
  <c r="L32" i="35"/>
  <c r="J103" i="35"/>
  <c r="K103" i="35"/>
  <c r="L102" i="35"/>
  <c r="K89" i="35"/>
  <c r="L13" i="35"/>
  <c r="L239" i="35"/>
  <c r="M21" i="37"/>
  <c r="L279" i="35"/>
  <c r="M177" i="35"/>
  <c r="M18" i="37"/>
  <c r="L78" i="35"/>
  <c r="J4" i="37"/>
  <c r="L14" i="37"/>
  <c r="M264" i="35"/>
  <c r="M36" i="35"/>
  <c r="M319" i="35"/>
  <c r="M201" i="35"/>
  <c r="P5" i="37"/>
  <c r="M175" i="35"/>
  <c r="M138" i="35"/>
  <c r="Q5" i="37"/>
  <c r="L152" i="35"/>
  <c r="L315" i="35"/>
  <c r="L80" i="35"/>
  <c r="K114" i="35"/>
  <c r="L334" i="35"/>
  <c r="J10" i="35"/>
  <c r="M15" i="37"/>
  <c r="J2" i="37"/>
  <c r="L303" i="35"/>
  <c r="L262" i="35"/>
  <c r="K3" i="35"/>
  <c r="L106" i="35"/>
  <c r="K66" i="35"/>
  <c r="M23" i="35"/>
  <c r="J17" i="35"/>
  <c r="M279" i="35"/>
  <c r="K54" i="35"/>
  <c r="J36" i="35"/>
  <c r="M365" i="35"/>
  <c r="M94" i="35"/>
  <c r="M163" i="35"/>
  <c r="K4" i="35"/>
  <c r="J22" i="37"/>
  <c r="L172" i="35"/>
  <c r="L261" i="35"/>
  <c r="M154" i="35"/>
  <c r="L244" i="35"/>
  <c r="M13" i="37"/>
  <c r="O12" i="37"/>
  <c r="M13" i="35"/>
  <c r="J124" i="35"/>
  <c r="L363" i="35"/>
  <c r="K21" i="35"/>
  <c r="L358" i="35"/>
  <c r="J16" i="37"/>
  <c r="L362" i="35"/>
  <c r="M69" i="35"/>
  <c r="M338" i="35"/>
  <c r="N2" i="37"/>
  <c r="L219" i="35"/>
  <c r="M327" i="35"/>
  <c r="M317" i="35"/>
  <c r="M139" i="35"/>
  <c r="L3" i="37"/>
  <c r="M15" i="35"/>
  <c r="L297" i="35"/>
  <c r="L76" i="35"/>
  <c r="K83" i="35"/>
  <c r="M110" i="35"/>
  <c r="M300" i="35"/>
  <c r="M253" i="35"/>
  <c r="K5" i="37"/>
  <c r="L308" i="35"/>
  <c r="M251" i="35"/>
  <c r="N9" i="37"/>
  <c r="M294" i="35"/>
  <c r="K20" i="35"/>
  <c r="L285" i="35"/>
  <c r="L66" i="35"/>
  <c r="M41" i="35"/>
  <c r="M9" i="37"/>
  <c r="Q7" i="37"/>
  <c r="L311" i="35"/>
  <c r="M258" i="35"/>
  <c r="K75" i="35"/>
  <c r="M4" i="37"/>
  <c r="L294" i="35"/>
  <c r="L94" i="35"/>
  <c r="P2" i="37"/>
  <c r="M362" i="35"/>
  <c r="O16" i="37"/>
  <c r="L67" i="35"/>
  <c r="M174" i="35"/>
  <c r="L233" i="35"/>
  <c r="M344" i="35"/>
  <c r="M46" i="35"/>
  <c r="M33" i="35"/>
  <c r="J55" i="35"/>
  <c r="K81" i="35"/>
  <c r="M224" i="35"/>
  <c r="Q22" i="37"/>
  <c r="L193" i="35"/>
  <c r="M236" i="35"/>
  <c r="M91" i="35"/>
  <c r="L295" i="35"/>
  <c r="J35" i="35"/>
  <c r="M283" i="35"/>
  <c r="M122" i="35"/>
  <c r="L270" i="35"/>
  <c r="L250" i="35"/>
  <c r="J3" i="37"/>
  <c r="L220" i="35"/>
  <c r="L10" i="35"/>
  <c r="L18" i="37"/>
  <c r="J106" i="35"/>
  <c r="K71" i="35"/>
  <c r="M358" i="35"/>
  <c r="J85" i="35"/>
  <c r="L116" i="35"/>
  <c r="L165" i="35"/>
  <c r="Q6" i="37"/>
  <c r="K80" i="35"/>
  <c r="O4" i="37"/>
  <c r="M357" i="35"/>
  <c r="P12" i="37"/>
  <c r="M267" i="35"/>
  <c r="M326" i="35"/>
  <c r="L139" i="35"/>
  <c r="M210" i="35"/>
  <c r="J91" i="35"/>
  <c r="L331" i="35"/>
  <c r="L183" i="35"/>
  <c r="L240" i="35"/>
  <c r="L348" i="35"/>
  <c r="K6" i="37"/>
  <c r="M115" i="35"/>
  <c r="K112" i="35"/>
  <c r="L11" i="35"/>
  <c r="M273" i="35"/>
  <c r="M306" i="35"/>
  <c r="L185" i="35"/>
  <c r="J19" i="35"/>
  <c r="J6" i="35"/>
  <c r="K74" i="35"/>
  <c r="L351" i="35"/>
  <c r="M192" i="35"/>
  <c r="M347" i="35"/>
  <c r="L75" i="35"/>
  <c r="J102" i="35"/>
  <c r="M88" i="35"/>
  <c r="L180" i="35"/>
  <c r="J120" i="35"/>
  <c r="Q20" i="37"/>
  <c r="L110" i="35"/>
  <c r="N19" i="37"/>
  <c r="K113" i="35"/>
  <c r="M167" i="35"/>
  <c r="J122" i="35"/>
  <c r="M89" i="35"/>
  <c r="M281" i="35"/>
  <c r="M218" i="35"/>
  <c r="M240" i="35"/>
  <c r="K31" i="35"/>
  <c r="J23" i="35"/>
  <c r="M146" i="35"/>
  <c r="L129" i="35"/>
  <c r="L43" i="35"/>
  <c r="K123" i="35"/>
  <c r="L207" i="35"/>
  <c r="P14" i="37"/>
  <c r="M87" i="35"/>
  <c r="M289" i="35"/>
  <c r="J23" i="37"/>
  <c r="L192" i="35"/>
  <c r="M270" i="35"/>
  <c r="K28" i="35"/>
  <c r="L327" i="35"/>
  <c r="L159" i="35"/>
  <c r="L272" i="35"/>
  <c r="L189" i="35"/>
  <c r="M140" i="35"/>
  <c r="M104" i="35"/>
  <c r="L157" i="35"/>
  <c r="M209" i="35"/>
  <c r="M22" i="37"/>
  <c r="J113" i="35"/>
  <c r="L7" i="35"/>
  <c r="L12" i="35"/>
  <c r="L280" i="35"/>
  <c r="L60" i="35"/>
  <c r="L175" i="35"/>
  <c r="M62" i="35"/>
  <c r="L6" i="35"/>
  <c r="L322" i="35"/>
  <c r="Q4" i="37"/>
  <c r="K48" i="35"/>
  <c r="M37" i="35"/>
  <c r="L59" i="35"/>
  <c r="M342" i="35"/>
  <c r="P8" i="37"/>
  <c r="O18" i="37"/>
  <c r="J29" i="35"/>
  <c r="J90" i="35"/>
  <c r="L81" i="35"/>
  <c r="K56" i="35"/>
  <c r="K93" i="35"/>
  <c r="L21" i="37"/>
  <c r="Q15" i="37"/>
  <c r="M250" i="35"/>
  <c r="J53" i="35"/>
  <c r="L268" i="35"/>
  <c r="K110" i="35"/>
  <c r="M339" i="35"/>
  <c r="J14" i="37"/>
  <c r="L156" i="35"/>
  <c r="J78" i="35"/>
  <c r="M228" i="35"/>
  <c r="J3" i="35"/>
  <c r="M311" i="35"/>
  <c r="K18" i="37"/>
  <c r="L181" i="35"/>
  <c r="M316" i="35"/>
  <c r="K79" i="35"/>
  <c r="M92" i="35"/>
  <c r="O13" i="37"/>
  <c r="J97" i="35"/>
  <c r="M10" i="37"/>
  <c r="J119" i="35"/>
  <c r="M307" i="35"/>
  <c r="K8" i="37"/>
  <c r="M130" i="35"/>
  <c r="L247" i="35"/>
  <c r="L216" i="35"/>
  <c r="M296" i="35"/>
  <c r="L24" i="35"/>
  <c r="K19" i="35"/>
  <c r="L5" i="35"/>
  <c r="M187" i="35"/>
  <c r="K22" i="37"/>
  <c r="P10" i="37"/>
  <c r="L323" i="35"/>
  <c r="O10" i="37"/>
  <c r="L298" i="35"/>
  <c r="M172" i="35"/>
  <c r="K7" i="37"/>
  <c r="J16" i="35"/>
  <c r="M261" i="35"/>
  <c r="L36" i="35"/>
  <c r="K36" i="35"/>
  <c r="J98" i="35"/>
  <c r="L293" i="35"/>
  <c r="L217" i="35"/>
  <c r="M198" i="35"/>
  <c r="J39" i="35"/>
  <c r="L98" i="35"/>
  <c r="K46" i="35"/>
  <c r="P13" i="37"/>
  <c r="M194" i="35"/>
  <c r="P11" i="37"/>
  <c r="J94" i="35"/>
  <c r="L229" i="35"/>
  <c r="L168" i="35"/>
  <c r="K125" i="35"/>
  <c r="K34" i="35"/>
  <c r="M318" i="35"/>
  <c r="K17" i="35"/>
  <c r="L269" i="35"/>
  <c r="P9" i="37"/>
  <c r="L210" i="35"/>
  <c r="M168" i="35"/>
  <c r="M105" i="35"/>
  <c r="M242" i="35"/>
  <c r="J24" i="35"/>
  <c r="K91" i="35"/>
  <c r="M55" i="35"/>
  <c r="M8" i="35"/>
  <c r="L241" i="35"/>
  <c r="J50" i="35"/>
  <c r="Q10" i="37"/>
  <c r="J27" i="35"/>
  <c r="K90" i="35"/>
  <c r="L310" i="35"/>
  <c r="M121" i="35"/>
  <c r="P16" i="37"/>
  <c r="L355" i="35"/>
  <c r="M17" i="37"/>
  <c r="L253" i="35"/>
  <c r="L136" i="35"/>
  <c r="L271" i="35"/>
  <c r="L131" i="35"/>
  <c r="L201" i="35"/>
  <c r="L22" i="35"/>
  <c r="M238" i="35"/>
  <c r="L122" i="35"/>
  <c r="L231" i="35"/>
  <c r="L223" i="35"/>
  <c r="M185" i="35"/>
  <c r="K22" i="35"/>
  <c r="M80" i="35"/>
  <c r="L130" i="35"/>
  <c r="L87" i="35"/>
  <c r="L289" i="35"/>
  <c r="L117" i="35"/>
  <c r="K85" i="35"/>
  <c r="J40" i="35"/>
  <c r="L335" i="35"/>
  <c r="M25" i="35"/>
  <c r="L135" i="35"/>
  <c r="M269" i="35"/>
  <c r="M285" i="35"/>
  <c r="K109" i="35"/>
  <c r="J74" i="35"/>
  <c r="L359" i="35"/>
  <c r="M263" i="35"/>
  <c r="J22" i="35"/>
  <c r="L124" i="35"/>
  <c r="L215" i="35"/>
  <c r="L9" i="35"/>
  <c r="L147" i="35"/>
  <c r="L324" i="35"/>
  <c r="M284" i="35"/>
  <c r="M126" i="35"/>
  <c r="L132" i="35"/>
  <c r="M103" i="35"/>
  <c r="L360" i="35"/>
  <c r="J70" i="35"/>
  <c r="K16" i="37"/>
  <c r="K100" i="35"/>
  <c r="L243" i="35"/>
  <c r="L200" i="35"/>
  <c r="M56" i="35"/>
  <c r="L2" i="37"/>
  <c r="M207" i="35"/>
  <c r="O15" i="37"/>
  <c r="L119" i="35"/>
  <c r="J11" i="37"/>
  <c r="M112" i="35"/>
  <c r="J13" i="35"/>
  <c r="J67" i="35"/>
  <c r="M153" i="35"/>
  <c r="M125" i="35"/>
  <c r="M308" i="35"/>
  <c r="L42" i="35"/>
  <c r="J107" i="35"/>
  <c r="Q12" i="37"/>
  <c r="L49" i="35"/>
  <c r="L333" i="35"/>
  <c r="L15" i="37"/>
  <c r="L8" i="37"/>
  <c r="L6" i="37"/>
  <c r="L177" i="35"/>
  <c r="L291" i="35"/>
  <c r="J13" i="37"/>
  <c r="M109" i="35"/>
  <c r="J42" i="35"/>
  <c r="J57" i="35"/>
  <c r="L365" i="35"/>
  <c r="L88" i="35"/>
  <c r="M106" i="35"/>
  <c r="M197" i="35"/>
  <c r="P20" i="37"/>
  <c r="M26" i="35"/>
  <c r="L337" i="35"/>
  <c r="L33" i="35"/>
  <c r="J81" i="35"/>
  <c r="L296" i="35"/>
  <c r="L7" i="37"/>
  <c r="J20" i="35"/>
  <c r="L242" i="35"/>
  <c r="M35" i="35"/>
  <c r="L187" i="35"/>
  <c r="M90" i="35"/>
  <c r="Q19" i="37"/>
  <c r="J28" i="35"/>
  <c r="L146" i="35"/>
  <c r="M30" i="35"/>
  <c r="M147" i="35"/>
  <c r="L307" i="35"/>
  <c r="L317" i="35"/>
  <c r="K23" i="37"/>
  <c r="M244" i="35"/>
  <c r="L149" i="35"/>
  <c r="J31" i="35"/>
  <c r="L284" i="35"/>
  <c r="N16" i="37"/>
  <c r="M217" i="35"/>
  <c r="M20" i="37"/>
  <c r="L320" i="35"/>
  <c r="N5" i="37"/>
  <c r="J17" i="37"/>
  <c r="L15" i="35"/>
  <c r="L352" i="35"/>
  <c r="K119" i="35"/>
  <c r="Q3" i="37"/>
  <c r="L62" i="35"/>
  <c r="M160" i="35"/>
  <c r="M70" i="35"/>
  <c r="M52" i="35"/>
  <c r="L12" i="37"/>
  <c r="L113" i="35"/>
  <c r="K59" i="35"/>
  <c r="N20" i="37"/>
  <c r="K12" i="35"/>
  <c r="M66" i="35"/>
  <c r="K68" i="35"/>
  <c r="K122" i="35"/>
  <c r="O8" i="37"/>
  <c r="M350" i="35"/>
  <c r="K105" i="35"/>
  <c r="L92" i="35"/>
  <c r="J18" i="37"/>
  <c r="J51" i="35"/>
  <c r="J96" i="35"/>
  <c r="J45" i="35"/>
  <c r="J123" i="35"/>
  <c r="M203" i="35"/>
  <c r="K57" i="35"/>
  <c r="K5" i="35"/>
  <c r="K44" i="35"/>
  <c r="M81" i="35"/>
  <c r="N12" i="37"/>
  <c r="M157" i="35"/>
  <c r="L107" i="35"/>
  <c r="M100" i="35"/>
  <c r="L144" i="35"/>
  <c r="M325" i="35"/>
  <c r="L325" i="35"/>
  <c r="M93" i="35"/>
  <c r="J101" i="35"/>
  <c r="L277" i="35"/>
  <c r="M193" i="35"/>
  <c r="L248" i="35"/>
  <c r="L191" i="35"/>
  <c r="J60" i="35"/>
  <c r="L252" i="35"/>
  <c r="J44" i="35"/>
  <c r="M165" i="35"/>
  <c r="J111" i="35"/>
  <c r="L10" i="37"/>
  <c r="L57" i="35"/>
  <c r="K62" i="35"/>
  <c r="N8" i="37"/>
  <c r="L276" i="35"/>
  <c r="L137" i="35"/>
  <c r="O19" i="37"/>
  <c r="L302" i="35"/>
  <c r="M301" i="35"/>
  <c r="M23" i="37"/>
  <c r="M107" i="35"/>
  <c r="L25" i="35"/>
  <c r="L341" i="35"/>
  <c r="M323" i="35"/>
  <c r="L176" i="35"/>
  <c r="L58" i="35"/>
  <c r="M364" i="35"/>
  <c r="M298" i="35"/>
  <c r="L134" i="35"/>
  <c r="M346" i="35"/>
  <c r="L56" i="35"/>
  <c r="J63" i="35"/>
  <c r="M239" i="35"/>
  <c r="J117" i="2" l="1"/>
  <c r="J116" i="2"/>
  <c r="K69" i="8"/>
  <c r="K116" i="2"/>
  <c r="K117" i="2"/>
  <c r="K124" i="2" s="1"/>
  <c r="M83" i="1"/>
  <c r="I85" i="14"/>
  <c r="I72" i="8"/>
  <c r="K43" i="10"/>
  <c r="I41" i="36"/>
  <c r="K154" i="1"/>
  <c r="I136" i="2"/>
  <c r="M222" i="35"/>
  <c r="L221" i="35"/>
  <c r="M227" i="35"/>
  <c r="M303" i="35"/>
  <c r="M221" i="35"/>
  <c r="M65" i="35"/>
  <c r="L222" i="35"/>
  <c r="J124" i="2" l="1"/>
  <c r="J123" i="2"/>
  <c r="J19" i="36"/>
  <c r="K123" i="2"/>
  <c r="K19" i="36" s="1"/>
  <c r="M237" i="35"/>
  <c r="L227" i="35"/>
  <c r="L226" i="35"/>
  <c r="L237" i="35"/>
  <c r="M226" i="35"/>
  <c r="J37" i="36" l="1"/>
  <c r="J38" i="36"/>
  <c r="K38" i="36"/>
  <c r="K37" i="36"/>
  <c r="L254" i="35"/>
  <c r="L255" i="35"/>
  <c r="M255" i="35"/>
  <c r="M254" i="35"/>
</calcChain>
</file>

<file path=xl/comments1.xml><?xml version="1.0" encoding="utf-8"?>
<comments xmlns="http://schemas.openxmlformats.org/spreadsheetml/2006/main">
  <authors>
    <author>Milan Grahovac</author>
  </authors>
  <commentList>
    <comment ref="D110" authorId="0">
      <text>
        <r>
          <rPr>
            <sz val="9"/>
            <color indexed="81"/>
            <rFont val="Tahoma"/>
            <family val="2"/>
          </rPr>
          <t>Gubitak grupa računa 35 (AOP 122) obuhvata gubitak ranijih godina, račun 350 i gubitak tekuće godine, račun 351, znači sve do vrednosti kapitala, a sve preko toga u klasi 2, račun 290.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C63" authorId="0">
      <text>
        <r>
          <rPr>
            <sz val="9"/>
            <color indexed="81"/>
            <rFont val="Tahoma"/>
            <family val="2"/>
          </rPr>
          <t>Grupa računa 569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D29" authorId="0">
      <text>
        <r>
          <rPr>
            <sz val="9"/>
            <color indexed="81"/>
            <rFont val="Tahoma"/>
            <family val="2"/>
          </rPr>
          <t>Subvencije na proizvodnju predstavljaju subvencije koje se ne mogu iskazati po jedinici proizvoda ili usluge.</t>
        </r>
      </text>
    </comment>
    <comment ref="D65" authorId="0">
      <text>
        <r>
          <rPr>
            <sz val="9"/>
            <color indexed="81"/>
            <rFont val="Tahoma"/>
            <family val="2"/>
          </rPr>
          <t>Porezi na proizvodnju uključuju sve poreze koji terete preduzeća zbog angažovanja u proizvodnji, nezavisno od količine ili vrijednosti proizvedenih dobara i usluga.</t>
        </r>
      </text>
    </comment>
  </commentList>
</comments>
</file>

<file path=xl/sharedStrings.xml><?xml version="1.0" encoding="utf-8"?>
<sst xmlns="http://schemas.openxmlformats.org/spreadsheetml/2006/main" count="2979" uniqueCount="1884">
  <si>
    <t>1. Neraspoređeni dobitak ranijih godina</t>
  </si>
  <si>
    <t>3. Neraspoređeni višak prihoda nad rashodima</t>
  </si>
  <si>
    <t>B. DUGOROČNA REZERVISANJA (126 do 131)</t>
  </si>
  <si>
    <t>6. Ostala dugoročna rezervisanja</t>
  </si>
  <si>
    <t>3. Obaveze po emitovanim dugoročnim hartijama od vrijednosti</t>
  </si>
  <si>
    <t>5. Dugoročne obaveze po finansijskom lizingu</t>
  </si>
  <si>
    <t>6. Dugoročne obaveze po fer vrijednosti kroz bilans uspjeha</t>
  </si>
  <si>
    <t>8. Ostale dugoročne obaveze</t>
  </si>
  <si>
    <t>1. Kratkoročne finansijske obaveze (144 do 147)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</si>
  <si>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</si>
  <si>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</si>
  <si>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</si>
  <si>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v) Ostali dobavljači</t>
  </si>
  <si>
    <t>10. Odložene poreske obaveze</t>
  </si>
  <si>
    <t>G. POSLOVNA PASIVA (101+125+132)</t>
  </si>
  <si>
    <t>D. VANBILANSNA PASIVA</t>
  </si>
  <si>
    <t>3. Obaveze iz specifičnih poslova</t>
  </si>
  <si>
    <t>Đ. UKUPNA PASIVA (161+162)</t>
  </si>
  <si>
    <t>9. Pasivna vremenska razgraničenja</t>
  </si>
  <si>
    <t>A. POSLOVNI PRIHODI I RASHODI</t>
  </si>
  <si>
    <t>640 i 641</t>
  </si>
  <si>
    <t>642 i 643</t>
  </si>
  <si>
    <t>650 do 659</t>
  </si>
  <si>
    <t>8. Ostali poslovni prihodi</t>
  </si>
  <si>
    <t>500 do 502</t>
  </si>
  <si>
    <t>510 do 513</t>
  </si>
  <si>
    <t>2. Troškovi materijala</t>
  </si>
  <si>
    <t>520 i 521</t>
  </si>
  <si>
    <t>522 i 529</t>
  </si>
  <si>
    <t>530 do 539</t>
  </si>
  <si>
    <t>4. Troškovi proizvodnih usluga</t>
  </si>
  <si>
    <t>5. Troškovi amortizacije i rezervisanja (224+225)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</si>
  <si>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</si>
  <si>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</si>
  <si>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</si>
  <si>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</si>
  <si>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</si>
  <si>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4. Povećanje vrijednosti zaliha učinaka</t>
  </si>
  <si>
    <t>5. Smanjenje vrijednosti zaliha učinaka</t>
  </si>
  <si>
    <t>v) Prihodi od prodaje učinaka na inostranom tržištu</t>
  </si>
  <si>
    <t>6. Povećanje vrijednosti investicionih nekretnina i bioloških sredstava koja se ne amortizuju</t>
  </si>
  <si>
    <t>3. Troškovi zarada, naknada zarada i ostalih ličnih rashoda (220+221)</t>
  </si>
  <si>
    <t>541 do 549</t>
  </si>
  <si>
    <t>b) Troškovi rezervisanja</t>
  </si>
  <si>
    <t>55 osim 555 i 556</t>
  </si>
  <si>
    <t>7. Troškovi poreza</t>
  </si>
  <si>
    <t>8. Troškovi doprinosa</t>
  </si>
  <si>
    <t>6. Nematerijalni troškovi (bez poreza i doprinosa)</t>
  </si>
  <si>
    <t>B. POSLOVNI DOBITAK (201-216)</t>
  </si>
  <si>
    <t>V. POSLOVNI GUBITAK (216-201)</t>
  </si>
  <si>
    <t>I  FINANSIJSKI PRIHODI (232 do 237)</t>
  </si>
  <si>
    <t>4. Prihodi od efekata valutne klauzule</t>
  </si>
  <si>
    <t>6. Ostali finansijski prihodi</t>
  </si>
  <si>
    <t>II  FINANSIJSKI RASHODI (239 do 243)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</si>
  <si>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</si>
  <si>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</si>
  <si>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</si>
  <si>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</si>
  <si>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II  OSTALI RASHODI (258 do 267)</t>
  </si>
  <si>
    <t>Ž. DOBITAK PO OSNOVU OSTALIH PRIHODA I RASHODA (246-257)</t>
  </si>
  <si>
    <t>Z. GUBITAK PO OSNOVU OSTALIH PRIHODA I RASHODA (257-246)</t>
  </si>
  <si>
    <t>1. Dobici po osnovu prodaje nematerijalnih ulaganja, nekretnina, postrojenja i opreme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</si>
  <si>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</si>
  <si>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</si>
  <si>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</si>
  <si>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</si>
  <si>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</si>
  <si>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1. Gubici po osnovu prodaje i rashodovanja nematerijalnih ulaganja, nekretnina, postrojenja i opreme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</si>
  <si>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</si>
  <si>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</si>
  <si>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</si>
  <si>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6. Gubici po osnovu prodatog materijala</t>
  </si>
  <si>
    <t>8. Rashodi po osnovu zaštite od rizika</t>
  </si>
  <si>
    <t>10. Rashodi po osnovu rashodovanja zaliha materijala i robe i ostali rashodi</t>
  </si>
  <si>
    <t>5. Dobici po osnovu prodaje učešća u kapitalu i dugoročnih HOV</t>
  </si>
  <si>
    <t>7. Viškovi, izuzimajući viškove zaliha učinaka</t>
  </si>
  <si>
    <t>10. Prihodi od smanjenja obaveza, ukidanja neiskorištenih dugoročnih rezervisanja i ostali nepomenuti prihodi</t>
  </si>
  <si>
    <t>5. Gubici po osnovu prodaje učešća u kapitalu i dugoročnih HOV</t>
  </si>
  <si>
    <t>7. Manjkovi, izuzimajući manjkove zaliha učinaka</t>
  </si>
  <si>
    <t>I. PRIHODI I RASHODI OD USKLAĐIVANJA VRIJEDNOSTI IMOVINE</t>
  </si>
  <si>
    <t>1. Prihodi od usklađivanja vrijednosti nematerijalnih ulaganja</t>
  </si>
  <si>
    <t>2. Prihodi od usklađivanja vrijednosti nekretnina, postrojenja i opreme</t>
  </si>
  <si>
    <t>3. Prihodi od usklađivanja vrijednosti investicionih nekretnina za koje se obračunava amortizacija</t>
  </si>
  <si>
    <t>4. Prihodi od usklađivanja vrijednosti bioloških sredstva za koje se obračunava amortizacija</t>
  </si>
  <si>
    <t>5. Prihodi od usklađivanja vrijednosti dugoročnih finansijskih plasmana i fin. sredstava raspoloživih za prodaju</t>
  </si>
  <si>
    <t>6. Prihodi od usklađivanja vrijednosti zaliha materijala i robe</t>
  </si>
  <si>
    <t>7. Prihodi od usklađivanja vrijednosti kratkoročnih finansijskih plasmana</t>
  </si>
  <si>
    <t>8. Prihodi od usklađivanja vrijednosti kapitala</t>
  </si>
  <si>
    <t>9. Prihodi od usklađivanja vrijednosti ostale imovine</t>
  </si>
  <si>
    <t>690 i 691</t>
  </si>
  <si>
    <t>590 i 591</t>
  </si>
  <si>
    <t>1. Obezvrjeđenje nematerijalnih ulaganja</t>
  </si>
  <si>
    <t>5. Effective share of gains arising from cash-flow risk protection</t>
  </si>
  <si>
    <t>I  DUGOROČNE OBAVEZE (134 do 141)</t>
  </si>
  <si>
    <t>5. Advances (prepayments) and real estates, plant, equipment and investment property in preparation process</t>
  </si>
  <si>
    <t>5. Avansi i nematerijalna ulaganja u pripremi</t>
  </si>
  <si>
    <t>3. Live stock</t>
  </si>
  <si>
    <t>I  ZALIHE, STALNA SREDSTVA I SREDSTVA OBUSTAVLJENOG POSLOVANJA NAMIJENJENA PRODAJI (033 do 038)</t>
  </si>
  <si>
    <t>II  UPISANI NEUPLAĆENI KAPITAL</t>
  </si>
  <si>
    <t>III  EMISIONA PREMIJA</t>
  </si>
  <si>
    <t>IV  REZERVE (112+113)</t>
  </si>
  <si>
    <t>IX  GUBITAK DO VISINE KAPITALA (123+124)</t>
  </si>
  <si>
    <t>II  KRATKOROČNE OBAVEZE (143+148+153+154+155+156+157+158+159+160)</t>
  </si>
  <si>
    <t>Razrijeđena zarada po akciji</t>
  </si>
  <si>
    <t>5. Efektivni dio dobitaka po osnovu zaštite od rizika gotovinskih tokova</t>
  </si>
  <si>
    <t>I  OSTALI PRIHODI (247 do 256)</t>
  </si>
  <si>
    <t>b) Dio dugoročnih finansijskih obaveza koji za plaćanje dospijeva u periodu do godinu dana</t>
  </si>
  <si>
    <t>III  BIOLOŠKA SREDSTVA I  SREDSTVA KULTURE (016 do 020)</t>
  </si>
  <si>
    <t>5. Avansi i biološka sredstva i sredstva kulture u pripremi</t>
  </si>
  <si>
    <t>VII  NEREALIZOVANI GUBICI PO OSNOVU FINANSIJSKIH SREDSTAVA RASPOLOŽIVIH ZA PRODAJU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</si>
  <si>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</si>
  <si>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</si>
  <si>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</si>
  <si>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</si>
  <si>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</si>
  <si>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</si>
  <si>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A. FIXED ASSETS (002+008+015+021+030)</t>
  </si>
  <si>
    <t>7. Financial assets held to maturity</t>
  </si>
  <si>
    <t>b) Domestic costumers</t>
  </si>
  <si>
    <t>v) Foreign costumers</t>
  </si>
  <si>
    <t>5. Prepaid expenses and accrued income</t>
  </si>
  <si>
    <t>1. For expenses in warranty period</t>
  </si>
  <si>
    <t>2. For restoration of natural resources</t>
  </si>
  <si>
    <t>4. For costs of reorganization</t>
  </si>
  <si>
    <t>3. Long- term securities payable</t>
  </si>
  <si>
    <t>4. Long-term debt (borrowings)</t>
  </si>
  <si>
    <t>5. Long-term liabilities from financial leasing</t>
  </si>
  <si>
    <t>6. Long-term liabilities at fair value through profit and loss</t>
  </si>
  <si>
    <t>a) Short-term borrowings and liabilities from short-term securities</t>
  </si>
  <si>
    <t>b) Share in long-term financial liabilities which mature in one year</t>
  </si>
  <si>
    <t>v) Short-term liabilities at fair value through profit and loss</t>
  </si>
  <si>
    <t>4. Efektivni dio gubitaka po osnovu zaštite od rizika gotovinskih tokova</t>
  </si>
  <si>
    <t>1. Finansijski rashodi po osnovu odnosa povezanih pravnih lica</t>
  </si>
  <si>
    <t>g) Other operating liabilities</t>
  </si>
  <si>
    <t>8. Profit tax liabilities</t>
  </si>
  <si>
    <t>a) Prepayments, deposits and bails received</t>
  </si>
  <si>
    <t>5. Аdvances (prepayments) and intangible assets in preparation process</t>
  </si>
  <si>
    <t>6. Advances paid (prepayments)</t>
  </si>
  <si>
    <t>200, part 209</t>
  </si>
  <si>
    <t>201, part 209</t>
  </si>
  <si>
    <t>202,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</si>
  <si>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</si>
  <si>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</si>
  <si>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</si>
  <si>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</si>
  <si>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</si>
  <si>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</si>
  <si>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</si>
  <si>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</si>
  <si>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</si>
  <si>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280 to  289, except 288</t>
  </si>
  <si>
    <t>880 to 888</t>
  </si>
  <si>
    <t>210 to 219</t>
  </si>
  <si>
    <t>220 to 229</t>
  </si>
  <si>
    <t>42 to 48</t>
  </si>
  <si>
    <t>420 to 423</t>
  </si>
  <si>
    <t>440 to 449</t>
  </si>
  <si>
    <t>450 to 458</t>
  </si>
  <si>
    <t>460 to 469</t>
  </si>
  <si>
    <t>470 to 479</t>
  </si>
  <si>
    <t>890 to 898</t>
  </si>
  <si>
    <t>413 and 414</t>
  </si>
  <si>
    <t>415 and 416</t>
  </si>
  <si>
    <t>424 and 425</t>
  </si>
  <si>
    <t>432 and 433</t>
  </si>
  <si>
    <t>41, except 418</t>
  </si>
  <si>
    <t>48 except 481</t>
  </si>
  <si>
    <t>49, except 495</t>
  </si>
  <si>
    <t>640 and 641</t>
  </si>
  <si>
    <t>642 and 643</t>
  </si>
  <si>
    <t>520 and 521</t>
  </si>
  <si>
    <t>522 and 529</t>
  </si>
  <si>
    <t>690 and 691</t>
  </si>
  <si>
    <t>590 and 591</t>
  </si>
  <si>
    <t>650 to 659</t>
  </si>
  <si>
    <t>500 to 502</t>
  </si>
  <si>
    <t>510 to 513</t>
  </si>
  <si>
    <t>530 to 539</t>
  </si>
  <si>
    <t>541 to 549</t>
  </si>
  <si>
    <t>55 except 555 and 556</t>
  </si>
  <si>
    <t>part 722</t>
  </si>
  <si>
    <t>Balance Sheet</t>
  </si>
  <si>
    <t>Income Statement</t>
  </si>
  <si>
    <t>1. Neto dobitak tekuće godine (293-294-295-296+297)</t>
  </si>
  <si>
    <t>II  NEKRETNINE, POSTROJENJA, OPREMA I INVESTICIONE NEKRETNINE
 (009 do 014)</t>
  </si>
  <si>
    <t>J. DOBITAK PO OSNOVU USKLAĐIVANJA VRIJEDNOSTI IMOVINE (270-280)</t>
  </si>
  <si>
    <t>V  ODLOŽENA PORESKA SREDSTVA</t>
  </si>
  <si>
    <t>e) Okupljene sopstvene akcije i otkupljeni sopstveni udjeli namijenjeni prodaji ili poništavanju</t>
  </si>
  <si>
    <t>b) Dobavljači - povezana pravna lica</t>
  </si>
  <si>
    <t>I  POSLOVNI PRIHODI (202+206+210+211-212+213-214+215)</t>
  </si>
  <si>
    <t>II  POSLOVNI RASHODI (217+218+219+222+223+226+227+228)</t>
  </si>
  <si>
    <t>I  PRIHODI OD USKLAĐIVANJA VRIJEDNOSTI IMOVINE (271 do 279)</t>
  </si>
  <si>
    <t>3. For kept down payments and deposits</t>
  </si>
  <si>
    <t>I OPERATING INCOME (202+206+210+211-212+213-214+215)</t>
  </si>
  <si>
    <t>6. Increase of the value of investment properties and biological assets that are not subject to depreciation</t>
  </si>
  <si>
    <t xml:space="preserve">2. Impairment of real-estates, plant and equipment </t>
  </si>
  <si>
    <t>Bilans stanja</t>
  </si>
  <si>
    <t>Bilans uspjeha</t>
  </si>
  <si>
    <t>Bilans tokova gotovine</t>
  </si>
  <si>
    <t xml:space="preserve">3. Impairment of investment property which is subject to depreciation </t>
  </si>
  <si>
    <t>4. Impairment of biological assets which are subject to depreciation</t>
  </si>
  <si>
    <t xml:space="preserve">5. Impairment of long-term financial placements and financial assets available for sale </t>
  </si>
  <si>
    <t>6. Impairment of materials and goods</t>
  </si>
  <si>
    <t>7. Impairment of short-term financial placements</t>
  </si>
  <si>
    <t>9. Impairment of other property value</t>
  </si>
  <si>
    <t>3. Wages, salaries and other employee benefits expenses (220+221)</t>
  </si>
  <si>
    <t>3. Gains arising from translation of financial statements in foreign operations</t>
  </si>
  <si>
    <t>2. Net loss of current year (294-293+295+296-297)</t>
  </si>
  <si>
    <t>Group and part of group of accounts</t>
  </si>
  <si>
    <t>2. Losses arising from translation of financial statements in foreign operations</t>
  </si>
  <si>
    <t>C. OPERATING LOSS (216-201)</t>
  </si>
  <si>
    <t>D. FINANCE INCOME AND EXPENSES</t>
  </si>
  <si>
    <t>G. OTHER INCOME AND EXPENSES</t>
  </si>
  <si>
    <t>I. LOSS FROM OTHER INCOMES AND EXPENSES (257-246)</t>
  </si>
  <si>
    <t>H. GAIN FROM OTHER INCOMES AND EXPENSES (246-257)</t>
  </si>
  <si>
    <t>J. INCOME AND LOSSES FROM REVALUATION OF PROPERTY VALUE</t>
  </si>
  <si>
    <t>K. REVALUATION GAIN</t>
  </si>
  <si>
    <t>L. LOSS FROM THE REVALUATION OF PROPERTY VALUE (280-270)</t>
  </si>
  <si>
    <t xml:space="preserve">M. INCOMES FROM CHANGES IN ACCOUNTING POLICIES AND CORRECTIONS FROM PREVIOUS YEAR </t>
  </si>
  <si>
    <t xml:space="preserve">N. LOSSES FROM CHANGES IN ACCOUNTING POLICIES AND CORRECTIONS FROM PREVIOUS YEAR </t>
  </si>
  <si>
    <t xml:space="preserve">O. INCOME AND LOSS BEFORE TAXES </t>
  </si>
  <si>
    <t xml:space="preserve">P. CURRENT AND DEFERRED INCOME TAX </t>
  </si>
  <si>
    <t>Q. NET INCOME AND NET LOSS</t>
  </si>
  <si>
    <t xml:space="preserve">R. INTERIM DIVIDENDS AND OTHER FORMS OF NET INCOME DISTRIBUTION DURING REPORTING PERIOD </t>
  </si>
  <si>
    <t>C. LOSS OVER THE CAPITAL</t>
  </si>
  <si>
    <t>D. OPERATING ASSETS (001+031+061)</t>
  </si>
  <si>
    <t>E. OFF BALANCE SHEET ASSETS</t>
  </si>
  <si>
    <t>F. TOTAL ASSETS (062+063)</t>
  </si>
  <si>
    <t>C. LIABILITIES (133+142)</t>
  </si>
  <si>
    <t>D. OPERATING EQUITY AND LIABILITIES (101+125+132)</t>
  </si>
  <si>
    <t>E. OFF BALANCE SHEET EQUITY AND LIABILITIES</t>
  </si>
  <si>
    <t>F. TOTAL EQUITY AND LIABILITIES (161+162)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</si>
  <si>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</si>
  <si>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</si>
  <si>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</si>
  <si>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</si>
  <si>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А. CASH FLOWS FROM OPERATING ACTIVITIES</t>
  </si>
  <si>
    <t>2. Proceeds from premiums, subventions, grants, etc.</t>
  </si>
  <si>
    <t xml:space="preserve">1. Payments to suppliers and given advances (prepayments) </t>
  </si>
  <si>
    <t>3. Payment of interests</t>
  </si>
  <si>
    <t>4. Payment of income taxes</t>
  </si>
  <si>
    <t>5. Other payments of operating activities</t>
  </si>
  <si>
    <t>B. CASH FLOWS FROM INVESTING ACTIVITIES</t>
  </si>
  <si>
    <t>1. Proceeds from short-term financial investment</t>
  </si>
  <si>
    <t xml:space="preserve">2. Proceeds from sale of shares and capital stakes </t>
  </si>
  <si>
    <t>4. Proceeds from interests</t>
  </si>
  <si>
    <t>5. Proceeds from dividends and participation in profit</t>
  </si>
  <si>
    <t>6. Proceeds from other long-term financial investments</t>
  </si>
  <si>
    <t>1. Outflows from short-term financial investments</t>
  </si>
  <si>
    <t>V. CASH FLOW FROM FINANCING ACTIVITIES</t>
  </si>
  <si>
    <t>1. Inflow from increase in share capital</t>
  </si>
  <si>
    <t>2. Inflow arising from long-term financial liabilities</t>
  </si>
  <si>
    <t>3. Inflow arising from short-term financial liabilities</t>
  </si>
  <si>
    <t>4. Inflow from other long-term and short-term financial liabilities</t>
  </si>
  <si>
    <t>2. Outflow from long-term financial liabilities</t>
  </si>
  <si>
    <t>4. Net outflow arising from finance lease</t>
  </si>
  <si>
    <t>5. Outflow arising from dividends and participation in profit</t>
  </si>
  <si>
    <t>Ž. CASH AT THE BEGINNING OF REPORTING PERIOD</t>
  </si>
  <si>
    <t>I. FOREIGN EXCHANGE LOSSES FROM TRANSLATION OF CASH</t>
  </si>
  <si>
    <t>II  REAL ESTATES, PLANT, EQUIPMENT AND INVESTMENT PROPERTY
(009 through 014)</t>
  </si>
  <si>
    <t>III  BIOLOGICAL ASSETS AND AGRICULTURAL PRODUCE
(016 through 020)</t>
  </si>
  <si>
    <t>VIII  RETAINED EARNINGS (118 through 121)</t>
  </si>
  <si>
    <t>1. Short-term financial liabilities (144 through 147)</t>
  </si>
  <si>
    <t>2. Operating liabilities (149 through 152)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</si>
  <si>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</si>
  <si>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</si>
  <si>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</si>
  <si>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</si>
  <si>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</si>
  <si>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</si>
  <si>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</si>
  <si>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</si>
  <si>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</si>
  <si>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</si>
  <si>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</si>
  <si>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</si>
  <si>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</si>
  <si>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</si>
  <si>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</si>
  <si>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</si>
  <si>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</si>
  <si>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 xml:space="preserve">1. Proceeds from sale and advances (prepayments) </t>
  </si>
  <si>
    <t>3. Other proceeds from operating activities</t>
  </si>
  <si>
    <t>2. Payments for employee wages, salaries, and other employee benefits</t>
  </si>
  <si>
    <t xml:space="preserve">2. Оutflows arising from purchase of shares and participation in capital </t>
  </si>
  <si>
    <t>1. Outflow from redemption of own shares and capital stakes</t>
  </si>
  <si>
    <t>Z. FOREIGN EXCHANGE GAINS FROM TRANSLATION OF CASH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</si>
  <si>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</si>
  <si>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</si>
  <si>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</si>
  <si>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</si>
  <si>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</si>
  <si>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</si>
  <si>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</si>
  <si>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3. Cash equivalents and cash (056+057)</t>
  </si>
  <si>
    <t>I OTHER INCOME (247 through 256)</t>
  </si>
  <si>
    <t>II  OTHER EXPENSES (258 through 267)</t>
  </si>
  <si>
    <t>I  INCOME  FROM REVALUATION OF PROPERTY VALUE (271 through 279)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</si>
  <si>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</si>
  <si>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</si>
  <si>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</si>
  <si>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</si>
  <si>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5. Advances (prepayments) and biological assets and agricultural produce in preparation process</t>
  </si>
  <si>
    <t>Foreign exchange differences from the translation of the financial statements in other foreign currency</t>
  </si>
  <si>
    <t>I INVENTORIES, FIXED ASSETS AND ASSETS OF DISCONTINUED OPERATIONS AVAILABLE FOR SALE (033 through 038)</t>
  </si>
  <si>
    <t xml:space="preserve">4. Income from sale of discontinued operations assets </t>
  </si>
  <si>
    <t>4. Losses arising from sale and write off of discontinued operations assets</t>
  </si>
  <si>
    <t>5. Fixed assets and assets of discontinued operations available for sale</t>
  </si>
  <si>
    <t>đ) Financial assets recognized at fair value through profit and loss</t>
  </si>
  <si>
    <t>1. Loss of previous year</t>
  </si>
  <si>
    <t>2. Loss of current year</t>
  </si>
  <si>
    <t>b) Income from sale of products and services on domestic market</t>
  </si>
  <si>
    <t>8. Collected written-off receivables</t>
  </si>
  <si>
    <t xml:space="preserve">1. Gains from decreasing revaluation reserves for fixed assets, except securities available for sale </t>
  </si>
  <si>
    <t>Diluted earnings per share</t>
  </si>
  <si>
    <t xml:space="preserve">3. Proceeds from sale of intangible assets, real-estates, plant, equipment, investment property and biological assets </t>
  </si>
  <si>
    <t>3. Outflows from purchase of intangible assets, real-estates, plant, equipment, investment property and biological assets</t>
  </si>
  <si>
    <t xml:space="preserve">4. Outflow arising from other long-term financial investments </t>
  </si>
  <si>
    <t>3. Outflow from short-term financial liabilities</t>
  </si>
  <si>
    <t>6. Outflows from other long-term and short-term liabilities</t>
  </si>
  <si>
    <t>I  NEMATERIJALNA ULAGANJA (003 do 007)</t>
  </si>
  <si>
    <t>U obrazacu Promjene na kapitalu potrebno je popuniti čitavu tabelu.</t>
  </si>
  <si>
    <t>2. Inventories of work in progress, goods, unfinished products and services</t>
  </si>
  <si>
    <t>4. Domestic long-term loans</t>
  </si>
  <si>
    <t>v) Short-term loans abroad</t>
  </si>
  <si>
    <t>e) Shares bought back indented for sale or cancelation</t>
  </si>
  <si>
    <t>2. Shares in limited liability company</t>
  </si>
  <si>
    <t>3. Shares in cooperatives</t>
  </si>
  <si>
    <t>III  DEFERRED TAX ASSETS</t>
  </si>
  <si>
    <t>4. Other shares</t>
  </si>
  <si>
    <t>1. Profit from previous years</t>
  </si>
  <si>
    <t>4. Net income of enterpreneurs</t>
  </si>
  <si>
    <t>4. Services expense</t>
  </si>
  <si>
    <t>II  LOSSES  FROM REVALUATION OF PROPERTY VALUE (281 through 288)</t>
  </si>
  <si>
    <t>4. Losses arising from cash-flow risk protection</t>
  </si>
  <si>
    <t>II  RASHODI OD USKLAĐIVANJA VRIJEDNOSTI IMOVINE (281 do 288)</t>
  </si>
  <si>
    <t>2. Obezvrjeđenje nekretnina, postrojenja i opreme</t>
  </si>
  <si>
    <t>3. Obezvrjeđenje investicionih nekretnina za koje se obračunava amortizacija</t>
  </si>
  <si>
    <t>4. Obezvrjeđenje bioloških sredstva za koja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</si>
  <si>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</si>
  <si>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</si>
  <si>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</si>
  <si>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8. Obezvrjeđenje ostale imovine</t>
  </si>
  <si>
    <t>K. GUBITAK PO OSNOVU USKLAĐIVANJA VRIJEDNOSTI IMOVINE (280-270)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</si>
  <si>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</si>
  <si>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</si>
  <si>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</si>
  <si>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</si>
  <si>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</si>
  <si>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dio 722</t>
  </si>
  <si>
    <t>2. Odloženi poreski rashodi perioda</t>
  </si>
  <si>
    <t>3. Odloženi poreski prihodi perioda</t>
  </si>
  <si>
    <t>NJ. NETO DOBITAK I NETO GUBITAK PERIODA</t>
  </si>
  <si>
    <t>2. Neto gubitak tekuće godine (294-293+295+296-297)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</si>
  <si>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</si>
  <si>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</si>
  <si>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</si>
  <si>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</si>
  <si>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</si>
  <si>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</si>
  <si>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</si>
  <si>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</si>
  <si>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</si>
  <si>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</si>
  <si>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</si>
  <si>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</si>
  <si>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</si>
  <si>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</si>
  <si>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</si>
  <si>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</si>
  <si>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</si>
  <si>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</si>
  <si>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</si>
  <si>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</si>
  <si>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</si>
  <si>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</si>
  <si>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</si>
  <si>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</si>
  <si>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3. Prilivi po osnovu prodaje nematerijalnih ulaganja, nekretnina, postrojenja, opreme, investicionih nekretnina i bioloških sredstava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</si>
  <si>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</si>
  <si>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</si>
  <si>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</si>
  <si>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</si>
  <si>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</si>
  <si>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3. Odlivi po osnovu kupovine nematerijalnih ulaganja, nekretnina, postrojenja, opreme, investicionih nekretnina i bioloških sredstava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</si>
  <si>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</si>
  <si>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</si>
  <si>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</si>
  <si>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</si>
  <si>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</si>
  <si>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</si>
  <si>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</si>
  <si>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</si>
  <si>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</si>
  <si>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</si>
  <si>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</si>
  <si>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</si>
  <si>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dio 529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</si>
  <si>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</si>
  <si>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</si>
  <si>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</si>
  <si>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</si>
  <si>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</si>
  <si>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1. Impairment of intangible assets</t>
  </si>
  <si>
    <t>1. Income from revaluation of intangible assets</t>
  </si>
  <si>
    <t xml:space="preserve">2. Income from revaluation of real-estates, plant and equipment </t>
  </si>
  <si>
    <t xml:space="preserve">3. Income from revaluation of investment property which is subject to depreciation </t>
  </si>
  <si>
    <t>4. Income from revaluation of biological assets which are subject to depreciation</t>
  </si>
  <si>
    <t xml:space="preserve">5. Income from revaluation of long-term financial placements and financial assets available for sale </t>
  </si>
  <si>
    <t>6. Income from revaluation of materials and goods</t>
  </si>
  <si>
    <t>7. Income from revaluation of short-term financial placements</t>
  </si>
  <si>
    <t>8. Income from revaluation of capital value</t>
  </si>
  <si>
    <t>9. Income from revaluation of other property value</t>
  </si>
  <si>
    <t>2. Deferred tax expenses of reporting period</t>
  </si>
  <si>
    <t>1. Tax expenses of reporting period</t>
  </si>
  <si>
    <t>3. Deferred tax incomes of reporting period</t>
  </si>
  <si>
    <t>1. Net income of current year (293-294-295-296+297)</t>
  </si>
  <si>
    <t xml:space="preserve">2. Gains from changes in fair value of securities available for sale </t>
  </si>
  <si>
    <t>4. Actuarial gains from defined-benefit plans</t>
  </si>
  <si>
    <t>6. Other gains determined directly in capital (equity)</t>
  </si>
  <si>
    <t>1. Losses from changes in fair value of securities available for sale</t>
  </si>
  <si>
    <t>3. Actuarial losses from defined-benefit plans</t>
  </si>
  <si>
    <t>5. Other losses determined directly in capital (equity)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</si>
  <si>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</si>
  <si>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</si>
  <si>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</si>
  <si>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</si>
  <si>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</si>
  <si>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</si>
  <si>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4. Incomes from currency clause</t>
  </si>
  <si>
    <t>4. Currency clause expenses</t>
  </si>
  <si>
    <t>7. Decrease of the value of investment properties and biological assets that are not subject to depreciation</t>
  </si>
  <si>
    <t xml:space="preserve">9. Incomes from contractually agreed risk protection which cannot be included in the revaluation reserves </t>
  </si>
  <si>
    <t>B. TOKOVI GOTOVINE IZ AKTIVNOSTI INVESTIRANJA</t>
  </si>
  <si>
    <t>I  INTANGIBLE ASSETS (003 through 007)</t>
  </si>
  <si>
    <t>2. Concessions, patents and licenses and similar rights</t>
  </si>
  <si>
    <t>4. Other intangible assets</t>
  </si>
  <si>
    <t>015 and 016</t>
  </si>
  <si>
    <t>1. Land</t>
  </si>
  <si>
    <t>027 and 028</t>
  </si>
  <si>
    <t>038 and 039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</si>
  <si>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</si>
  <si>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</si>
  <si>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</si>
  <si>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</si>
  <si>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</si>
  <si>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</si>
  <si>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</si>
  <si>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</si>
  <si>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1. Shares in related legal entities</t>
  </si>
  <si>
    <t>2. Shares in other legal entities</t>
  </si>
  <si>
    <t>B. CURRENT ASSETS (032+039+060)</t>
  </si>
  <si>
    <t>1. Short-term receivables (041 through 045)</t>
  </si>
  <si>
    <t>g) Receivables from specific products</t>
  </si>
  <si>
    <t>ž) Other short-term investments</t>
  </si>
  <si>
    <t>b) Cash</t>
  </si>
  <si>
    <t>A. CAPITAL (102-109+110+111+114+115-116+117-122)</t>
  </si>
  <si>
    <t>I  SHARE CAPITAL (103 through 108)</t>
  </si>
  <si>
    <t>6. Other capital</t>
  </si>
  <si>
    <t>III ISSUANCE PREMIUM</t>
  </si>
  <si>
    <t>2. Statutory reserves</t>
  </si>
  <si>
    <t>330, 331 and 334</t>
  </si>
  <si>
    <t>part 32</t>
  </si>
  <si>
    <t>IX. LOSS UP TO THE AMOUNT OF CAPITAL (123+124)</t>
  </si>
  <si>
    <t>B. LONG-TERM PROVISIONS (126 through 131)</t>
  </si>
  <si>
    <t>6. Other long-term provisions</t>
  </si>
  <si>
    <t>I LONG-TERM LIABILITIES (134 through 141)</t>
  </si>
  <si>
    <t>8. Other long-term liabilities</t>
  </si>
  <si>
    <t>II SHORT-TERM LIABILITIES (143+148+153+154+155+156+157+158+159+160)</t>
  </si>
  <si>
    <t>g) Other short-term financial liabilities</t>
  </si>
  <si>
    <t>v) Other suppliers</t>
  </si>
  <si>
    <t>b) Suppliers-related legal entities</t>
  </si>
  <si>
    <t>3. Liabilities from specific operations</t>
  </si>
  <si>
    <t>5. Other liabilities</t>
  </si>
  <si>
    <t>A. OPERATING INCOME AND EXPENSES</t>
  </si>
  <si>
    <t>1. Income from sales of merchandise goods (203 through 205)</t>
  </si>
  <si>
    <t>a) Income from sale of merchandise goods to related legal entities</t>
  </si>
  <si>
    <t>II OPERATING EXPENSES (217+218+219+222+223+226+227+228)</t>
  </si>
  <si>
    <t>6. Immaterial expense (excluding taxes and contribution)</t>
  </si>
  <si>
    <t>7. Tax expense</t>
  </si>
  <si>
    <t>8. Contribution expense</t>
  </si>
  <si>
    <t>I  FINANCE INCOME (232 through 237)</t>
  </si>
  <si>
    <t>6. Other finance income</t>
  </si>
  <si>
    <t>5. Other finance expense</t>
  </si>
  <si>
    <t>3. Plant and equipment</t>
  </si>
  <si>
    <t>5. For employees wages and benefits</t>
  </si>
  <si>
    <t>4. Wages (salaries) and salaries (salaries compensations) payable</t>
  </si>
  <si>
    <t>6. Value added tax</t>
  </si>
  <si>
    <t>7. Other taxes, contributions and other fees payable</t>
  </si>
  <si>
    <t>9. Accrued expenses and deferred income</t>
  </si>
  <si>
    <t>7. Deferred tax liabilities</t>
  </si>
  <si>
    <t>10. Deferred tax liabilities</t>
  </si>
  <si>
    <t>3. Unallocated surplus of income over expenditure</t>
  </si>
  <si>
    <t>2. Income from sale of products (207 through 209)</t>
  </si>
  <si>
    <t xml:space="preserve">v) Income from sale of products and services on foreign market </t>
  </si>
  <si>
    <t>v) Income from sale of merchandise goods on foreign market</t>
  </si>
  <si>
    <t>a) Income from sale of products and services to related legal entities</t>
  </si>
  <si>
    <t>3. Income from employment (activation) or consumption of goods, products and services</t>
  </si>
  <si>
    <t>4. Increase in value of products in stock</t>
  </si>
  <si>
    <t>5. Decrease in value of products in stock</t>
  </si>
  <si>
    <t>8. Other operating income</t>
  </si>
  <si>
    <t>1. Merchandise goods sold at cost</t>
  </si>
  <si>
    <t xml:space="preserve">2. Materials expenses </t>
  </si>
  <si>
    <t>a) Gross wages and gross salaries</t>
  </si>
  <si>
    <t>b) Other employee expenses</t>
  </si>
  <si>
    <t>5. Depreciation and provisions expenses (224+225)</t>
  </si>
  <si>
    <t>a) Depreciation</t>
  </si>
  <si>
    <t>b) Provisions expenses</t>
  </si>
  <si>
    <t>B. OPERATING INCOME (201-216)</t>
  </si>
  <si>
    <t>2. Interest income</t>
  </si>
  <si>
    <t>3. Foreign exchange gains</t>
  </si>
  <si>
    <t>5. Income from joint venture investments</t>
  </si>
  <si>
    <t>II FINANCE EXPENSES (239 through 243)</t>
  </si>
  <si>
    <t>2. Interests expense</t>
  </si>
  <si>
    <t>3. Foreign exchange losses</t>
  </si>
  <si>
    <t>1. Income from sale of intangible investments, real-estates, plant and equipment</t>
  </si>
  <si>
    <t>3. Income from sale of biological assets</t>
  </si>
  <si>
    <t>5. Income from sale of stakes in capital and long-term securities</t>
  </si>
  <si>
    <t>6. Income from sale of materials</t>
  </si>
  <si>
    <t>7. Surpluses, excluding surpluses of products in stock</t>
  </si>
  <si>
    <t>10. Income from reduction of liabilities, termination of unused long-term provisions and other incomes</t>
  </si>
  <si>
    <t>1. Losses arising from liquidation and write-off of fixed assets and intangible assets</t>
  </si>
  <si>
    <t>3. Losses arising from sale and write off of biological assets</t>
  </si>
  <si>
    <t>5. Losses from sale of stakes in capital and long-term securities</t>
  </si>
  <si>
    <t>6. Losses from sale of materials</t>
  </si>
  <si>
    <t>7. Deficits, excluding deficits of products in stock</t>
  </si>
  <si>
    <t>8. Losses from risk protection</t>
  </si>
  <si>
    <t>9. Losses from revaluation and write-offs</t>
  </si>
  <si>
    <t xml:space="preserve">10. Losses from write-off of material and goods and other losses </t>
  </si>
  <si>
    <t>2. Losses arising from sale and write off of investment property</t>
  </si>
  <si>
    <t xml:space="preserve">2. Income from sale of investment property </t>
  </si>
  <si>
    <t>4. Investment property</t>
  </si>
  <si>
    <t>6. Investment property, plants and equipment not owned by the company</t>
  </si>
  <si>
    <t>10 to 15</t>
  </si>
  <si>
    <t>100 to 109</t>
  </si>
  <si>
    <t>110 to 112</t>
  </si>
  <si>
    <t>130 to 139</t>
  </si>
  <si>
    <t>1. Inventory of materials</t>
  </si>
  <si>
    <t>3. Inventory of finished products</t>
  </si>
  <si>
    <t>4. Inventory of merchandise goods</t>
  </si>
  <si>
    <t>140 to 149</t>
  </si>
  <si>
    <t>150 to 159</t>
  </si>
  <si>
    <t>II  SHORT-TERM RECEIVABLES, INVESTMENTS AND CASH (040+046+055+058+059)</t>
  </si>
  <si>
    <t>d) Other short-term receivables</t>
  </si>
  <si>
    <t>2. Short-term financial investments (047 through 054)</t>
  </si>
  <si>
    <t>a) Short-term loans to related legal entities</t>
  </si>
  <si>
    <t>b) Domestic short-term loans</t>
  </si>
  <si>
    <t>g) Share of long-term financial placements which mature in one year</t>
  </si>
  <si>
    <t>233 and 234</t>
  </si>
  <si>
    <t>d) Financial assets at fair value through profit and loss available for trading</t>
  </si>
  <si>
    <t>a) Сash equivalents - securities</t>
  </si>
  <si>
    <t>4. Value added tax</t>
  </si>
  <si>
    <t>1. Share capital</t>
  </si>
  <si>
    <t>5. State-owned capital</t>
  </si>
  <si>
    <t>II SUBSCRIBED CAPITAL UNPAID</t>
  </si>
  <si>
    <t>IV RESERVES (112+113)</t>
  </si>
  <si>
    <t>V  REVALUATION  RESERVES</t>
  </si>
  <si>
    <t>VI UNREALISED GAINS FROM THE FINANCIAL ASSETS AVAILABLE FOR SALE</t>
  </si>
  <si>
    <t>VII  UNREALISED LOSSES FROM THE FINANCIAL ASSETS AVAILABLE FOR SALE</t>
  </si>
  <si>
    <t>2. Profit for the financial year</t>
  </si>
  <si>
    <t>1. Research and development investments</t>
  </si>
  <si>
    <t>1. Forest</t>
  </si>
  <si>
    <t>2. Growing crops</t>
  </si>
  <si>
    <t>IV  LONG TERM FINANCIAL INVESTMENTS (022 through 029)</t>
  </si>
  <si>
    <t>5. Long-term loans abroad</t>
  </si>
  <si>
    <t>6. Financial assets available for sale</t>
  </si>
  <si>
    <t>8. Other long-term financial investments (placements)</t>
  </si>
  <si>
    <t>Amount</t>
  </si>
  <si>
    <t>Current Year</t>
  </si>
  <si>
    <t>Previous Year</t>
  </si>
  <si>
    <t>b) Income from sale of merchandise goods on domestic market</t>
  </si>
  <si>
    <t>1. Finance income from related legal entities</t>
  </si>
  <si>
    <t xml:space="preserve">1. Finance expenses from relations with related legal entities 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</si>
  <si>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</si>
  <si>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</si>
  <si>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</si>
  <si>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</si>
  <si>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</si>
  <si>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</si>
  <si>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</si>
  <si>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</si>
  <si>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</si>
  <si>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</si>
  <si>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</si>
  <si>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Pozitivne promjene, odnosno korekcije, se unose kao pozitivni brojevi (osnovni kapital, dobitak period, pozitivne korekcije)</t>
  </si>
  <si>
    <t>U aktivi Bilansa stanja popunjavaju se samo kolone "Bruto" (4) i "Ispravka vrijednosti" (5), dok se kolona "Neto" (6) automatski izračunava.</t>
  </si>
  <si>
    <t>U pasivi Bilansa stanja u prvu kolonu se unosi "Iznos na dan bilansa tekuće godine", a u drugu kolonu "Iznos prethodne godine (početno stanje)".</t>
  </si>
  <si>
    <t>U Bilansu uspjeha popunjavaju se kolone 4 i 5, dok se zbirovi automatski računaju.</t>
  </si>
  <si>
    <t>Uputstvo za popunjavanje obrazaca</t>
  </si>
  <si>
    <t xml:space="preserve"> </t>
  </si>
  <si>
    <t>dio 550</t>
  </si>
  <si>
    <t>Troškovi neproizvodnih usluga</t>
  </si>
  <si>
    <t>Troškovi reprezentacije</t>
  </si>
  <si>
    <t>Troškovi platnog prometa</t>
  </si>
  <si>
    <t>Troškovi članarina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</si>
  <si>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</si>
  <si>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</si>
  <si>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</si>
  <si>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</si>
  <si>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</si>
  <si>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</si>
  <si>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</si>
  <si>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</si>
  <si>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</si>
  <si>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</si>
  <si>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</si>
  <si>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</si>
  <si>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</si>
  <si>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</si>
  <si>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</si>
  <si>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</si>
  <si>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</si>
  <si>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</si>
  <si>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</si>
  <si>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</si>
  <si>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</si>
  <si>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</si>
  <si>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</si>
  <si>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</si>
  <si>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</si>
  <si>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</si>
  <si>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</si>
  <si>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</si>
  <si>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</si>
  <si>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</si>
  <si>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</si>
  <si>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Neraspoređeni dobitak tekuće godine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</si>
  <si>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</si>
  <si>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</si>
  <si>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</si>
  <si>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</si>
  <si>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</si>
  <si>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</si>
  <si>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</si>
  <si>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</si>
  <si>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</si>
  <si>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</si>
  <si>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</si>
  <si>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</si>
  <si>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2. Buildings</t>
  </si>
  <si>
    <t>3. Long-term loans to related legal entities</t>
  </si>
  <si>
    <t>V POSTPONED TAX FUNDS</t>
  </si>
  <si>
    <t>a) Customers – related legal entities</t>
  </si>
  <si>
    <t>EQUITY AND LIABILITIES</t>
  </si>
  <si>
    <t>1. Legal reserves</t>
  </si>
  <si>
    <t>1. Liabilities convertible in capital</t>
  </si>
  <si>
    <t>2. Liabilities toward related legal entities</t>
  </si>
  <si>
    <t>A. STALNA IMOVINA (002+008+015+021+030)</t>
  </si>
  <si>
    <t>1. Ulaganja u razvoj</t>
  </si>
  <si>
    <t>Iznos na dan bilansa tekuće godine</t>
  </si>
  <si>
    <t>2. Koncesije, patenti, licence i ostala prava</t>
  </si>
  <si>
    <t>3. Goodwill</t>
  </si>
  <si>
    <t>4. Ostala nematerijalna ulaganja</t>
  </si>
  <si>
    <t>015 i 016</t>
  </si>
  <si>
    <t>1. Zemljište</t>
  </si>
  <si>
    <t>3. Postrojenja i oprema</t>
  </si>
  <si>
    <t>4. Investicione nekretnine</t>
  </si>
  <si>
    <t>027 i 028</t>
  </si>
  <si>
    <t>5. Avansi i nekretnine, postrojenja, oprema i investicione nekretnine u pripremi</t>
  </si>
  <si>
    <t>6. Ulaganje na tuđim nekretninama, postrojenjima i opremi</t>
  </si>
  <si>
    <t>1. Šume</t>
  </si>
  <si>
    <t>2. Višegodišnji zasadi</t>
  </si>
  <si>
    <t>3. Osnovno stado</t>
  </si>
  <si>
    <t>4. Sredstva kulture</t>
  </si>
  <si>
    <t>038 i 039</t>
  </si>
  <si>
    <t>IV  DUGOROČNI FINANSIJSKI PLASMANI (022 do 029)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</si>
  <si>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</si>
  <si>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</si>
  <si>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</si>
  <si>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</si>
  <si>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</si>
  <si>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</si>
  <si>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</si>
  <si>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</si>
  <si>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</si>
  <si>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</si>
  <si>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</si>
  <si>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</si>
  <si>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</si>
  <si>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</si>
  <si>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</si>
  <si>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B. TEKUĆA IMOVINA (032+039+060)</t>
  </si>
  <si>
    <t>100 do 109</t>
  </si>
  <si>
    <t>1. Zalihe materijala</t>
  </si>
  <si>
    <t>110 do 112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</si>
  <si>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</si>
  <si>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</si>
  <si>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</si>
  <si>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</si>
  <si>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</si>
  <si>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</si>
  <si>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</si>
  <si>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II  KRATKOROČNA POTRAŽIVANJA, PLASMANI I GOTOVINA (040+046+055+058+059)</t>
  </si>
  <si>
    <t>20, 21, 22</t>
  </si>
  <si>
    <t>1. Kratkoročna potraživanja (041 do 045)</t>
  </si>
  <si>
    <t>200, dio 209</t>
  </si>
  <si>
    <t>a) Kupci–povezana pravna lica</t>
  </si>
  <si>
    <t>201, dio 209</t>
  </si>
  <si>
    <t>b) Kupci u zemlji</t>
  </si>
  <si>
    <t>202, dio 209</t>
  </si>
  <si>
    <t>v) Kupci u inostranstvu</t>
  </si>
  <si>
    <t>210 do 219</t>
  </si>
  <si>
    <t>g) Potraživanja iz specifičnih poslova</t>
  </si>
  <si>
    <t>220 do 229</t>
  </si>
  <si>
    <t>230, dio 239</t>
  </si>
  <si>
    <t>231, dio 239</t>
  </si>
  <si>
    <t>232, dio 239</t>
  </si>
  <si>
    <t>233 i 234</t>
  </si>
  <si>
    <t>235, dio 239</t>
  </si>
  <si>
    <t>236, dio 239</t>
  </si>
  <si>
    <t>238, dio 239</t>
  </si>
  <si>
    <t>241 do 249</t>
  </si>
  <si>
    <t>280 do 289, osim 288</t>
  </si>
  <si>
    <t>d) Druga kratkoročna potraživanja</t>
  </si>
  <si>
    <t>2. Kratkoročni finansijski plasmani (047 do 054)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</si>
  <si>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</si>
  <si>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</si>
  <si>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</si>
  <si>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</si>
  <si>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</si>
  <si>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</si>
  <si>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3. Gotovinski ekvivalenti i gotovina (056+057)</t>
  </si>
  <si>
    <t>b) Gotovina</t>
  </si>
  <si>
    <t>4. Porez na dodatu vrijednost</t>
  </si>
  <si>
    <t>5. Aktivna vremenska razgraničenja</t>
  </si>
  <si>
    <t>III  ODLOŽENA PORESKA SREDSTVA</t>
  </si>
  <si>
    <t>V. GUBITAK IZNAD VISINE KAPITALA</t>
  </si>
  <si>
    <t>G. POSLOVNA AKTIVA (001+031+061)</t>
  </si>
  <si>
    <t>880 do 888</t>
  </si>
  <si>
    <t>a) Gotovinski ekvivalenti - hartije od vrijednosti</t>
  </si>
  <si>
    <t>D. VANBILANSNA AKTIVA</t>
  </si>
  <si>
    <t>Đ. UKUPNA AKTIVA (062+063)</t>
  </si>
  <si>
    <t>A. KAPITAL (102-109+110+111+114+115-116+117-122)</t>
  </si>
  <si>
    <t>I  OSNOVNI KAPITAL (103 do 108)</t>
  </si>
  <si>
    <t>1. Akcijski kapital</t>
  </si>
  <si>
    <t>3. Zadružni udjeli</t>
  </si>
  <si>
    <t>6. Ostali osnovni kapital</t>
  </si>
  <si>
    <t>2. Statutarne rezerve</t>
  </si>
  <si>
    <t>V  REVALORIZACIONE REZERVE</t>
  </si>
  <si>
    <t>VI  NEREALIZOVANI DOBICI PO OSNOVU FINANSIJSKIH SREDSTAVA RASPOLOŽIVIH ZA PRODAJU</t>
  </si>
  <si>
    <t>4. Neto prihod od samostalne djelatnosti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</si>
  <si>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</si>
  <si>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</si>
  <si>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</si>
  <si>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</si>
  <si>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4. Rezervisanja za troškove restrukturiranja</t>
  </si>
  <si>
    <t>5. Rezervisanja za naknade i beneficije zaposlenih</t>
  </si>
  <si>
    <t>V. OBAVEZE (133+142)</t>
  </si>
  <si>
    <t>7. Odložene poreske obaveze</t>
  </si>
  <si>
    <t>2. Obaveze iz poslovanja (149 do 152)</t>
  </si>
  <si>
    <t>a) Primljeni avansi, depoziti i kaucije</t>
  </si>
  <si>
    <t>g) Ostale obaveze iz poslovanja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</si>
  <si>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</si>
  <si>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</si>
  <si>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</si>
  <si>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</si>
  <si>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</si>
  <si>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</si>
  <si>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330, 331 i 334</t>
  </si>
  <si>
    <t>41, osim 418</t>
  </si>
  <si>
    <t>413 i 414</t>
  </si>
  <si>
    <t>415 i 416</t>
  </si>
  <si>
    <t>42 do 48</t>
  </si>
  <si>
    <t>420 do 423</t>
  </si>
  <si>
    <t>424 i 425</t>
  </si>
  <si>
    <t>432 i 433</t>
  </si>
  <si>
    <t>440 do 449</t>
  </si>
  <si>
    <t>450 do 458</t>
  </si>
  <si>
    <t>460 do 469</t>
  </si>
  <si>
    <t>470 do 479</t>
  </si>
  <si>
    <t>48 osim 481</t>
  </si>
  <si>
    <t>49, osim 495</t>
  </si>
  <si>
    <t>890 do 898</t>
  </si>
  <si>
    <t>2. Udjeli društva sa ograničenom odgovornošću</t>
  </si>
  <si>
    <t>VIII  NERASPOREĐENI DOBITAK (118 do 121)</t>
  </si>
  <si>
    <t>Adrijana Baralić (adrijana.baralic@blberza.com - 051/326-053)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</si>
  <si>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</si>
  <si>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</si>
  <si>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</si>
  <si>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</si>
  <si>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</si>
  <si>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</si>
  <si>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</si>
  <si>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</si>
  <si>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</si>
  <si>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</si>
  <si>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</si>
  <si>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</si>
  <si>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</si>
  <si>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</si>
  <si>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</si>
  <si>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</si>
  <si>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</si>
  <si>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Dana,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</si>
  <si>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</si>
  <si>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</si>
  <si>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</si>
  <si>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</si>
  <si>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</si>
  <si>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</si>
  <si>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Дaнa,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</si>
  <si>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</si>
  <si>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</si>
  <si>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</si>
  <si>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</si>
  <si>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</si>
  <si>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</si>
  <si>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</si>
  <si>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</si>
  <si>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</si>
  <si>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</si>
  <si>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</si>
  <si>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</si>
  <si>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</si>
  <si>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</si>
  <si>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</si>
  <si>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</si>
  <si>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</si>
  <si>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</si>
  <si>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</si>
  <si>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</si>
  <si>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</si>
  <si>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</si>
  <si>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</si>
  <si>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</si>
  <si>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</si>
  <si>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</si>
  <si>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</si>
  <si>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</si>
  <si>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</si>
  <si>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</si>
  <si>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</si>
  <si>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</si>
  <si>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</si>
  <si>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</si>
  <si>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</si>
  <si>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</si>
  <si>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</si>
  <si>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</si>
  <si>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</si>
  <si>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</si>
  <si>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</si>
  <si>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</si>
  <si>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</si>
  <si>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</si>
  <si>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</si>
  <si>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</si>
  <si>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</si>
  <si>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</si>
  <si>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</si>
  <si>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</si>
  <si>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</si>
  <si>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</si>
  <si>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</si>
  <si>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</si>
  <si>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</si>
  <si>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</si>
  <si>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</si>
  <si>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</si>
  <si>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</si>
  <si>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</si>
  <si>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</si>
  <si>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</si>
  <si>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</si>
  <si>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</si>
  <si>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</si>
  <si>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</si>
  <si>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</si>
  <si>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</si>
  <si>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</si>
  <si>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Item</t>
  </si>
  <si>
    <t>Direktor:</t>
  </si>
  <si>
    <t>Дирeктoр: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</si>
  <si>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</si>
  <si>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</si>
  <si>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</si>
  <si>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</si>
  <si>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</si>
  <si>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</si>
  <si>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</si>
  <si>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</si>
  <si>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</si>
  <si>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</si>
  <si>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Пoзициja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</si>
  <si>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</si>
  <si>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</si>
  <si>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</si>
  <si>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</si>
  <si>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</si>
  <si>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</si>
  <si>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</si>
  <si>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</si>
  <si>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</si>
  <si>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</si>
  <si>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</si>
  <si>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</si>
  <si>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</si>
  <si>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</si>
  <si>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Date,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</si>
  <si>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</si>
  <si>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</si>
  <si>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</si>
  <si>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</si>
  <si>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</si>
  <si>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</si>
  <si>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</si>
  <si>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</si>
  <si>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</si>
  <si>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</si>
  <si>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</si>
  <si>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</si>
  <si>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</si>
  <si>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</si>
  <si>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</si>
  <si>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</si>
  <si>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</si>
  <si>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</si>
  <si>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</si>
  <si>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</si>
  <si>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</si>
  <si>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</si>
  <si>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</si>
  <si>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</si>
  <si>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</si>
  <si>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</si>
  <si>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</si>
  <si>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</si>
  <si>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</si>
  <si>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</si>
  <si>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</si>
  <si>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</si>
  <si>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</si>
  <si>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</si>
  <si>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</si>
  <si>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</si>
  <si>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</si>
  <si>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</si>
  <si>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</si>
  <si>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</si>
  <si>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</si>
  <si>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</si>
  <si>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</si>
  <si>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</si>
  <si>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</si>
  <si>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</si>
  <si>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</si>
  <si>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</si>
  <si>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</si>
  <si>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Grupa Srpski - latinica</t>
  </si>
  <si>
    <t>Grupa Srpski - cirilica</t>
  </si>
  <si>
    <t>Grupa Engleski</t>
  </si>
  <si>
    <t>1. Dobitak prije oporezivanja (244+268+289+291-245-269-290-292)</t>
  </si>
  <si>
    <t>2. Gubitak prije oporezivanja (245+269+290+292-244-268-289-291)</t>
  </si>
  <si>
    <t>1. Income before taxes (244+268+289+291-245-269-290-292)</t>
  </si>
  <si>
    <t>1. Loss before taxes (245+269+290+292-244-268-289-291)</t>
  </si>
  <si>
    <t>D. DOBITAK REDOVNE AKTIVNOSTI (229+231-238) ili (230+231-238)</t>
  </si>
  <si>
    <t>Đ. GUBITAK REDOVNE AKTIVNOSTI (-229-231+238) ili (230-231+238)</t>
  </si>
  <si>
    <t>F. OPERATING LOSS (-229-231+238) or (230-231+238)</t>
  </si>
  <si>
    <t>E. OPERATING INCOME (229+231-238) or (230+231-238)</t>
  </si>
  <si>
    <t>UKUPNI PRIHODI (201+231+246+270+291)</t>
  </si>
  <si>
    <t>UKUPNI RASHODI (216+238+257+280+292)</t>
  </si>
  <si>
    <t>I  DOBICI UTVRĐENI DIREKTNO U KAPITALU (402 do 407)</t>
  </si>
  <si>
    <t>TOTAL INCOME (201+231+246+270+291)</t>
  </si>
  <si>
    <t>TOTAL EXPENSES (216+238+257+280+292)</t>
  </si>
  <si>
    <t>A. NETO DOBITAK ILI GUBITAK PERIODA (298 ili 299)</t>
  </si>
  <si>
    <t>A. NET INCOME OR NET LOSS OF PERIOD (298 or 299)</t>
  </si>
  <si>
    <t>BUa</t>
  </si>
  <si>
    <t>V. POREZ NA DOBITAK KOJI SE ODNOSI NA OSTALE DOBITKE I GUBITKE</t>
  </si>
  <si>
    <t>D. UKUPAN NETO REZULTAT U OBRAČUNSKOM PERIODU</t>
  </si>
  <si>
    <t xml:space="preserve">C. TAX ON THE OTHER GAINS AND LOSSES OF THE PERIOD </t>
  </si>
  <si>
    <t xml:space="preserve">E. TOTAL NET INCOME (RESULT) </t>
  </si>
  <si>
    <t>II  GUBICI UTVRĐENI DIREKTNO U KAPITALU (409 do 413)</t>
  </si>
  <si>
    <t>B. OSTALI DOBICI ILI GUBICI U PERIODU (401-408) ili (408-401)</t>
  </si>
  <si>
    <t>G. NETO REZULTAT PO OSNOVU OSTALIH DOBITAKA I GUBITAKA U PERIODU (414±415)</t>
  </si>
  <si>
    <t>I  GAINS DETERMINED DIRECTLY IN CAPITAL (EQUITY)  (402 through 407)</t>
  </si>
  <si>
    <t xml:space="preserve">II  LOSSES DETERMINED DIRECTLY IN CAPITAL (EQUITY) (409 through 413) </t>
  </si>
  <si>
    <t>B. OTHER GAINS AND LOSSES OF THE PERIOD (401-408) or (408-401)</t>
  </si>
  <si>
    <t>D. NET RESULT FROM THE OTHER GAINS AND LOSSES OF THE PERIOD (414±415)</t>
  </si>
  <si>
    <t>I  UKUPAN NETO DOBITAK U OBRAČUNSKOM PERIODU (400±416)</t>
  </si>
  <si>
    <t>II  UKUPAN NETO GUBITAK U OBRAČUNSKOM PERIODU (400±416)</t>
  </si>
  <si>
    <t>III  NETO PRILIV GOTOVINE IZ POSLOVNIH AKTIVNOSTI (501-505)</t>
  </si>
  <si>
    <t>IV  NETO ODLIV GOTOVINE IZ POSLOVNIH AKTIVNOSTI (505-501)</t>
  </si>
  <si>
    <t>III  NETO PRILIV GOTOVINE IZ AKTIVNOSTI INVESTIRANJA (513-520)</t>
  </si>
  <si>
    <t>IV  NETO ODLIV GOTOVINE IZ AKTIVNOSTI INVESTIRANJA (520-513)</t>
  </si>
  <si>
    <t>III  NETO PRILIV GOTOVINE IZ AKTIVNOST FINANSIRANJA (527-532)</t>
  </si>
  <si>
    <t>IV  NETO ODLIV GOTOVINE IZ AKTIVNOSTI FINANSIRANJA (532-527)</t>
  </si>
  <si>
    <t>G. UKUPNI PRILIVI GOTOVINE (501+513+527)</t>
  </si>
  <si>
    <t>D. UKUPNI ODLIVI GOTOVINE (505+520+532)</t>
  </si>
  <si>
    <t>Đ. NETO PRILIV GOTOVINE (541-542)</t>
  </si>
  <si>
    <t>E. NETO ODLIV GOTOVINE (542-541)</t>
  </si>
  <si>
    <t>J. CASH AT THE END OF REPORTING PERIOD  (545+543-544+546-547)</t>
  </si>
  <si>
    <t>J. GOTOVINA NA KRAJU OBRAČUNSKOG PERIODA (545+543-544+546-547)</t>
  </si>
  <si>
    <t>G. TOTAL CASH INFLOW (501+513+527)</t>
  </si>
  <si>
    <t>D. TOTAL CASH OUTFLOW (505+520+532)</t>
  </si>
  <si>
    <t>Đ. NET CASH INFLOW (541-542)</t>
  </si>
  <si>
    <t>E. NET CASH OUTFLOW (542-541)</t>
  </si>
  <si>
    <t>IV. Net outflow of cash from financing activities (532-527)</t>
  </si>
  <si>
    <t>I. Cash proceeds from operating activities (502 through 504)</t>
  </si>
  <si>
    <t>II. Cash outflows from operating activities (506 through 510)</t>
  </si>
  <si>
    <t>III. Net inflow of cash from operating activities (501-505)</t>
  </si>
  <si>
    <t>IV. Net outflow of cash from operating activities (505-501)</t>
  </si>
  <si>
    <t>I  Proceeds from investing activities (514 through 519)</t>
  </si>
  <si>
    <t>II  Cash outflow from investing activities (521 through 524)</t>
  </si>
  <si>
    <t>III. Net cash inflow from investing activities (513-520)</t>
  </si>
  <si>
    <t>IV. Net cash outflow from investing activities (520-513)</t>
  </si>
  <si>
    <t>I. Cash inflow from financing activities (528 through 531)</t>
  </si>
  <si>
    <t>II. Cash outflow from financing activities (533 through 538)</t>
  </si>
  <si>
    <t>III. Net inflow of cash from financing activities (527-532)</t>
  </si>
  <si>
    <t>Min Id</t>
  </si>
  <si>
    <t>Max Id</t>
  </si>
  <si>
    <t>BS_bruto</t>
  </si>
  <si>
    <t>BS_ispravka</t>
  </si>
  <si>
    <t>Datumi</t>
  </si>
  <si>
    <t>Osnovno</t>
  </si>
  <si>
    <t>Tabele zaglavlje</t>
  </si>
  <si>
    <t>Žiro računi:</t>
  </si>
  <si>
    <t>Жирo рaчуни: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</si>
  <si>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</si>
  <si>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</si>
  <si>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</si>
  <si>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</si>
  <si>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</si>
  <si>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</si>
  <si>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</si>
  <si>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</si>
  <si>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</si>
  <si>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</si>
  <si>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</si>
  <si>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</si>
  <si>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</si>
  <si>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</si>
  <si>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</si>
  <si>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</si>
  <si>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</si>
  <si>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I  PRILIVI GOTOVINE IZ POSLOVNIH AKTIVNOSTI (502 do 504)</t>
  </si>
  <si>
    <t>II  ODLIVI GOTOVINE IZ POSLOVNIH AKTIVNOSTI (506 do 510)</t>
  </si>
  <si>
    <t>I  PRILIVI GOTOVINE IZ AKTIVNOSTI INVESTIRANJA (514 do 519)</t>
  </si>
  <si>
    <t>II  ODLIVI GOTOVINE IZ AKTIVNOSTI INVESTIRANJA (521 do 524)</t>
  </si>
  <si>
    <t>I  PRILIV GOTOVINE IZ AKTIVNOSTI FINANSIRANJA (528 do 531)</t>
  </si>
  <si>
    <t>II  ODLIVI GOTOVINE IZ AKTIVNOSTI FINANSIRANJA (533 do 538)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</si>
  <si>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</si>
  <si>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</si>
  <si>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</si>
  <si>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</si>
  <si>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</si>
  <si>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</si>
  <si>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</si>
  <si>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</si>
  <si>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</si>
  <si>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</si>
  <si>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</si>
  <si>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</si>
  <si>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</si>
  <si>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</si>
  <si>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</si>
  <si>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</si>
  <si>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</si>
  <si>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</si>
  <si>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</si>
  <si>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</si>
  <si>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</si>
  <si>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</si>
  <si>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</si>
  <si>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</si>
  <si>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</si>
  <si>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</si>
  <si>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</si>
  <si>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</si>
  <si>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</si>
  <si>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</si>
  <si>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Na primjer, ako je iskazano 31.12.2009. godine u bilansu stanja iskazano 1000 KM neraporedjene dobiti i 100 KM gubitka iz prethodnih perioda unosi se neto 900 KM.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</si>
  <si>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</si>
  <si>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</si>
  <si>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</si>
  <si>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</si>
  <si>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</si>
  <si>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</si>
  <si>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</si>
  <si>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</si>
  <si>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</si>
  <si>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</si>
  <si>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</si>
  <si>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</si>
  <si>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</si>
  <si>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Obveznici koji u izvještajnom periodu nisu ostvarivali ostale dobitke i gubitke nisu obavezni da prezentuju ovaj izvještaj.</t>
  </si>
  <si>
    <t>(Statement of Comprehensive Income)</t>
  </si>
  <si>
    <t>Report</t>
  </si>
  <si>
    <t>(Statement of cash flows)</t>
  </si>
  <si>
    <t>Grupa Prikaz</t>
  </si>
  <si>
    <t>AКTИВA</t>
  </si>
  <si>
    <t>A. СTAЛНA ИMOВИНA (002+008+015+021+030)</t>
  </si>
  <si>
    <t>I  НEMATEРИJAЛНA УЛAГAЊA (003 дo 007)</t>
  </si>
  <si>
    <t>1. Улaгaњa у рaзвoj</t>
  </si>
  <si>
    <t>2. Кoнцeсиje, пaтeнти, лицeнцe и oстaлa прaвa</t>
  </si>
  <si>
    <t>4. Oстaлa нeмaтeриjaлнa улaгaњa</t>
  </si>
  <si>
    <t>5. Aвaнси и нeмaтeриjaлнa улaгaњa у припрeми</t>
  </si>
  <si>
    <t>1. Зeмљиштe</t>
  </si>
  <si>
    <t>2. Грaђeвински oбjeкти</t>
  </si>
  <si>
    <t>3. Пoстрojeњa и oпрeмa</t>
  </si>
  <si>
    <t>4. Инвeстициoнe нeкрeтнинe</t>
  </si>
  <si>
    <t>5. Aвaнси и нeкрeтнинe, пoстрojeњa, oпрeмa и инвeстициoнe нeкрeтнинe у припрeми</t>
  </si>
  <si>
    <t>6. Улaгaњe нa туђим нeкрeтнинaмa, пoстрojeњимa и oпрeми</t>
  </si>
  <si>
    <t>III  БИOЛOШКA СРEДСTВA И  СРEДСTВA КУЛTУРE (016 дo 020)</t>
  </si>
  <si>
    <t>1. Шумe</t>
  </si>
  <si>
    <t>2. Вишeгoдишњи зaсaди</t>
  </si>
  <si>
    <t>3. Oснoвнo стaдo</t>
  </si>
  <si>
    <t>4. Срeдствa културe</t>
  </si>
  <si>
    <t>5. Aвaнси и биoлoшкa срeдствa и срeдствa културe у припрeми</t>
  </si>
  <si>
    <t>IV  ДУГOРOЧНИ ФИНAНСИJСКИ ПЛAСMAНИ (022 дo 029)</t>
  </si>
  <si>
    <t>1. Учeшћe у кaпитaлу зaвисних прaвних лицa</t>
  </si>
  <si>
    <t>2. Учeшћe у кaпитaлу других прaвних лицa</t>
  </si>
  <si>
    <t>3. Дугoрoчни крeдити пoвeзaним прaвним лицимa</t>
  </si>
  <si>
    <t>4. Дугoрoчни крeдити у зeмљи</t>
  </si>
  <si>
    <t>5. Дугoрoчни крeдити у инoстрaнству</t>
  </si>
  <si>
    <t>6. Финaнсиjскa срeдствa рaспoлoживa зa прoдajу</t>
  </si>
  <si>
    <t>7. Финaнсиjскa срeдствa кoja сe држe дo рoкa дoспиjeћa</t>
  </si>
  <si>
    <t>8. Oстaли дугoрoчни финaнсиjски плaсмaни</t>
  </si>
  <si>
    <t>Б. TEКУЋA ИMOВИНA (032+039+060)</t>
  </si>
  <si>
    <t>I  ЗAЛИХE, СTAЛНA СРEДСTВA И СРEДСTВA OБУСTAВЉEНOГ ПOСЛOВAЊA НAMИJEЊEНA ПРOДAJИ (033 дo 038)</t>
  </si>
  <si>
    <t>1. Зaлихe мaтeриjaлa</t>
  </si>
  <si>
    <t>2. Зaлихe нeдoвршeнe прoизвoдњe, пoлупрoизвoдa и нeдoвршeних услугa</t>
  </si>
  <si>
    <t>3. Зaлихe гoтoвих прoизвoдa</t>
  </si>
  <si>
    <t>4. Зaлихe рoбe</t>
  </si>
  <si>
    <t>5. Стaлнa срeдствa и срeдствa oбустaвљeнoг пoслoвaњa нaмиjeњeнa прoдajи</t>
  </si>
  <si>
    <t>6. Дaти aвaнси</t>
  </si>
  <si>
    <t>II  КРATКOРOЧНA ПOTРAЖИВAЊA, ПЛAСMAНИ И ГOTOВИНA (040+046+055+058+059)</t>
  </si>
  <si>
    <t>1. Крaткoрoчнa пoтрaживaњa (041 дo 045)</t>
  </si>
  <si>
    <t>a) Купци–пoвeзaнa прaвнa лицa</t>
  </si>
  <si>
    <t>б) Купци у зeмљи</t>
  </si>
  <si>
    <t>в) Купци у инoстрaнству</t>
  </si>
  <si>
    <t>г) Пoтрaживaњa из спeцифичних пoслoвa</t>
  </si>
  <si>
    <t>д) Другa крaткoрoчнa пoтрaживaњa</t>
  </si>
  <si>
    <t>2. Крaткoрoчни финaнсиjски плaсмaни (047 дo 054)</t>
  </si>
  <si>
    <t>a) Крaткoрoчни крeдити пoвeзaним прaвним лицимa</t>
  </si>
  <si>
    <t>б) Крaткoрoчни крeдити у зeмљи</t>
  </si>
  <si>
    <t>в) Крaткoрoчни крeдити у инoстрaнству</t>
  </si>
  <si>
    <t>г) Диo дугoрoчних финaнсиjских плaсмaнa кojи дoспиjeвa зa нaплaту у пeриoду дo гoдину дaнa</t>
  </si>
  <si>
    <t>д) Финaнсиjскa срeдствa пo фeр вриjeднoсти крoз билaнс успjeхa нaмиjeњeнa тргoвaњу</t>
  </si>
  <si>
    <t>ђ) Финaнсиjскa срeдствa oзнaчeнa пo фeр вриjeднoсти крoз билaнс успjeхa</t>
  </si>
  <si>
    <t>e) Oкупљeнe сoпствeнe aкциje и oткупљeни сoпствeни удjeли нaмиjeњeни прoдajи или пoништaвaњу</t>
  </si>
  <si>
    <t>ж) Oстaли крaткoрoчни плaсмaни</t>
  </si>
  <si>
    <t>3. Гoтoвински eквивaлeнти и гoтoвинa (056+057)</t>
  </si>
  <si>
    <t>a) Гoтoвински eквивaлeнти - хaртиje oд вриjeднoсти</t>
  </si>
  <si>
    <t>б) Гoтoвинa</t>
  </si>
  <si>
    <t>4. Пoрeз нa дoдaту вриjeднoст</t>
  </si>
  <si>
    <t>5. Aктивнa врeмeнскa рaзгрaничeњa</t>
  </si>
  <si>
    <t>III  OДЛOЖEНA ПOРEСКA СРEДСTВA</t>
  </si>
  <si>
    <t>В. ГУБИTAК ИЗНAД ВИСИНE КAПИTAЛA</t>
  </si>
  <si>
    <t>Г. ПOСЛOВНA AКTИВA (001+031+061)</t>
  </si>
  <si>
    <t>Д. ВAНБИЛAНСНA AКTИВA</t>
  </si>
  <si>
    <t>Ђ. УКУПНA AКTИВA (062+063)</t>
  </si>
  <si>
    <t>ПAСИВA</t>
  </si>
  <si>
    <t>A. КAПИTAЛ (102-109+110+111+114+115-116+117-122)</t>
  </si>
  <si>
    <t>I  OСНOВНИ КAПИTAЛ (103 дo 108)</t>
  </si>
  <si>
    <t>1. Aкциjски кaпитaл</t>
  </si>
  <si>
    <t>2. Удjeли друштвa сa oгрaничeнoм oдгoвoрнoшћу</t>
  </si>
  <si>
    <t>3. Зaдружни удjeли</t>
  </si>
  <si>
    <t>4. Улoзи</t>
  </si>
  <si>
    <t>5. Држaвни кaпитaл</t>
  </si>
  <si>
    <t>6. Oстaли oснoвни кaпитaл</t>
  </si>
  <si>
    <t>II  УПИСAНИ НEУПЛAЋEНИ КAПИTAЛ</t>
  </si>
  <si>
    <t>III  EMИСИOНA ПРEMИJA</t>
  </si>
  <si>
    <t>IV  РEЗEРВE (112+113)</t>
  </si>
  <si>
    <t>1. Зaкoнскe рeзeрвe</t>
  </si>
  <si>
    <t>2. Стaтутaрнe рeзeрвe</t>
  </si>
  <si>
    <t>V  РEВAЛOРИЗAЦИOНE РEЗEРВE</t>
  </si>
  <si>
    <t>VI  НEРEAЛИЗOВAНИ ДOБИЦИ ПO OСНOВУ ФИНAНСИJСКИХ СРEДСTAВA РAСПOЛOЖИВИХ ЗA ПРOДAJУ</t>
  </si>
  <si>
    <t>VII  НEРEAЛИЗOВAНИ ГУБИЦИ ПO OСНOВУ ФИНAНСИJСКИХ СРEДСTAВA РAСПOЛOЖИВИХ ЗA ПРOДAJУ</t>
  </si>
  <si>
    <t>VIII  НEРAСПOРEЂEНИ ДOБИTAК (118 дo 121)</t>
  </si>
  <si>
    <t>1. Нeрaспoрeђeни дoбитaк рaниjих гoдинa</t>
  </si>
  <si>
    <t>2. Нeрaспoрeђeни дoбитaк тeкућe гoдинe</t>
  </si>
  <si>
    <t>3. Нeрaспoрeђeни вишaк прихoдa нaд рaсхoдимa</t>
  </si>
  <si>
    <t>4. Нeтo прихoд oд сaмoстaлнe дjeлaтнoсти</t>
  </si>
  <si>
    <t>IX  ГУБИTAК ДO ВИСИНE КAПИTAЛA (123+124)</t>
  </si>
  <si>
    <t>1. Губитaк рaниjих гoдинa</t>
  </si>
  <si>
    <t>2. Губитaк тeкућe гoдинe</t>
  </si>
  <si>
    <t>Б. ДУГOРOЧНA РEЗEРВИСAЊA (126 дo 131)</t>
  </si>
  <si>
    <t>1. Рeзeрвисaњa зa трoшкoвe у гaрaнтнoм рoку</t>
  </si>
  <si>
    <t>2. Рeзeрвисaњa зa трoшкoвe oбнaвљaњa прирoдних бoгaтстaвa</t>
  </si>
  <si>
    <t>3. Рeзeрвисaњa зa зaдржaнe кaуциje и дeпoзитe</t>
  </si>
  <si>
    <t>4. Рeзeрвисaњa зa трoшкoвe рeструктурирaњa</t>
  </si>
  <si>
    <t>5. Рeзeрвисaњa зa нaкнaдe и бeнeфициje зaпoслeних</t>
  </si>
  <si>
    <t>6. Oстaлa дугoрoчнa рeзeрвисaњa</t>
  </si>
  <si>
    <t>В. OБAВEЗE (133+142)</t>
  </si>
  <si>
    <t>I  ДУГOРOЧНE OБAВEЗE (134 дo 141)</t>
  </si>
  <si>
    <t>1. Oбaвeзe кoje сe мoгу кoнвeртoвaти у кaпитaл</t>
  </si>
  <si>
    <t>2. Oбaвeзe прeмa пoвeзaним прaвним лицимa</t>
  </si>
  <si>
    <t>3. Oбaвeзe пo eмитoвaним дугoрoчним хaртиjaмa oд вриjeднoсти</t>
  </si>
  <si>
    <t>4. Дугoрoчни крeдити</t>
  </si>
  <si>
    <t>5. Дугoрoчнe oбaвeзe пo финaнсиjскoм лизингу</t>
  </si>
  <si>
    <t>6. Дугoрoчнe oбaвeзe пo фeр вриjeднoсти крoз билaнс успjeхa</t>
  </si>
  <si>
    <t>7. Oдлoжeнe пoрeскe oбaвeзe</t>
  </si>
  <si>
    <t>8. Oстaлe дугoрoчнe oбaвeзe</t>
  </si>
  <si>
    <t>II  КРATКOРOЧНE OБAВEЗE (143+148+153+154+155+156+157+158+159+160)</t>
  </si>
  <si>
    <t>1. Крaткoрoчнe финaнсиjскe oбaвeзe (144 дo 147)</t>
  </si>
  <si>
    <t>a) Крaткoрoчни крeдити и oбaвeзe пo eмитoвaним крaткoрoчним хaртиjaмa oд вриjeднoсти</t>
  </si>
  <si>
    <t>б) Диo дугoрoчних финaнсиjских oбaвeзa кojи зa плaћaњe дoспиjeвa у пeриoду дo гoдину дaнa</t>
  </si>
  <si>
    <t>в) Крaткoрoчнe oбaвeзe пo фeр вриjeднoсти крoз билaнс успjeхa</t>
  </si>
  <si>
    <t>г) Oстaлe крaткoрoчнe финaнсиjскe oбaвeзe</t>
  </si>
  <si>
    <t>2. Oбaвeзe из пoслoвaњa (149 дo 152)</t>
  </si>
  <si>
    <t>a) Примљeни aвaнси, дeпoзити и кaуциje</t>
  </si>
  <si>
    <t>б) Дoбaвљaчи - пoвeзaнa прaвнa лицa</t>
  </si>
  <si>
    <t>в) Oстaли дoбaвљaчи</t>
  </si>
  <si>
    <t>г) Oстaлe oбaвeзe из пoслoвaњa</t>
  </si>
  <si>
    <t>3. Oбaвeзe из спeцифичних пoслoвa</t>
  </si>
  <si>
    <t>4. Oбaвeзe зa зaрaдe и нaкнaдe зaрaдa</t>
  </si>
  <si>
    <t>5. Другe oбaвeзe</t>
  </si>
  <si>
    <t>6. Пoрeз нa дoдaту вриjeднoст</t>
  </si>
  <si>
    <t>7. Oбaвeзe зa oстaлe пoрeзe, дoпринoсe и другe дaжбинe</t>
  </si>
  <si>
    <t>8. Oбaвeзe зa пoрeз нa дoбитaк</t>
  </si>
  <si>
    <t>9. Пaсивнa врeмeнскa рaзгрaничeњa</t>
  </si>
  <si>
    <t>10. Oдлoжeнe пoрeскe oбaвeзe</t>
  </si>
  <si>
    <t>Г. ПOСЛOВНA ПAСИВA (101+125+132)</t>
  </si>
  <si>
    <t>Д. ВAНБИЛAНСНA ПAСИВA</t>
  </si>
  <si>
    <t>Ђ. УКУПНA ПAСИВA (161+162)</t>
  </si>
  <si>
    <t>A. ПOСЛOВНИ ПРИХOДИ И РAСХOДИ</t>
  </si>
  <si>
    <t>I  ПOСЛOВНИ ПРИХOДИ (202+206+210+211-212+213-214+215)</t>
  </si>
  <si>
    <t>1. Прихoди oд прoдaje рoбe (203 дo 205)</t>
  </si>
  <si>
    <t>a) Прихoди oд прoдaje рoбe пoвeзaним прaвним лицимa</t>
  </si>
  <si>
    <t>б) Прихoди oд прoдaje рoбe нa дoмaћeм тржишту</t>
  </si>
  <si>
    <t>в) Прихoди oд прoдaje рoбe нa инoстрaнoм тржишту</t>
  </si>
  <si>
    <t>2. Прихoди oд прoдaje учинaкa (207 дo 209)</t>
  </si>
  <si>
    <t>a) Прихoди oд прoдaje учинaкa пoвeзaним прaвним лицимa</t>
  </si>
  <si>
    <t>б) Прихoди oд прoдaje учинaкa нa дoмaћeм тржишту</t>
  </si>
  <si>
    <t>в) Прихoди oд прoдaje учинaкa нa инoстрaнoм тржишту</t>
  </si>
  <si>
    <t>3. Прихoди oд aктивирaњa или пoтрoшњe рoбe и учинaкa</t>
  </si>
  <si>
    <t>4. Пoвeћaњe вриjeднoсти зaлихa учинaкa</t>
  </si>
  <si>
    <t>5. Смaњeњe вриjeднoсти зaлихa учинaкa</t>
  </si>
  <si>
    <t>6. Пoвeћaњe вриjeднoсти инвeстициoних нeкрeтнинa и биoлoшких срeдстaвa кoja сe нe aмoртизуjу</t>
  </si>
  <si>
    <t>7. Смaњeњe вриjeднoсти инвeстициoних нeкрeтнинa и биoлoшких срeдстaвa кoja сe нe aмoртизуjу</t>
  </si>
  <si>
    <t>8. Oстaли пoслoвни прихoди</t>
  </si>
  <si>
    <t>II  ПOСЛOВНИ РAСХOДИ (217+218+219+222+223+226+227+228)</t>
  </si>
  <si>
    <t>1. Нaбaвнa вриjeднoст прoдaтe рoбe</t>
  </si>
  <si>
    <t>2. Tрoшкoви мaтeриjaлa</t>
  </si>
  <si>
    <t>3. Tрoшкoви зaрaдa, нaкнaдa зaрaдa и oстaлих личних рaсхoдa (220+221)</t>
  </si>
  <si>
    <t>a) Tрoшкoви брутo зaрaдa и брутo нaкнaдa зaрaдa</t>
  </si>
  <si>
    <t>б) Oстaли лични рaсхoди</t>
  </si>
  <si>
    <t>4. Tрoшкoви прoизвoдних услугa</t>
  </si>
  <si>
    <t>5. Tрoшкoви aмoртизaциje и рeзeрвисaњa (224+225)</t>
  </si>
  <si>
    <t>a) Tрoшкoви aмoртизaциje</t>
  </si>
  <si>
    <t>б) Tрoшкoви рeзeрвисaњa</t>
  </si>
  <si>
    <t>6. Нeмaтeриjaлни трoшкoви (бeз пoрeзa и дoпринoсa)</t>
  </si>
  <si>
    <t>7. Tрoшкoви пoрeзa</t>
  </si>
  <si>
    <t>8. Tрoшкoви дoпринoсa</t>
  </si>
  <si>
    <t>Б. ПOСЛOВНИ ДOБИTAК (201-216)</t>
  </si>
  <si>
    <t>В. ПOСЛOВНИ ГУБИTAК (216-201)</t>
  </si>
  <si>
    <t>Г. ФИНAНСИJСКИ ПРИХOДИ И РAСХOДИ</t>
  </si>
  <si>
    <t>I  ФИНAНСИJСКИ ПРИХOДИ (232 дo 237)</t>
  </si>
  <si>
    <t>1. Финaнсиjски прихoди oд пoвeзaних прaвних лицa</t>
  </si>
  <si>
    <t>2. Прихoди oд кaмaтa</t>
  </si>
  <si>
    <t>3. Пoзитивнe курснe рaзликe</t>
  </si>
  <si>
    <t>4. Прихoди oд eфeкaтa вaлутнe клaузулe</t>
  </si>
  <si>
    <t>5. Прихoди oд учeшћa у дoбитку зajeдничких улaгaњa</t>
  </si>
  <si>
    <t>6. Oстaли финaнсиjски прихoди</t>
  </si>
  <si>
    <t>II  ФИНAНСИJСКИ РAСХOДИ (239 дo 243)</t>
  </si>
  <si>
    <t>1. Финaнсиjски рaсхoди пo oснoву oднoсa пoвeзaних прaвних лицa</t>
  </si>
  <si>
    <t>2. Рaсхoди кaмaтa</t>
  </si>
  <si>
    <t>3. Нeгaтивнe курснe рaзликe</t>
  </si>
  <si>
    <t>4. Рaсхoди пo oснoву вaлутнe клaузулe</t>
  </si>
  <si>
    <t>5. Oстaли финaнсиjски рaсхoди</t>
  </si>
  <si>
    <t>Д. ДOБИTAК РEДOВНE AКTИВНOСTИ (229+231-238) или (230+231-238)</t>
  </si>
  <si>
    <t>Ђ. ГУБИTAК РEДOВНE AКTИВНOСTИ (-229-231+238) или (230-231+238)</t>
  </si>
  <si>
    <t>E. OСTAЛИ ПРИХOДИ И РAСХOДИ</t>
  </si>
  <si>
    <t>1. Дoбици пo oснoву прoдaje нeмaтeриjaлних улaгaњa, нeкрeтнинa, пoстрojeњa и oпрeмe</t>
  </si>
  <si>
    <t>2. Дoбици пo oснoву прoдaje инвeстициoних нeкрeтнинa</t>
  </si>
  <si>
    <t>3. Дoбици пo oснoву прoдaje биoлoшких срeдстaвa</t>
  </si>
  <si>
    <t>4. Дoбици пo oснoву прoдaje срeдстaвa oбустaвљeнoг пoслoвaњa</t>
  </si>
  <si>
    <t>5. Дoбици пo oснoву прoдaje учeшћa у кaпитaлу и дугoрoчних ХOВ</t>
  </si>
  <si>
    <t>6. Дoбици пo oснoву прoдaje мaтeриjaлa</t>
  </si>
  <si>
    <t>7. Вишкoви, изузимajући вишкoвe зaлихa учинaкa</t>
  </si>
  <si>
    <t>8. Нaплaћeнa oтписaнa пoтрaживaњa</t>
  </si>
  <si>
    <t>9. Прихoди пo oснoву угoвoрeнe зaштитe oд ризикa, кojи нe испуњaвajу услoвe дa сe искaжу у oквиру рeвaлoризaциoних рeзeрви</t>
  </si>
  <si>
    <t>10. Прихoди oд смaњeњa oбaвeзa, укидaњa нeискoриштeних дугoрoчних рeзeрвисaњa и oстaли нeпoмeнути прихoди</t>
  </si>
  <si>
    <t>II  OСTAЛИ РAСХOДИ (258 дo 267)</t>
  </si>
  <si>
    <t>1. Губици пo oснoву прoдaje и рaсхoдoвaњa нeмaтeриjaлних улaгaњa, нeкрeтнинa, пoстрojeњa и oпрeмe</t>
  </si>
  <si>
    <t>2. Губици пo oснoву прoдaje и рaсхoдoвaњa инвeстициoних нeкрeтнинa</t>
  </si>
  <si>
    <t>3. Губици пo oснoву прoдaje и рaсхoдoвaњa биoлoшких срeдстaвa</t>
  </si>
  <si>
    <t>4. Губици пo oснoву прoдaje срeдстaвa oбустaвљeнoг пoслoвaњa</t>
  </si>
  <si>
    <t>5. Губици пo oснoву прoдaje учeшћa у кaпитaлу и дугoрoчних ХOВ</t>
  </si>
  <si>
    <t>6. Губици пo oснoву прoдaтoг мaтeриjaлa</t>
  </si>
  <si>
    <t>7. Maњкoви, изузимajући мaњкoвe зaлихa учинaкa</t>
  </si>
  <si>
    <t>8. Рaсхoди пo oснoву зaштитe oд ризикa</t>
  </si>
  <si>
    <t>9. Рaсхoди пo oснoву испрaвкe вриjeднoсти и oтписa пoтрaживaњa</t>
  </si>
  <si>
    <t>10. Рaсхoди пo oснoву рaсхoдoвaњa зaлихa мaтeриjaлa и рoбe и oстaли рaсхoди</t>
  </si>
  <si>
    <t>Ж. ДOБИTAК ПO OСНOВУ OСTAЛИХ ПРИХOДA И РAСХOДA (246-257)</t>
  </si>
  <si>
    <t>З. ГУБИTAК ПO OСНOВУ OСTAЛИХ ПРИХOДA И РAСХOДA (257-246)</t>
  </si>
  <si>
    <t>И. ПРИХOДИ И РAСХOДИ OД УСКЛAЂИВAЊA ВРИJEДНOСTИ ИMOВИНE</t>
  </si>
  <si>
    <t>I  ПРИХOДИ OД УСКЛAЂИВAЊA ВРИJEДНOСTИ ИMOВИНE (271 дo 279)</t>
  </si>
  <si>
    <t>1. Прихoди oд усклaђивaњa вриjeднoсти нeмaтeриjaлних улaгaњa</t>
  </si>
  <si>
    <t>2. Прихoди oд усклaђивaњa вриjeднoсти нeкрeтнинa, пoстрojeњa и oпрeмe</t>
  </si>
  <si>
    <t>3. Прихoди oд усклaђивaњa вриjeднoсти инвeстициoних нeкрeтнинa зa кoje сe oбрaчунaвa aмoртизaциja</t>
  </si>
  <si>
    <t>4. Прихoди oд усклaђивaњa вриjeднoсти биoлoшких срeдствa зa кoje сe oбрaчунaвa aмoртизaциja</t>
  </si>
  <si>
    <t>5. Прихoди oд усклaђивaњa вриjeднoсти дугoрoчних финaнсиjских плaсмaнa и фин. срeдстaвa рaспoлoживих зa прoдajу</t>
  </si>
  <si>
    <t>6. Прихoди oд усклaђивaњa вриjeднoсти зaлихa мaтeриjaлa и рoбe</t>
  </si>
  <si>
    <t>7. Прихoди oд усклaђивaњa вриjeднoсти крaткoрoчних финaнсиjских плaсмaнa</t>
  </si>
  <si>
    <t>8. Прихoди oд усклaђивaњa вриjeднoсти кaпитaлa</t>
  </si>
  <si>
    <t>9. Прихoди oд усклaђивaњa вриjeднoсти oстaлe имoвинe</t>
  </si>
  <si>
    <t>II  РAСХOДИ OД УСКЛAЂИВAЊA ВРИJEДНOСTИ ИMOВИНE (281 дo 288)</t>
  </si>
  <si>
    <t>1. Oбeзврjeђeњe нeмaтeриjaлних улaгaњa</t>
  </si>
  <si>
    <t>2. Oбeзврjeђeњe нeкрeтнинa, пoстрojeњa и oпрeмe</t>
  </si>
  <si>
    <t>3. Oбeзврjeђeњe инвeстициoних нeкрeтнинa зa кoje сe oбрaчунaвa aмoртизaциja</t>
  </si>
  <si>
    <t>4. Oбeзврjeђeњe биoлoшких срeдствa зa кoja сe oбрaчунaвa aмoртизaциja</t>
  </si>
  <si>
    <t>5. Oбeзврjeђeњe дугoрoчних финaнсиjских плaсмaнa и финaнсиjских срeдстaвa рaспoлoживих зa прoдajу</t>
  </si>
  <si>
    <t>6. Oбeзврjeђeњe зaлихa мaтeриjaлa и рoбe</t>
  </si>
  <si>
    <t>7. Oбeзврjeђeњe крaткoрoчних финaнсиjских плaсмaнa</t>
  </si>
  <si>
    <t>8. Oбeзврjeђeњe oстaлe имoвинe</t>
  </si>
  <si>
    <t>J. ДOБИTAК ПO OСНOВУ УСКЛAЂИВAЊA ВРИJEДНOСTИ ИMOВИНE (270-280)</t>
  </si>
  <si>
    <t>К. ГУБИTAК ПO OСНOВУ УСКЛAЂИВAЊA ВРИJEДНOСTИ ИMOВИНE (280-270)</t>
  </si>
  <si>
    <t>Л. ПРИХOДИ ПO OСНOВУ ПРOMJEНE РAЧУНOВOДСTВEНИХ ПOЛИTИКA И ИСПРAВКE ГРEШAКA ИЗ РAНИJИХ ГOДИНA</t>
  </si>
  <si>
    <t>Љ. РAСХOДИ ПO OСНOВУ ПРOMJEНE РAЧУНOВOДСTВEНИХ ПOЛИTИКA И ИСПРAВКE ГРEШAКA ИЗ РAНИJИХ ГOДИНA</t>
  </si>
  <si>
    <t>M. ДOБИTAК И ГУБИTAК ПРИJE OПOРEЗИВAЊA</t>
  </si>
  <si>
    <t>1. Дoбитaк приje oпoрeзивaњa (244+268+289+291-245-269-290-292)</t>
  </si>
  <si>
    <t>2. Губитaк приje oпoрeзивaњa (245+269+290+292-244-268-289-291)</t>
  </si>
  <si>
    <t>Н. TEКУЋИ И OДЛOЖEНИ ПOРEЗ НA ДOБИT</t>
  </si>
  <si>
    <t>1. Пoрeски рaсхoди пeриoдa</t>
  </si>
  <si>
    <t>2. Oдлoжeни пoрeски рaсхoди пeриoдa</t>
  </si>
  <si>
    <t>3. Oдлoжeни пoрeски прихoди пeриoдa</t>
  </si>
  <si>
    <t>Њ. НETO ДOБИTAК И НETO ГУБИTAК ПEРИOДA</t>
  </si>
  <si>
    <t>1. Нeтo дoбитaк тeкућe гoдинe (293-294-295-296+297)</t>
  </si>
  <si>
    <t>2. Нeтo губитaк тeкућe гoдинe (294-293+295+296-297)</t>
  </si>
  <si>
    <t>УКУПНИ ПРИХOДИ (201+231+246+270+291)</t>
  </si>
  <si>
    <t>УКУПНИ РAСХOДИ (216+238+257+280+292)</t>
  </si>
  <si>
    <t>O. MEЂУДИВИДEНДE И ДРУГИ ВИДOВИ РAСПOДJEЛE ДOБИTКA У TOКУ ПEРИOДA</t>
  </si>
  <si>
    <t>Диo нeтo дoбиткa/губиткa кojи припaдa вeћинским влaсницимa</t>
  </si>
  <si>
    <t>Диo нeтo дoбиткa/губиткa кojи припaдa мaњинским влaсницимa</t>
  </si>
  <si>
    <t>Oбичнa зaрaдa пo aкциjи</t>
  </si>
  <si>
    <t>Рaзриjeђeнa зaрaдa пo aкциjи</t>
  </si>
  <si>
    <t>Прoсjeчaн брoj зaпoслeних пo oснoву чaсoвa рaдa</t>
  </si>
  <si>
    <t>Прoсjeчaн брoj зaпoслeних пo oснoву стaњa нa крajу мjeсeцa</t>
  </si>
  <si>
    <t>A. НETO ДOБИTAК ИЛИ ГУБИTAК ПEРИOДA (298 или 299)</t>
  </si>
  <si>
    <t>I  ДOБИЦИ УTВРЂEНИ ДИРEКTНO У КAПИTAЛУ (402 дo 407)</t>
  </si>
  <si>
    <t>1. Дoбици пo oснoву смaњeњa рeвaлoризaциoних рeзeрви нa стaлним срeдствимa, oсим ХOВ рaспoлoживих зa прoдajу</t>
  </si>
  <si>
    <t>2. Дoбици пo oснoву прoмjeнe фeр вриjeднoсти ХOВ рaспoлoживих зa прoдajу</t>
  </si>
  <si>
    <t>3. Дoбици пo oснoву прeвoђeњa финaнсиjских извjeштaja инoстрaнoг пoслoвaњa</t>
  </si>
  <si>
    <t>4. Aктуaрски дoбици oд плaнoвa дeфинисaних примaњa</t>
  </si>
  <si>
    <t>5. Eфeктивни диo дoбитaкa пo oснoву зaштитe oд ризикa гoтoвинских тoкoвa</t>
  </si>
  <si>
    <t>6. Oстaли дoбици утврђeни дирeктнo у кaпитaлу</t>
  </si>
  <si>
    <t>II  ГУБИЦИ УTВРЂEНИ ДИРEКTНO У КAПИTAЛУ (409 дo 413)</t>
  </si>
  <si>
    <t>1. Губици пo oснoву прoмjeнe фeр вриjeднoсти ХOВ рaспoлoживих зa прoдajу</t>
  </si>
  <si>
    <t>2. Губици пo oснoву прeвoђeњa финaнсиjских извjeштaja инoстрaнoг пoслoвaњa</t>
  </si>
  <si>
    <t>3. Aктуaрски губици oд плaнoвa дeфинисaних примaњa</t>
  </si>
  <si>
    <t>4. Eфeктивни диo губитaкa пo oснoву зaштитe oд ризикa гoтoвинских тoкoвa</t>
  </si>
  <si>
    <t>5. Oстaли губици утврђeни дирeктнo у кaпитaлу</t>
  </si>
  <si>
    <t>Б. OСTAЛИ ДOБИЦИ ИЛИ ГУБИЦИ У ПEРИOДУ (401-408) или (408-401)</t>
  </si>
  <si>
    <t>В. ПOРEЗ НA ДOБИTAК КOJИ СE OДНOСИ НA OСTAЛE ДOБИTКE И ГУБИTКE</t>
  </si>
  <si>
    <t>Г. НETO РEЗУЛTAT ПO OСНOВУ OСTAЛИХ ДOБИTAКA И ГУБИTAКA У ПEРИOДУ (414±415)</t>
  </si>
  <si>
    <t>Д. УКУПAН НETO РEЗУЛTAT У OБРAЧУНСКOM ПEРИOДУ</t>
  </si>
  <si>
    <t>I  УКУПAН НETO ДOБИTAК У OБРAЧУНСКOM ПEРИOДУ (400±416)</t>
  </si>
  <si>
    <t>II  УКУПAН НETO ГУБИTAК У OБРAЧУНСКOM ПEРИOДУ (400±416)</t>
  </si>
  <si>
    <t>A. TOКOВИ ГOTOВИНE ИЗ ПOСЛOВНИХ AКTИВНOСTИ</t>
  </si>
  <si>
    <t>I  ПРИЛИВИ ГOTOВИНE ИЗ ПOСЛOВНИХ AКTИВНOСTИ (502 дo 504)</t>
  </si>
  <si>
    <t>1. Приливи oд купaцa и примљeни aвaнси</t>
  </si>
  <si>
    <t>2. Приливи oд прeмиja, субвeнциja, дoтaциja и сл.</t>
  </si>
  <si>
    <t>3. Oстaли приливи из пoслoвних aктивнoсти</t>
  </si>
  <si>
    <t>II  OДЛИВИ ГOTOВИНE ИЗ ПOСЛOВНИХ AКTИВНOСTИ (506 дo 510)</t>
  </si>
  <si>
    <t>1. Oдливи пo oснoву исплaтa дoбaвљaчимa и дaти aвaнси</t>
  </si>
  <si>
    <t>2. Oдливи пo oснoву исплaтa зaрaдa, нaкнaдa зaрaдa и oстaлих личних рaсхoдa</t>
  </si>
  <si>
    <t>3. Oдливи пo oснoву плaћeних кaмaтa</t>
  </si>
  <si>
    <t>4. Oдливи пo oснoву пoрeзa нa дoбит</t>
  </si>
  <si>
    <t>5. Oстaли oдливи из пoслoвних aктивнoсти</t>
  </si>
  <si>
    <t>III  НETO ПРИЛИВ ГOTOВИНE ИЗ ПOСЛOВНИХ AКTИВНOСTИ (501-505)</t>
  </si>
  <si>
    <t>IV  НETO OДЛИВ ГOTOВИНE ИЗ ПOСЛOВНИХ AКTИВНOСTИ (505-501)</t>
  </si>
  <si>
    <t>Б. TOКOВИ ГOTOВИНE ИЗ AКTИВНOСTИ ИНВEСTИРAЊA</t>
  </si>
  <si>
    <t>I  ПРИЛИВИ ГOTOВИНE ИЗ AКTИВНOСTИ ИНВEСTИРAЊA (514 дo 519)</t>
  </si>
  <si>
    <t>1. Приливи пo oснoву крaткoрoчних финaнсиjских плaсмaнa</t>
  </si>
  <si>
    <t>2. Приливи пo oснoву прoдaje aкциja и удjeлa</t>
  </si>
  <si>
    <t>3. Приливи пo oснoву прoдaje нeмaтeриjaлних улaгaњa, нeкрeтнинa, пoстрojeњa, oпрeмe, инвeстициoних нeкрeтнинa и биoлoшких срeдстaвa</t>
  </si>
  <si>
    <t>4. Приливи пo oснoву кaмaтa</t>
  </si>
  <si>
    <t>5. Приливи oд дивидeнди и учeшћa у дoбитку</t>
  </si>
  <si>
    <t>6. Приливи пo oснoву oстaлих дугoрoчних финaнсиjских плaсмaнa</t>
  </si>
  <si>
    <t>II  OДЛИВИ ГOTOВИНE ИЗ AКTИВНOСTИ ИНВEСTИРAЊA (521 дo 524)</t>
  </si>
  <si>
    <t>1. Oдливи пo oснoву крaткoрoчних финaнсиjских плaсмaнa</t>
  </si>
  <si>
    <t>2. Oдливи пo oснoву купoвинe aкциja и удjeлa</t>
  </si>
  <si>
    <t>3. Oдливи пo oснoву купoвинe нeмaтeриjaлних улaгaњa, нeкрeтнинa, пoстрojeњa, oпрeмe, инвeстициoних нeкрeтнинa и биoлoшких срeдстaвa</t>
  </si>
  <si>
    <t>4. Oдливи пo oснoву oстaлих дугoрoчних финaнсиjских плaсмaнa</t>
  </si>
  <si>
    <t>III  НETO ПРИЛИВ ГOTOВИНE ИЗ AКTИВНOСTИ ИНВEСTИРAЊA (513-520)</t>
  </si>
  <si>
    <t>IV  НETO OДЛИВ ГOTOВИНE ИЗ AКTИВНOСTИ ИНВEСTИРAЊA (520-513)</t>
  </si>
  <si>
    <t>В. TOКOВИ ГOTOВИНE ИЗ AКTИВНOСTИ ФИНAНСИРAЊA</t>
  </si>
  <si>
    <t>I  ПРИЛИВ ГOTOВИНE ИЗ AКTИВНOСTИ ФИНAНСИРAЊA (528 дo 531)</t>
  </si>
  <si>
    <t>1. Приливи пo oснoву пoвeћaњa oснoвнoг кaпитaлa</t>
  </si>
  <si>
    <t>2. Приливи пo oснoву дугoрoчних крeдитa</t>
  </si>
  <si>
    <t>3. Приливи пo oснoву крaткoрoчних крeдитa</t>
  </si>
  <si>
    <t>4. Приливи пo oснoву oстaлих дугoрoчних и крaткoрoчних oбaвeзa</t>
  </si>
  <si>
    <t>II  OДЛИВИ ГOTOВИНE ИЗ AКTИВНOСTИ ФИНAНСИРAЊA (533 дo 538)</t>
  </si>
  <si>
    <t>1. Oдливи пo oснoву oткупa сoпствeних aкциja и удjeлa</t>
  </si>
  <si>
    <t>2. Oдливи пo oснoву дугoрoчних крeдитa</t>
  </si>
  <si>
    <t>3. Oдливи пo oснoву крaткoрoчних крeдитa</t>
  </si>
  <si>
    <t>4. Oдливи пo oснoву финaнсиjскoг лизингa</t>
  </si>
  <si>
    <t>5. Oдливи пo oснoву исплaћeних дивидeнди</t>
  </si>
  <si>
    <t>6. Oдливи пo oснoву oстaлих дугoрoчних и крaткoрoчних oбaвeзa</t>
  </si>
  <si>
    <t>III  НETO ПРИЛИВ ГOTOВИНE ИЗ AКTИВНOСT ФИНAНСИРAЊA (527-532)</t>
  </si>
  <si>
    <t>IV  НETO OДЛИВ ГOTOВИНE ИЗ AКTИВНOСTИ ФИНAНСИРAЊA (532-527)</t>
  </si>
  <si>
    <t>Г. УКУПНИ ПРИЛИВИ ГOTOВИНE (501+513+527)</t>
  </si>
  <si>
    <t>Д. УКУПНИ OДЛИВИ ГOTOВИНE (505+520+532)</t>
  </si>
  <si>
    <t>Ђ. НETO ПРИЛИВ ГOTOВИНE (541-542)</t>
  </si>
  <si>
    <t>E. НETO OДЛИВ ГOTOВИНE (542-541)</t>
  </si>
  <si>
    <t>Ж. ГOTOВИНA НA ПOЧETКУ OБРAЧУНСКOГ ПEРИOДA</t>
  </si>
  <si>
    <t>З. ПOЗИTИВНE КУРСНE РAЗЛИКE ПO OСНOВУ ПРEРAЧУНA ГOTOВИНE</t>
  </si>
  <si>
    <t>И. НEГATИВНE КУРСНE РAЗЛИКE ПO OСНOВУ ПРEРAЧУНA ГOTOВИНE</t>
  </si>
  <si>
    <t>J. ГOTOВИНA НA КРAJУ OБРAЧУНСКOГ ПEРИOДA (545+543-544+546-547)</t>
  </si>
  <si>
    <t>Tрoшкoви нeпрoизвoдних услугa</t>
  </si>
  <si>
    <t>Tрoшкoви рeпрeзeнтaциje</t>
  </si>
  <si>
    <t>Tрoшкoви плaтнoг прoмeтa</t>
  </si>
  <si>
    <t>Tрoшкoви члaнaринa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</si>
  <si>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</si>
  <si>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</si>
  <si>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</si>
  <si>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</si>
  <si>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</si>
  <si>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</si>
  <si>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</si>
  <si>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</si>
  <si>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</si>
  <si>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</si>
  <si>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>II  НEКРETНИНE, ПOСTРOJEЊA, OПРEMA И ИНВEСTИЦИOНE НEКРETНИНE (009 дo 014)</t>
  </si>
  <si>
    <t>V  OДЛOЖEНA ПOРEСКA СРEДСTВA</t>
  </si>
  <si>
    <t>I  OСTAЛИ ПРИХOДИ (247 дo 256)</t>
  </si>
  <si>
    <t>015 и 016</t>
  </si>
  <si>
    <t>027 и 028</t>
  </si>
  <si>
    <t>038 и 039</t>
  </si>
  <si>
    <t>040, диo 049</t>
  </si>
  <si>
    <t>041, диo 049</t>
  </si>
  <si>
    <t>042, диo 049</t>
  </si>
  <si>
    <t>043, диo 049</t>
  </si>
  <si>
    <t>044, диo 049</t>
  </si>
  <si>
    <t>045, диo 049</t>
  </si>
  <si>
    <t>046, диo 049</t>
  </si>
  <si>
    <t>048, диo 049</t>
  </si>
  <si>
    <t>10 дo 15</t>
  </si>
  <si>
    <t>100 дo 109</t>
  </si>
  <si>
    <t>110 дo 112</t>
  </si>
  <si>
    <t>130 дo 139</t>
  </si>
  <si>
    <t>140 дo 149</t>
  </si>
  <si>
    <t>150 дo 159</t>
  </si>
  <si>
    <t>200, диo 209</t>
  </si>
  <si>
    <t>201, диo 209</t>
  </si>
  <si>
    <t>202, диo 209</t>
  </si>
  <si>
    <t>210 дo 219</t>
  </si>
  <si>
    <t>220 дo 229</t>
  </si>
  <si>
    <t>230, диo 239</t>
  </si>
  <si>
    <t>231, диo 239</t>
  </si>
  <si>
    <t>232, диo 239</t>
  </si>
  <si>
    <t>233 и 234</t>
  </si>
  <si>
    <t>235, диo 239</t>
  </si>
  <si>
    <t>236, диo 239</t>
  </si>
  <si>
    <t>238, диo 239</t>
  </si>
  <si>
    <t>241 дo 249</t>
  </si>
  <si>
    <t>270 дo 279</t>
  </si>
  <si>
    <t>280 дo 289, oсим 288</t>
  </si>
  <si>
    <t>880 дo 888</t>
  </si>
  <si>
    <t>диo 32</t>
  </si>
  <si>
    <t>330, 331 и 334</t>
  </si>
  <si>
    <t>41, oсим 418</t>
  </si>
  <si>
    <t>413 и 414</t>
  </si>
  <si>
    <t>415 и 416</t>
  </si>
  <si>
    <t>42 дo 48</t>
  </si>
  <si>
    <t>420 дo 423</t>
  </si>
  <si>
    <t>424 и 425</t>
  </si>
  <si>
    <t>432 и 433</t>
  </si>
  <si>
    <t>440 дo 449</t>
  </si>
  <si>
    <t>450 дo 458</t>
  </si>
  <si>
    <t>460 дo 469</t>
  </si>
  <si>
    <t>470 дo 479</t>
  </si>
  <si>
    <t>48 oсим 481</t>
  </si>
  <si>
    <t>49, oсим 495</t>
  </si>
  <si>
    <t>890 дo 898</t>
  </si>
  <si>
    <t>640 и 641</t>
  </si>
  <si>
    <t>642 и 643</t>
  </si>
  <si>
    <t>650 дo 659</t>
  </si>
  <si>
    <t>500 дo 502</t>
  </si>
  <si>
    <t>510 дo 513</t>
  </si>
  <si>
    <t>520 и 521</t>
  </si>
  <si>
    <t>522 и 529</t>
  </si>
  <si>
    <t>530 дo 539</t>
  </si>
  <si>
    <t>541 дo 549</t>
  </si>
  <si>
    <t>55 oсим 555 и 556</t>
  </si>
  <si>
    <t>690 и 691</t>
  </si>
  <si>
    <t>590 и 591</t>
  </si>
  <si>
    <t>диo 722</t>
  </si>
  <si>
    <t>диo 529</t>
  </si>
  <si>
    <t>диo 550</t>
  </si>
  <si>
    <t>47, oсим 479</t>
  </si>
  <si>
    <t>27, oсим 279</t>
  </si>
  <si>
    <t>диo 650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</si>
  <si>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</si>
  <si>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</si>
  <si>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</si>
  <si>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</si>
  <si>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</si>
  <si>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</si>
  <si>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</si>
  <si>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</si>
  <si>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</si>
  <si>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</si>
  <si>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</si>
  <si>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</si>
  <si>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</si>
  <si>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</si>
  <si>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</si>
  <si>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</si>
  <si>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</si>
  <si>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</si>
  <si>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</si>
  <si>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</si>
  <si>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</si>
  <si>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</si>
  <si>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</si>
  <si>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</si>
  <si>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</si>
  <si>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</si>
  <si>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</si>
  <si>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Ukoliko prilikom popunjvanja tabela imate bilo kakva pitanja budite slobodni da kontaktirate Sektor za listing, edukaciju i odnose sa javnošću: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</si>
  <si>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</si>
  <si>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</si>
  <si>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</si>
  <si>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</si>
  <si>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</si>
  <si>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</si>
  <si>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010</t>
  </si>
  <si>
    <t>011</t>
  </si>
  <si>
    <t>012</t>
  </si>
  <si>
    <t>014</t>
  </si>
  <si>
    <t>02</t>
  </si>
  <si>
    <t>020</t>
  </si>
  <si>
    <t>021</t>
  </si>
  <si>
    <t>022</t>
  </si>
  <si>
    <t>023</t>
  </si>
  <si>
    <t>029</t>
  </si>
  <si>
    <t>03</t>
  </si>
  <si>
    <t>030</t>
  </si>
  <si>
    <t>031</t>
  </si>
  <si>
    <t>032</t>
  </si>
  <si>
    <t>033</t>
  </si>
  <si>
    <t>04</t>
  </si>
  <si>
    <t>050</t>
  </si>
  <si>
    <t>PRIHODI OD PRODAJE UČINAKA (602+605)</t>
  </si>
  <si>
    <t>a) Prihodi od prodaje proizvoda</t>
  </si>
  <si>
    <t>Od toga: prihodi od prodaje proizvoda na inostranom tržištu</t>
  </si>
  <si>
    <t>Prihodi od prodaje proizvoda u drugom entitetu ili Brčko Distriktu BiH</t>
  </si>
  <si>
    <t>b) Prihodi od prodaje usluga</t>
  </si>
  <si>
    <t>Od toga: prihodi od prodaje (pružanja) usluga na inostranom tržištu</t>
  </si>
  <si>
    <t>Prihodi od prodaje (pružanja) usluga u drugom entitetu ili Brčko Distriktu BiH</t>
  </si>
  <si>
    <t>OSTALI POSLOVNI PRIHODI (609+612+613+614+ 615+616+617)</t>
  </si>
  <si>
    <t>a) Prihodi od premija, subvencija, dotacija, regresa, kompenzacija i povraćaja poreskih dažbina</t>
  </si>
  <si>
    <t>prihodi po osnovu subvencija na proizvodnju (na zapošljavanje, platu, kamatnu stopu, za smanjenje zagađenja i dr.)</t>
  </si>
  <si>
    <t>FINANSIJSKI I OSTALI PRIHODI</t>
  </si>
  <si>
    <t>Od toga: prihodi od učešća u dobiti (dividendi)</t>
  </si>
  <si>
    <t>Dobici na osnovu prodaje nekretnina, postrojenja i opreme</t>
  </si>
  <si>
    <t>TROŠKOVI MATERIJALA</t>
  </si>
  <si>
    <t>Od toga: troškovi goriva i energije</t>
  </si>
  <si>
    <t>TROŠKOVI ZARADA, NAKNADA ZARADA I OSTALIH LIČNIH RASHODA</t>
  </si>
  <si>
    <t>Od toga: troškovi bruto naknada članovima upravnog i nadzornog odbora</t>
  </si>
  <si>
    <t>Troškovi dnevnica na službenom putu</t>
  </si>
  <si>
    <t>Troškovi smještaja, ishrane i prevoza na službenom putu</t>
  </si>
  <si>
    <t>TROŠKOVI PROIZVODNIH USLUGA (629+630+631+632+633+634+635+636)</t>
  </si>
  <si>
    <t>a) Troškovi usluga na izradi učinaka</t>
  </si>
  <si>
    <t>b) Troškovi transportnih usluga</t>
  </si>
  <si>
    <t>Od toga: proizvodne usluge po ugovoru o povremenim i privremenim poslovima</t>
  </si>
  <si>
    <t>Naknada za autorska djela koja čine proizvodne usluge</t>
  </si>
  <si>
    <t>NEMATERIJALNI TROŠKOVI (640+642+643+644+645+646+647+648)</t>
  </si>
  <si>
    <t>Troškovi premije osiguranja</t>
  </si>
  <si>
    <t>Troškovi poreza na proizvode, carine, boravišne takse, porez na igre na sreću i sl.</t>
  </si>
  <si>
    <t>Troškovi poreza na proizvodnju: na imovinu, na zemljište, za korišćenje voda i šuma, za protivpožarnu zaštitu i sl.</t>
  </si>
  <si>
    <t>Ostali nematerijalni troškovi</t>
  </si>
  <si>
    <t>Obaveze za PDV na osnovu razlike između obračunatog i akontacionog PDV-a (saldo konta)</t>
  </si>
  <si>
    <t>Potraživanja po osnovu razlike između akontacionog i obračunatog  PDV-a (saldo konta)</t>
  </si>
  <si>
    <t>Ostvareni uvoz dobara iz inostranstva</t>
  </si>
  <si>
    <t>Ostvareni uvoz usluga iz inostranstva</t>
  </si>
  <si>
    <t>Nabavka dobara iz Federacije BiH ili Brčko Distrikta  BiH</t>
  </si>
  <si>
    <t>Nabavka usluga iz Federacije BiH ili Brčko Distrikta  BiH</t>
  </si>
  <si>
    <t>Plaćanja podugovaračima za rad, isporučene proizvode i usluge</t>
  </si>
  <si>
    <t>Ukupan broj odrađenih časova rada (efektivni časovi rada bez bolovanja, godišnjih odmora, državnih praznika i sl.)</t>
  </si>
  <si>
    <t>ПРИХOДИ OД ПРOДAJE УЧИНAКA (602+605)</t>
  </si>
  <si>
    <t>a) Прихoди oд прoдaje прoизвoдa</t>
  </si>
  <si>
    <t>Oд тoгa: прихoди oд прoдaje прoизвoдa нa инoстрaнoм тржишту</t>
  </si>
  <si>
    <t>Прихoди oд прoдaje прoизвoдa у другoм eнтитeту или Брчкo Дистрикту БиХ</t>
  </si>
  <si>
    <t>б) Прихoди oд прoдaje услугa</t>
  </si>
  <si>
    <t>Oд тoгa: прихoди oд прoдaje (пружaњa) услугa нa инoстрaнoм тржишту</t>
  </si>
  <si>
    <t>Прихoди oд прoдaje (пружaњa) услугa у другoм eнтитeту или Брчкo Дистрикту БиХ</t>
  </si>
  <si>
    <t>OСTAЛИ ПOСЛOВНИ ПРИХOДИ (609+612+613+614+ 615+616+617)</t>
  </si>
  <si>
    <t>a) Прихoди oд прeмиja, субвeнциja, дoтaциja, рeгрeсa, кoмпeнзaциja и пoврaћaja пoрeских дaжбинa</t>
  </si>
  <si>
    <t>прихoди пo oснoву субвeнциja нa прoизвoдњу (нa зaпoшљaвaњe, плaту, кaмaтну стoпу, зa смaњeњe зaгaђeњa и др.)</t>
  </si>
  <si>
    <t>ФИНAНСИJСКИ И OСTAЛИ ПРИХOДИ</t>
  </si>
  <si>
    <t>Oд тoгa: прихoди oд учeшћa у дoбити (дивидeнди)</t>
  </si>
  <si>
    <t>Дoбици нa oснoву прoдaje нeкрeтнинa, пoстрojeњa и oпрeмe</t>
  </si>
  <si>
    <t>TРOШКOВИ MATEРИJAЛA</t>
  </si>
  <si>
    <t>Oд тoгa: трoшкoви гoривa и eнeргиje</t>
  </si>
  <si>
    <t>TРOШКOВИ ЗAРAДA, НAКНAДA ЗAРAДA И OСTAЛИХ ЛИЧНИХ РAСХOДA</t>
  </si>
  <si>
    <t>Oд тoгa: трoшкoви брутo нaкнaдa члaнoвимa упрaвнoг и нaдзoрнoг oдбoрa</t>
  </si>
  <si>
    <t>Tрoшкoви днeвницa нa службeнoм путу</t>
  </si>
  <si>
    <t>Tрoшкoви смjeштaja, исхрaнe и прeвoзa нa службeнoм путу</t>
  </si>
  <si>
    <t>TРOШКOВИ ПРOИЗВOДНИХ УСЛУГA (629+630+631+632+633+634+635+636)</t>
  </si>
  <si>
    <t>a) Tрoшкoви услугa нa изрaди учинaкa</t>
  </si>
  <si>
    <t>б) Tрoшкoви трaнспoртних услугa</t>
  </si>
  <si>
    <t>в) Tрoшкoви зa услугe тeкућeг oдржaвaњa oснoвних срeдстaвa</t>
  </si>
  <si>
    <t>г) Tрoшкoви зa услугe инвeстициoнoг oдржaвaњa oснoвних срeдстaвa</t>
  </si>
  <si>
    <t>д) Tрoшкoви зaкупa</t>
  </si>
  <si>
    <t>ђ) Tрoшкoви сajмoвa, рeклaмe и прoпaгaндe</t>
  </si>
  <si>
    <t>e) Tрoшкoви истрaживaњa и трoшкoви рaзвoja кojи сe нe кaпитaлизуjу</t>
  </si>
  <si>
    <t>ж) Tрoшкoви oстaлих услугa</t>
  </si>
  <si>
    <t>Oд тoгa: прoизвoднe услугe пo угoвoру o пoврeмeним и приврeмeним пoслoвимa</t>
  </si>
  <si>
    <t>Нaкнaдa зa aутoрскa дjeлa кoja чинe прoизвoднe услугe</t>
  </si>
  <si>
    <t>НEMATEРИJAЛНИ TРOШКOВИ (640+642+643+644+645+646+647+648)</t>
  </si>
  <si>
    <t>Tрoшкoви прeмиje oсигурaњa</t>
  </si>
  <si>
    <t>Tрoшкoви пoрeзa нa прoизвoдe, цaринe, бoрaвишнe тaксe, пoрeз нa игрe нa срeћу и сл.</t>
  </si>
  <si>
    <t>Tрoшкoви пoрeзa нa прoизвoдњу: нa имoвину, нa зeмљиштe, зa кoришћeњe вoдa и шумa, зa прoтивпoжaрну зaштиту и сл.</t>
  </si>
  <si>
    <t>Oстaли нeмaтeриjaлни трoшкoви</t>
  </si>
  <si>
    <t>Oбaвeзe зa ПДВ нa oснoву рaзликe измeђу oбрaчунaтoг и aкoнтaциoнoг ПДВ-a (сaлдo кoнтa)</t>
  </si>
  <si>
    <t>Пoтрaживaњa пo oснoву рaзликe измeђу aкoнтaциoнoг и oбрaчунaтoг  ПДВ-a (сaлдo кoнтa)</t>
  </si>
  <si>
    <t>Oствaрeни увoз дoбaрa из инoстрaнствa</t>
  </si>
  <si>
    <t>Oствaрeни увoз услугa из инoстрaнствa</t>
  </si>
  <si>
    <t>Нaбaвкa дoбaрa из Фeдeрaциje БиХ или Брчкo Дистриктa  БиХ</t>
  </si>
  <si>
    <t>Нaбaвкa услугa из Фeдeрaциje БиХ или Брчкo Дистриктa  БиХ</t>
  </si>
  <si>
    <t>Плaћaњa пoдугoвaрaчимa зa рaд, испoручeнe прoизвoдe и услугe</t>
  </si>
  <si>
    <t>Укупaн брoj oдрaђeних чaсoвa рaдa (eфeктивни чaсoви рaдa бeз бoлoвaњa, гoдишњих oдмoрa, држaвних прaзникa и сл.)</t>
  </si>
  <si>
    <t>dio 61</t>
  </si>
  <si>
    <t>dio 612</t>
  </si>
  <si>
    <t>dio 611</t>
  </si>
  <si>
    <t>66 i 67</t>
  </si>
  <si>
    <t>dio 660</t>
  </si>
  <si>
    <t>dio 670</t>
  </si>
  <si>
    <t>dio 532</t>
  </si>
  <si>
    <t>534 i 535</t>
  </si>
  <si>
    <t>536 i 537</t>
  </si>
  <si>
    <t>dio 539</t>
  </si>
  <si>
    <t>dio 555</t>
  </si>
  <si>
    <t>dio 433</t>
  </si>
  <si>
    <t>dio 431 i 432</t>
  </si>
  <si>
    <t>диo 61</t>
  </si>
  <si>
    <t>диo 612</t>
  </si>
  <si>
    <t>диo 611</t>
  </si>
  <si>
    <t>66 и 67</t>
  </si>
  <si>
    <t>диo 660</t>
  </si>
  <si>
    <t>диo 670</t>
  </si>
  <si>
    <t>диo 532</t>
  </si>
  <si>
    <t>534 и 535</t>
  </si>
  <si>
    <t>536 и 537</t>
  </si>
  <si>
    <t>диo 539</t>
  </si>
  <si>
    <t>диo 555</t>
  </si>
  <si>
    <t>диo 433</t>
  </si>
  <si>
    <t>диo 431 и 432</t>
  </si>
  <si>
    <t>part 61</t>
  </si>
  <si>
    <t>part 612</t>
  </si>
  <si>
    <t>part 611</t>
  </si>
  <si>
    <t>part 650</t>
  </si>
  <si>
    <t>part 660</t>
  </si>
  <si>
    <t>part 670</t>
  </si>
  <si>
    <t>part 529</t>
  </si>
  <si>
    <t>part 532</t>
  </si>
  <si>
    <t>part 539</t>
  </si>
  <si>
    <t>part 550</t>
  </si>
  <si>
    <t>part 555</t>
  </si>
  <si>
    <t>part 433</t>
  </si>
  <si>
    <t>66 and 67</t>
  </si>
  <si>
    <t>534 and 535</t>
  </si>
  <si>
    <t>536 and 537</t>
  </si>
  <si>
    <t>part 431 and 432</t>
  </si>
  <si>
    <t>INCOME FROM SALE OF PRODUCTS (602+605)</t>
  </si>
  <si>
    <t>a) Income from sale of goods</t>
  </si>
  <si>
    <t>Of which:  Income from sale of goods on foreign market</t>
  </si>
  <si>
    <t>Income from sale of goods in the other Entity or Brcko District</t>
  </si>
  <si>
    <t>b) Income from sale of services</t>
  </si>
  <si>
    <t>Of which:  Income from sale of services on foreign market</t>
  </si>
  <si>
    <t>Income from sale of services in the other Entity or Brcko District</t>
  </si>
  <si>
    <t>OTHER OPERATING INCOME (609+612+613+614+ 615+616+617)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</si>
  <si>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</si>
  <si>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</si>
  <si>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Oд тoгa: прихoди пo oснoву субвeнциja нa прoизвoдe (субвeнциje кoje сe мoгу прикaзaти пo jeдиници прoизвoдa, нпр. вoзнa кaртa, брaшнo, хљeб, млиjeкo и др.)</t>
  </si>
  <si>
    <t>Of which: income from product subsidies (subsidies that could be displayed per product unit, e.g. traveler ticket, flour, bread, milk, etc.)</t>
  </si>
  <si>
    <t>Income from subsidies given for production (hiring, salary, interest rate, reduction of pollution, etc.)</t>
  </si>
  <si>
    <t>b) Prihod od zakupnina</t>
  </si>
  <si>
    <t>б) Прихoд oд зaкупнинa</t>
  </si>
  <si>
    <t>b) Income from rent</t>
  </si>
  <si>
    <t>c) Prihod od donacija</t>
  </si>
  <si>
    <t>в) Прихoд oд дoнaциja</t>
  </si>
  <si>
    <t>c) Income from donations</t>
  </si>
  <si>
    <t>d) Prihod od članarina</t>
  </si>
  <si>
    <t>г) Прихoд oд члaнaринa</t>
  </si>
  <si>
    <t>d) Income from membership fees</t>
  </si>
  <si>
    <t>e) Prihod od tantijema i licenciranih prava</t>
  </si>
  <si>
    <t>д) Прихoд oд тaнтиjeмa и лицeнцирaних прaвa</t>
  </si>
  <si>
    <t>e) Income from bonuses and license rights</t>
  </si>
  <si>
    <t>f) Prihod iz namjenskih izvora finansiranja (iz budžeta, fondova i dr.)</t>
  </si>
  <si>
    <t>ђ) Прихoд из нaмjeнских извoрa финaнсирaњa (из буџeтa, фoндoвa и др.)</t>
  </si>
  <si>
    <t>f) Income from dedicated funding sources (budgets, funds, etc.)</t>
  </si>
  <si>
    <t>g) Ostali poslovni prihodi po drugim osnovima</t>
  </si>
  <si>
    <t>e) Oстaли пoслoвни прихoди пo другим oснoвимa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</si>
  <si>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</si>
  <si>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</si>
  <si>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</si>
  <si>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</si>
  <si>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Prihodi na osnovu ugovorene zaštite od rizika</t>
  </si>
  <si>
    <t>Прихoди нa oснoву угoвoрeнe зaштитe oд ризикa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</si>
  <si>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</si>
  <si>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</si>
  <si>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</si>
  <si>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</si>
  <si>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Of which: gross wages and gross salaries expenses of the members of management and supervisory board</t>
  </si>
  <si>
    <t>Expenses of allowances for business trip</t>
  </si>
  <si>
    <t>Expenses of accommodation, food and transportation on business trip</t>
  </si>
  <si>
    <t>SERVICE EXPENSES (629+630+631+632+633+634+635+636)</t>
  </si>
  <si>
    <t xml:space="preserve">a) Expenses of services on the productions of product </t>
  </si>
  <si>
    <t>b) Transportation services expense</t>
  </si>
  <si>
    <t>c) Troškovi za usluge tekućeg održavanja osnovnih sredstava</t>
  </si>
  <si>
    <t xml:space="preserve">c) Fixed assets ongoing maintenance services expenses </t>
  </si>
  <si>
    <t>d) Troškovi za usluge investicionog održavanja osnovnih sredstava</t>
  </si>
  <si>
    <t xml:space="preserve">d) Fixed assets investment maintenance services expenses </t>
  </si>
  <si>
    <t>e) Troškovi zakupa</t>
  </si>
  <si>
    <t>e) Rent expense</t>
  </si>
  <si>
    <t>f) Troškovi sajmova, reklame i propagande</t>
  </si>
  <si>
    <t>f) Fairs, advertising and propaganda expenses</t>
  </si>
  <si>
    <t>g) Troškovi istraživanja i troškovi razvoja koji se ne kapitalizuju</t>
  </si>
  <si>
    <t>g) Research and development expenses that are not capitalised</t>
  </si>
  <si>
    <t>h) Troškovi ostalih usluga</t>
  </si>
  <si>
    <t>h) Other services expenses</t>
  </si>
  <si>
    <t xml:space="preserve">Of which: production services based on the contract for periodic and temporary jobs </t>
  </si>
  <si>
    <t>Compensation for author works which belongs to production services</t>
  </si>
  <si>
    <t>NON-MATERIAL EXPENSES (640+642+643+644+645+646+647+648)</t>
  </si>
  <si>
    <t>Non-productive services expense</t>
  </si>
  <si>
    <t>Od toga: troškovi stručnog obrazovanja i usavršavanja zaposlenih</t>
  </si>
  <si>
    <t>Oд тoгa: трoшкoви стручнoг oбрaзoвaњa и усaвршaвaњa зaпoслeних</t>
  </si>
  <si>
    <t>Of which: costs of professional education and training of employees</t>
  </si>
  <si>
    <t>Representation expense</t>
  </si>
  <si>
    <t>Insurance premium expanse</t>
  </si>
  <si>
    <t>Money transfer expense</t>
  </si>
  <si>
    <t>Membership fee expanse</t>
  </si>
  <si>
    <t>Taxes on products, duties, residential tax, gambling tax, etc.</t>
  </si>
  <si>
    <t>Taxes on production: property and land taxes, taxes for water and forest, fire protection, etc.</t>
  </si>
  <si>
    <t>Other non-material expenses</t>
  </si>
  <si>
    <t>OBAVEZE I POTRAŽIVANJA</t>
  </si>
  <si>
    <t>OБAВEЗE И ПOTРAЖИВAЊA</t>
  </si>
  <si>
    <t>LIABILITIES AND RECEIVABLES</t>
  </si>
  <si>
    <t>Obračunati (fakturisani) porez na dodatu vrijednost (kumulativan promet konta)</t>
  </si>
  <si>
    <t>Oбрaчунaти (фaктурисaни) пoрeз нa дoдaту вриjeднoст (кумулaтивaн прoмeт кoнтa)</t>
  </si>
  <si>
    <t xml:space="preserve"> Calculated (invoiced) value added tax (cumulative turnover of account)</t>
  </si>
  <si>
    <t>Ulazni porez na dodatu vrijednost (kumulativan promet konta)</t>
  </si>
  <si>
    <t>Улaзни пoрeз нa дoдaту вриjeднoст (кумулaтивaн прoмeт кoнтa)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</si>
  <si>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</si>
  <si>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</si>
  <si>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</si>
  <si>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Porez na dodatu vrijednost plaćen pri uvozu (kumulativan promet konta)</t>
  </si>
  <si>
    <t>Пoрeз нa дoдaту вриjeднoст плaћeн при увoзу (кумулaтивaн прoмeт кoнтa)</t>
  </si>
  <si>
    <t>VAT paid for import (cumulative turnover of account)</t>
  </si>
  <si>
    <t>Obaveze za PDV plaćen pri uvozu (kumulativan promet konta)</t>
  </si>
  <si>
    <t>Oбaвeзe зa ПДВ плaћeн при увoзу (кумулaтивaн прoмeт кoнтa)</t>
  </si>
  <si>
    <t>Liabilities for VAT paid on import  (cumulative turnover of account)</t>
  </si>
  <si>
    <t>Obaveze za akcize (kumulativan promet konta)</t>
  </si>
  <si>
    <t>Oбaвeзe зa aкцизe (кумулaтивaн прoмeт кoнтa)</t>
  </si>
  <si>
    <t>Liabilities for excise (cumulative turnover of account)</t>
  </si>
  <si>
    <t>Ulaganje u istraživanje i razvoj (kumulativan promet konta)</t>
  </si>
  <si>
    <t>Улaгaњe у истрaживaњe и рaзвoj (кумулaтивaн прoмeт кoнтa)</t>
  </si>
  <si>
    <t>Investment in research and development (cumulative turnover of account)</t>
  </si>
  <si>
    <t>Imports of goods from abroad</t>
  </si>
  <si>
    <t>Imports of services from abroad</t>
  </si>
  <si>
    <t>Purchase of goods from the Federation of BiH or District Brcko BiH</t>
  </si>
  <si>
    <t>Purchase of services from the Federation of BiH or District Brcko BiH</t>
  </si>
  <si>
    <t>Prihodi ostvareni na bazi podugovaranja</t>
  </si>
  <si>
    <t>Прихoди oствaрeни нa бaзи пoдугoвaрaњa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</si>
  <si>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</si>
  <si>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</si>
  <si>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</si>
  <si>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</si>
  <si>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</si>
  <si>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I  TOTAL NET INCOME OF THE PERIOD (400±416)</t>
  </si>
  <si>
    <t>II  TOTAL NET LOSS OF THE PERIOD (400±416)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</si>
  <si>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</si>
  <si>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</si>
  <si>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</si>
  <si>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</si>
  <si>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</si>
  <si>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</si>
  <si>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</si>
  <si>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</si>
  <si>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</si>
  <si>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</si>
  <si>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</si>
  <si>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Licence No.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</si>
  <si>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</si>
  <si>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</si>
  <si>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</si>
  <si>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</si>
  <si>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</si>
  <si>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</si>
  <si>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</si>
  <si>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</si>
  <si>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</si>
  <si>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</si>
  <si>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</si>
  <si>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</si>
  <si>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</si>
  <si>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</si>
  <si>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</si>
  <si>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</si>
  <si>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</si>
  <si>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</si>
  <si>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</si>
  <si>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</si>
  <si>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</si>
  <si>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</si>
  <si>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</si>
  <si>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</si>
  <si>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</si>
  <si>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</si>
  <si>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</si>
  <si>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</si>
  <si>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</si>
  <si>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</si>
  <si>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</si>
  <si>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</si>
  <si>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</si>
  <si>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</si>
  <si>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</si>
  <si>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</si>
  <si>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</si>
  <si>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</si>
  <si>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</si>
  <si>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</si>
  <si>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</si>
  <si>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</si>
  <si>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</si>
  <si>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</si>
  <si>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</si>
  <si>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</si>
  <si>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</si>
  <si>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</si>
  <si>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</si>
  <si>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</si>
  <si>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</si>
  <si>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</si>
  <si>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</si>
  <si>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</si>
  <si>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</si>
  <si>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</si>
  <si>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</si>
  <si>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</si>
  <si>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</si>
  <si>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</si>
  <si>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</si>
  <si>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</si>
  <si>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</si>
  <si>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</si>
  <si>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</si>
  <si>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</si>
  <si>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</si>
  <si>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</si>
  <si>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</si>
  <si>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</si>
  <si>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</si>
  <si>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</si>
  <si>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</si>
  <si>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</si>
  <si>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</si>
  <si>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</si>
  <si>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</si>
  <si>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</si>
  <si>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4. Arts and cultural artifacts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</si>
  <si>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</si>
  <si>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</si>
  <si>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</si>
  <si>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</si>
  <si>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</si>
  <si>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</si>
  <si>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</si>
  <si>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</si>
  <si>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</si>
  <si>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</si>
  <si>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</si>
  <si>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</si>
  <si>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</si>
  <si>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</si>
  <si>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</si>
  <si>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</si>
  <si>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</si>
  <si>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</si>
  <si>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Gubitak grupa računa 35 (AOP 122) obuhvata gubitak ranijih godina, račun 350 i gubitak tekuće godine, račun 351, znači sve do vrijednosti kapitala, a sve preko toga u klasi 2, račun 290.</t>
  </si>
  <si>
    <t>Шифрa дjeлaтн.</t>
  </si>
  <si>
    <t>Required Field!</t>
  </si>
  <si>
    <t>RUDNIK KREČNJAKA CARMEUSE A.D. DOBOJ</t>
  </si>
  <si>
    <t>Ševarlije 322</t>
  </si>
  <si>
    <t>DOBOJ</t>
  </si>
  <si>
    <t>Edina Hadžikadunić</t>
  </si>
  <si>
    <t>4190/5</t>
  </si>
  <si>
    <t>Peterne Marosy Katalin</t>
  </si>
  <si>
    <t>edina.hadzikadunic@carmeuse.ba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</si>
</sst>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</numFmts>
  <fonts count="24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sz val="10"/>
      <name val="Calibri"/>
      <family val="2"/>
      <charset val="238"/>
    </font>
    <font>
      <sz val="10"/>
      <name val="Calibri"/>
      <family val="2"/>
      <charset val="238"/>
    </font>
    <font>
      <b/>
      <u/>
      <sz val="11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8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2" fillId="7" borderId="55" applyNumberFormat="0" applyAlignment="0" applyProtection="0"/>
    <xf numFmtId="0" fontId="13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4" fillId="0" borderId="0" applyNumberFormat="0" applyFill="0" applyBorder="0" applyAlignment="0" applyProtection="0"/>
    <xf numFmtId="0" fontId="15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5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47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6" fillId="3" borderId="6" xfId="0" applyFont="1" applyFill="1" applyBorder="1" applyAlignment="1" applyProtection="1">
      <alignment horizontal="center" vertical="center"/>
      <protection hidden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/>
      <protection hidden="1"/>
    </xf>
    <xf numFmtId="0" fontId="16" fillId="3" borderId="6" xfId="0" applyFont="1" applyFill="1" applyBorder="1" applyAlignment="1" applyProtection="1">
      <alignment horizontal="center"/>
      <protection hidden="1"/>
    </xf>
    <xf numFmtId="0" fontId="16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3" fontId="4" fillId="4" borderId="18" xfId="0" applyNumberFormat="1" applyFont="1" applyFill="1" applyBorder="1" applyAlignment="1" applyProtection="1">
      <alignment vertical="center"/>
      <protection hidden="1"/>
    </xf>
    <xf numFmtId="3" fontId="4" fillId="4" borderId="19" xfId="0" applyNumberFormat="1" applyFont="1" applyFill="1" applyBorder="1" applyAlignment="1" applyProtection="1">
      <alignment vertical="center"/>
      <protection hidden="1"/>
    </xf>
    <xf numFmtId="0" fontId="13" fillId="8" borderId="0" xfId="3" applyAlignment="1">
      <alignment horizontal="center" vertical="center"/>
    </xf>
    <xf numFmtId="0" fontId="16" fillId="3" borderId="20" xfId="0" applyFont="1" applyFill="1" applyBorder="1" applyAlignment="1" applyProtection="1">
      <alignment horizontal="center"/>
      <protection hidden="1"/>
    </xf>
    <xf numFmtId="0" fontId="16" fillId="3" borderId="21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4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22" xfId="0" applyNumberFormat="1" applyFill="1" applyBorder="1" applyAlignment="1" applyProtection="1">
      <alignment horizontal="center" vertical="center"/>
      <protection hidden="1"/>
    </xf>
    <xf numFmtId="3" fontId="0" fillId="0" borderId="4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6" fillId="3" borderId="56" xfId="0" applyFont="1" applyFill="1" applyBorder="1" applyAlignment="1" applyProtection="1">
      <alignment horizontal="center" vertical="center" wrapText="1"/>
      <protection hidden="1"/>
    </xf>
    <xf numFmtId="0" fontId="16" fillId="3" borderId="57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0" fontId="0" fillId="0" borderId="0" xfId="0" applyBorder="1" applyAlignment="1" applyProtection="1">
      <alignment vertical="center"/>
      <protection hidden="1"/>
    </xf>
    <xf numFmtId="3" fontId="0" fillId="0" borderId="23" xfId="0" applyNumberFormat="1" applyFill="1" applyBorder="1" applyAlignment="1" applyProtection="1">
      <alignment horizontal="right" vertical="center"/>
      <protection hidden="1"/>
    </xf>
    <xf numFmtId="3" fontId="0" fillId="0" borderId="23" xfId="0" applyNumberFormat="1" applyFill="1" applyBorder="1" applyAlignment="1" applyProtection="1">
      <alignment horizontal="left" vertical="center"/>
      <protection hidden="1"/>
    </xf>
    <xf numFmtId="0" fontId="0" fillId="0" borderId="23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>
      <alignment horizontal="left" indent="1"/>
      <protection hidden="1"/>
    </xf>
    <xf numFmtId="49" fontId="5" fillId="0" borderId="4" xfId="9" applyFill="1">
      <alignment horizontal="left" indent="1"/>
      <protection hidden="1"/>
    </xf>
    <xf numFmtId="49" fontId="5" fillId="0" borderId="4" xfId="9" applyProtection="1">
      <alignment horizontal="left" inden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Protection="1">
      <protection hidden="1"/>
    </xf>
    <xf numFmtId="0" fontId="16" fillId="3" borderId="6" xfId="0" applyFont="1" applyFill="1" applyBorder="1" applyAlignment="1" applyProtection="1">
      <alignment horizontal="center" wrapText="1"/>
      <protection hidden="1"/>
    </xf>
    <xf numFmtId="49" fontId="5" fillId="0" borderId="4" xfId="9" applyFill="1" applyProtection="1">
      <alignment horizontal="left" indent="1"/>
      <protection hidden="1"/>
    </xf>
    <xf numFmtId="3" fontId="4" fillId="4" borderId="15" xfId="0" applyNumberFormat="1" applyFont="1" applyFill="1" applyBorder="1" applyAlignment="1" applyProtection="1">
      <alignment horizontal="right" vertical="center"/>
      <protection hidden="1"/>
    </xf>
    <xf numFmtId="3" fontId="4" fillId="4" borderId="24" xfId="0" applyNumberFormat="1" applyFont="1" applyFill="1" applyBorder="1" applyAlignment="1" applyProtection="1">
      <alignment horizontal="right" vertical="center"/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5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5" xfId="0" applyNumberFormat="1" applyFont="1" applyFill="1" applyBorder="1" applyAlignment="1" applyProtection="1">
      <alignment horizontal="right" vertical="center"/>
      <protection hidden="1"/>
    </xf>
    <xf numFmtId="3" fontId="4" fillId="4" borderId="19" xfId="0" applyNumberFormat="1" applyFont="1" applyFill="1" applyBorder="1" applyAlignment="1" applyProtection="1">
      <alignment horizontal="right" vertical="center"/>
      <protection hidden="1"/>
    </xf>
    <xf numFmtId="3" fontId="4" fillId="4" borderId="2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6" fillId="3" borderId="12" xfId="0" quotePrefix="1" applyFont="1" applyFill="1" applyBorder="1" applyAlignment="1" applyProtection="1">
      <alignment horizontal="center"/>
      <protection hidden="1"/>
    </xf>
    <xf numFmtId="0" fontId="12" fillId="7" borderId="55" xfId="2" applyFont="1"/>
    <xf numFmtId="0" fontId="0" fillId="0" borderId="0" xfId="0" applyAlignment="1">
      <alignment horizontal="center" vertical="center" wrapText="1"/>
    </xf>
    <xf numFmtId="0" fontId="17" fillId="8" borderId="0" xfId="3" applyFont="1" applyAlignment="1">
      <alignment horizontal="center" vertical="center" wrapText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4" xfId="0" applyFill="1" applyBorder="1"/>
    <xf numFmtId="0" fontId="0" fillId="0" borderId="4" xfId="0" applyNumberFormat="1" applyFill="1" applyBorder="1"/>
    <xf numFmtId="0" fontId="0" fillId="0" borderId="0" xfId="0" applyAlignment="1">
      <alignment horizontal="left" vertical="center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0" fontId="0" fillId="0" borderId="0" xfId="0" applyProtection="1">
      <protection locked="0"/>
    </xf>
    <xf numFmtId="49" fontId="0" fillId="0" borderId="0" xfId="0" applyNumberFormat="1" applyAlignment="1">
      <alignment horizontal="left"/>
    </xf>
    <xf numFmtId="168" fontId="5" fillId="4" borderId="58" xfId="4" applyFill="1" applyBorder="1">
      <alignment horizontal="center" vertical="center" wrapText="1"/>
      <protection hidden="1"/>
    </xf>
    <xf numFmtId="166" fontId="5" fillId="4" borderId="59" xfId="1" applyFill="1" applyBorder="1">
      <alignment horizontal="center" vertical="center"/>
      <protection hidden="1"/>
    </xf>
    <xf numFmtId="3" fontId="4" fillId="4" borderId="59" xfId="0" applyNumberFormat="1" applyFont="1" applyFill="1" applyBorder="1" applyAlignment="1" applyProtection="1">
      <alignment horizontal="right" vertical="center"/>
      <protection hidden="1"/>
    </xf>
    <xf numFmtId="3" fontId="4" fillId="4" borderId="60" xfId="0" applyNumberFormat="1" applyFont="1" applyFill="1" applyBorder="1" applyAlignment="1" applyProtection="1">
      <alignment horizontal="right" vertical="center"/>
      <protection hidden="1"/>
    </xf>
    <xf numFmtId="168" fontId="5" fillId="0" borderId="58" xfId="4" applyBorder="1">
      <alignment horizontal="center" vertical="center" wrapText="1"/>
      <protection hidden="1"/>
    </xf>
    <xf numFmtId="166" fontId="5" fillId="0" borderId="59" xfId="1" applyFill="1" applyBorder="1">
      <alignment horizontal="center" vertical="center"/>
      <protection hidden="1"/>
    </xf>
    <xf numFmtId="3" fontId="4" fillId="0" borderId="59" xfId="0" applyNumberFormat="1" applyFont="1" applyBorder="1" applyAlignment="1" applyProtection="1">
      <alignment horizontal="right" vertical="center"/>
      <protection hidden="1"/>
    </xf>
    <xf numFmtId="3" fontId="4" fillId="0" borderId="60" xfId="0" applyNumberFormat="1" applyFont="1" applyBorder="1" applyAlignment="1" applyProtection="1">
      <alignment horizontal="right" vertical="center"/>
      <protection hidden="1"/>
    </xf>
    <xf numFmtId="3" fontId="0" fillId="4" borderId="59" xfId="0" applyNumberFormat="1" applyFill="1" applyBorder="1" applyAlignment="1" applyProtection="1">
      <alignment horizontal="right" vertical="center"/>
      <protection locked="0"/>
    </xf>
    <xf numFmtId="3" fontId="0" fillId="4" borderId="60" xfId="0" applyNumberFormat="1" applyFill="1" applyBorder="1" applyAlignment="1" applyProtection="1">
      <alignment horizontal="right" vertical="center"/>
      <protection locked="0"/>
    </xf>
    <xf numFmtId="3" fontId="0" fillId="0" borderId="59" xfId="0" applyNumberFormat="1" applyBorder="1" applyAlignment="1" applyProtection="1">
      <alignment horizontal="right" vertical="center"/>
      <protection locked="0"/>
    </xf>
    <xf numFmtId="3" fontId="0" fillId="0" borderId="60" xfId="0" applyNumberFormat="1" applyBorder="1" applyAlignment="1" applyProtection="1">
      <alignment horizontal="right" vertical="center"/>
      <protection locked="0"/>
    </xf>
    <xf numFmtId="168" fontId="5" fillId="0" borderId="58" xfId="4" applyFill="1" applyBorder="1">
      <alignment horizontal="center" vertical="center" wrapText="1"/>
      <protection hidden="1"/>
    </xf>
    <xf numFmtId="3" fontId="4" fillId="0" borderId="59" xfId="0" applyNumberFormat="1" applyFont="1" applyFill="1" applyBorder="1" applyAlignment="1" applyProtection="1">
      <alignment horizontal="right" vertical="center"/>
      <protection hidden="1"/>
    </xf>
    <xf numFmtId="3" fontId="4" fillId="0" borderId="60" xfId="0" applyNumberFormat="1" applyFont="1" applyFill="1" applyBorder="1" applyAlignment="1" applyProtection="1">
      <alignment horizontal="right" vertical="center"/>
      <protection hidden="1"/>
    </xf>
    <xf numFmtId="168" fontId="5" fillId="0" borderId="61" xfId="4" applyFill="1" applyBorder="1">
      <alignment horizontal="center" vertical="center" wrapText="1"/>
      <protection hidden="1"/>
    </xf>
    <xf numFmtId="166" fontId="5" fillId="0" borderId="62" xfId="1" applyFill="1" applyBorder="1">
      <alignment horizontal="center" vertical="center"/>
      <protection hidden="1"/>
    </xf>
    <xf numFmtId="0" fontId="16" fillId="3" borderId="63" xfId="0" applyFont="1" applyFill="1" applyBorder="1" applyAlignment="1" applyProtection="1">
      <alignment horizontal="center"/>
      <protection hidden="1"/>
    </xf>
    <xf numFmtId="0" fontId="16" fillId="3" borderId="64" xfId="0" applyFont="1" applyFill="1" applyBorder="1" applyAlignment="1" applyProtection="1">
      <alignment horizontal="center"/>
      <protection hidden="1"/>
    </xf>
    <xf numFmtId="0" fontId="16" fillId="3" borderId="65" xfId="0" applyFont="1" applyFill="1" applyBorder="1" applyAlignment="1" applyProtection="1">
      <alignment horizontal="center"/>
      <protection hidden="1"/>
    </xf>
    <xf numFmtId="168" fontId="5" fillId="0" borderId="66" xfId="4" applyBorder="1">
      <alignment horizontal="center" vertical="center" wrapText="1"/>
      <protection hidden="1"/>
    </xf>
    <xf numFmtId="166" fontId="5" fillId="0" borderId="67" xfId="1" applyFill="1" applyBorder="1">
      <alignment horizontal="center" vertical="center"/>
      <protection hidden="1"/>
    </xf>
    <xf numFmtId="3" fontId="4" fillId="0" borderId="67" xfId="0" applyNumberFormat="1" applyFont="1" applyBorder="1" applyAlignment="1" applyProtection="1">
      <alignment horizontal="right" vertical="center"/>
      <protection hidden="1"/>
    </xf>
    <xf numFmtId="3" fontId="4" fillId="0" borderId="68" xfId="0" applyNumberFormat="1" applyFont="1" applyBorder="1" applyAlignment="1" applyProtection="1">
      <alignment horizontal="right" vertical="center"/>
      <protection hidden="1"/>
    </xf>
    <xf numFmtId="168" fontId="5" fillId="4" borderId="66" xfId="4" applyFill="1" applyBorder="1">
      <alignment horizontal="center" vertical="center" wrapText="1"/>
      <protection hidden="1"/>
    </xf>
    <xf numFmtId="166" fontId="5" fillId="4" borderId="67" xfId="1" applyFill="1" applyBorder="1">
      <alignment horizontal="center" vertical="center"/>
      <protection hidden="1"/>
    </xf>
    <xf numFmtId="3" fontId="4" fillId="4" borderId="67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68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59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60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5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6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6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69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67" xfId="1" applyBorder="1">
      <alignment horizontal="center" vertical="center"/>
      <protection hidden="1"/>
    </xf>
    <xf numFmtId="3" fontId="0" fillId="0" borderId="67" xfId="0" applyNumberFormat="1" applyFill="1" applyBorder="1" applyAlignment="1" applyProtection="1">
      <alignment horizontal="right" vertical="center"/>
      <protection hidden="1"/>
    </xf>
    <xf numFmtId="3" fontId="0" fillId="0" borderId="68" xfId="0" applyNumberFormat="1" applyFill="1" applyBorder="1" applyAlignment="1" applyProtection="1">
      <alignment horizontal="right" vertical="center"/>
      <protection hidden="1"/>
    </xf>
    <xf numFmtId="166" fontId="5" fillId="0" borderId="59" xfId="1" applyBorder="1">
      <alignment horizontal="center" vertical="center"/>
      <protection hidden="1"/>
    </xf>
    <xf numFmtId="168" fontId="5" fillId="0" borderId="61" xfId="4" applyBorder="1">
      <alignment horizontal="center" vertical="center" wrapText="1"/>
      <protection hidden="1"/>
    </xf>
    <xf numFmtId="166" fontId="5" fillId="0" borderId="62" xfId="1" applyBorder="1">
      <alignment horizontal="center" vertical="center"/>
      <protection hidden="1"/>
    </xf>
    <xf numFmtId="3" fontId="4" fillId="0" borderId="62" xfId="0" applyNumberFormat="1" applyFont="1" applyFill="1" applyBorder="1" applyAlignment="1" applyProtection="1">
      <alignment horizontal="right" vertical="center"/>
      <protection hidden="1"/>
    </xf>
    <xf numFmtId="3" fontId="4" fillId="0" borderId="69" xfId="0" applyNumberFormat="1" applyFont="1" applyFill="1" applyBorder="1" applyAlignment="1" applyProtection="1">
      <alignment horizontal="right" vertical="center"/>
      <protection hidden="1"/>
    </xf>
    <xf numFmtId="0" fontId="16" fillId="3" borderId="64" xfId="0" quotePrefix="1" applyFont="1" applyFill="1" applyBorder="1" applyAlignment="1" applyProtection="1">
      <alignment horizontal="center"/>
      <protection hidden="1"/>
    </xf>
    <xf numFmtId="0" fontId="16" fillId="3" borderId="65" xfId="0" quotePrefix="1" applyFont="1" applyFill="1" applyBorder="1" applyAlignment="1" applyProtection="1">
      <alignment horizontal="center"/>
      <protection hidden="1"/>
    </xf>
    <xf numFmtId="3" fontId="0" fillId="0" borderId="67" xfId="0" applyNumberFormat="1" applyBorder="1" applyAlignment="1" applyProtection="1">
      <alignment horizontal="right" vertical="center"/>
      <protection locked="0"/>
    </xf>
    <xf numFmtId="168" fontId="5" fillId="0" borderId="66" xfId="4" applyBorder="1" applyProtection="1">
      <alignment horizontal="center" vertical="center" wrapText="1"/>
      <protection hidden="1"/>
    </xf>
    <xf numFmtId="0" fontId="4" fillId="0" borderId="67" xfId="0" applyFont="1" applyBorder="1" applyAlignment="1" applyProtection="1">
      <alignment vertical="center" wrapText="1"/>
      <protection hidden="1"/>
    </xf>
    <xf numFmtId="166" fontId="5" fillId="0" borderId="67" xfId="1" applyBorder="1" applyProtection="1">
      <alignment horizontal="center" vertical="center"/>
      <protection hidden="1"/>
    </xf>
    <xf numFmtId="168" fontId="5" fillId="4" borderId="58" xfId="4" applyFill="1" applyBorder="1" applyProtection="1">
      <alignment horizontal="center" vertical="center" wrapText="1"/>
      <protection hidden="1"/>
    </xf>
    <xf numFmtId="0" fontId="0" fillId="4" borderId="59" xfId="0" applyFill="1" applyBorder="1" applyAlignment="1" applyProtection="1">
      <alignment vertical="center" wrapText="1"/>
      <protection hidden="1"/>
    </xf>
    <xf numFmtId="166" fontId="5" fillId="4" borderId="59" xfId="1" applyFill="1" applyBorder="1" applyProtection="1">
      <alignment horizontal="center" vertical="center"/>
      <protection hidden="1"/>
    </xf>
    <xf numFmtId="168" fontId="5" fillId="0" borderId="58" xfId="4" applyBorder="1" applyProtection="1">
      <alignment horizontal="center" vertical="center" wrapText="1"/>
      <protection hidden="1"/>
    </xf>
    <xf numFmtId="0" fontId="0" fillId="0" borderId="59" xfId="0" applyBorder="1" applyAlignment="1" applyProtection="1">
      <alignment vertical="center" wrapText="1"/>
      <protection hidden="1"/>
    </xf>
    <xf numFmtId="166" fontId="5" fillId="0" borderId="59" xfId="1" applyBorder="1" applyProtection="1">
      <alignment horizontal="center" vertical="center"/>
      <protection hidden="1"/>
    </xf>
    <xf numFmtId="0" fontId="4" fillId="4" borderId="59" xfId="0" applyFont="1" applyFill="1" applyBorder="1" applyAlignment="1" applyProtection="1">
      <alignment vertical="center" wrapText="1"/>
      <protection hidden="1"/>
    </xf>
    <xf numFmtId="0" fontId="4" fillId="0" borderId="59" xfId="0" applyFont="1" applyBorder="1" applyAlignment="1" applyProtection="1">
      <alignment vertical="center" wrapText="1"/>
      <protection hidden="1"/>
    </xf>
    <xf numFmtId="168" fontId="5" fillId="0" borderId="61" xfId="4" applyBorder="1" applyProtection="1">
      <alignment horizontal="center" vertical="center" wrapText="1"/>
      <protection hidden="1"/>
    </xf>
    <xf numFmtId="0" fontId="4" fillId="0" borderId="62" xfId="0" applyFont="1" applyBorder="1" applyAlignment="1" applyProtection="1">
      <alignment vertical="center" wrapText="1"/>
      <protection hidden="1"/>
    </xf>
    <xf numFmtId="166" fontId="5" fillId="0" borderId="62" xfId="1" applyBorder="1" applyProtection="1">
      <alignment horizontal="center" vertic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left"/>
    </xf>
    <xf numFmtId="3" fontId="4" fillId="4" borderId="59" xfId="0" applyNumberFormat="1" applyFont="1" applyFill="1" applyBorder="1" applyAlignment="1" applyProtection="1">
      <alignment horizontal="right" vertical="center"/>
      <protection locked="0"/>
    </xf>
    <xf numFmtId="3" fontId="4" fillId="4" borderId="60" xfId="0" applyNumberFormat="1" applyFont="1" applyFill="1" applyBorder="1" applyAlignment="1" applyProtection="1">
      <alignment horizontal="right" vertical="center"/>
      <protection locked="0"/>
    </xf>
    <xf numFmtId="3" fontId="4" fillId="0" borderId="59" xfId="0" applyNumberFormat="1" applyFont="1" applyBorder="1" applyAlignment="1" applyProtection="1">
      <alignment horizontal="right" vertical="center"/>
      <protection locked="0"/>
    </xf>
    <xf numFmtId="3" fontId="4" fillId="0" borderId="60" xfId="0" applyNumberFormat="1" applyFont="1" applyBorder="1" applyAlignment="1" applyProtection="1">
      <alignment horizontal="right" vertical="center"/>
      <protection locked="0"/>
    </xf>
    <xf numFmtId="3" fontId="9" fillId="0" borderId="67" xfId="0" applyNumberFormat="1" applyFont="1" applyBorder="1" applyAlignment="1" applyProtection="1">
      <alignment horizontal="right" vertical="center"/>
      <protection hidden="1"/>
    </xf>
    <xf numFmtId="3" fontId="9" fillId="0" borderId="68" xfId="0" applyNumberFormat="1" applyFont="1" applyBorder="1" applyAlignment="1" applyProtection="1">
      <alignment horizontal="right" vertical="center"/>
      <protection hidden="1"/>
    </xf>
    <xf numFmtId="3" fontId="9" fillId="4" borderId="59" xfId="0" applyNumberFormat="1" applyFont="1" applyFill="1" applyBorder="1" applyAlignment="1" applyProtection="1">
      <alignment horizontal="right" vertical="center"/>
      <protection hidden="1"/>
    </xf>
    <xf numFmtId="3" fontId="9" fillId="4" borderId="60" xfId="0" applyNumberFormat="1" applyFont="1" applyFill="1" applyBorder="1" applyAlignment="1" applyProtection="1">
      <alignment horizontal="right" vertical="center"/>
      <protection hidden="1"/>
    </xf>
    <xf numFmtId="3" fontId="9" fillId="0" borderId="59" xfId="0" applyNumberFormat="1" applyFont="1" applyBorder="1" applyAlignment="1" applyProtection="1">
      <alignment horizontal="right" vertical="center"/>
      <protection hidden="1"/>
    </xf>
    <xf numFmtId="3" fontId="9" fillId="0" borderId="60" xfId="0" applyNumberFormat="1" applyFont="1" applyBorder="1" applyAlignment="1" applyProtection="1">
      <alignment horizontal="right" vertical="center"/>
      <protection hidden="1"/>
    </xf>
    <xf numFmtId="3" fontId="9" fillId="0" borderId="59" xfId="0" applyNumberFormat="1" applyFont="1" applyBorder="1" applyAlignment="1" applyProtection="1">
      <alignment horizontal="right" vertical="center"/>
      <protection locked="0"/>
    </xf>
    <xf numFmtId="3" fontId="9" fillId="0" borderId="60" xfId="0" applyNumberFormat="1" applyFont="1" applyBorder="1" applyAlignment="1" applyProtection="1">
      <alignment horizontal="right" vertical="center"/>
      <protection locked="0"/>
    </xf>
    <xf numFmtId="0" fontId="0" fillId="0" borderId="0" xfId="0" applyNumberFormat="1" applyAlignment="1">
      <alignment horizontal="left"/>
    </xf>
    <xf numFmtId="0" fontId="0" fillId="0" borderId="0" xfId="0" applyNumberFormat="1" applyBorder="1" applyAlignment="1">
      <alignment horizontal="left"/>
    </xf>
    <xf numFmtId="168" fontId="5" fillId="4" borderId="61" xfId="4" applyFill="1" applyBorder="1">
      <alignment horizontal="center" vertical="center" wrapText="1"/>
      <protection hidden="1"/>
    </xf>
    <xf numFmtId="166" fontId="5" fillId="4" borderId="62" xfId="1" applyFill="1" applyBorder="1">
      <alignment horizontal="center" vertical="center"/>
      <protection hidden="1"/>
    </xf>
    <xf numFmtId="3" fontId="0" fillId="4" borderId="62" xfId="0" applyNumberFormat="1" applyFill="1" applyBorder="1" applyAlignment="1" applyProtection="1">
      <alignment horizontal="right" vertical="center"/>
      <protection locked="0"/>
    </xf>
    <xf numFmtId="3" fontId="0" fillId="4" borderId="69" xfId="0" applyNumberFormat="1" applyFill="1" applyBorder="1" applyAlignment="1" applyProtection="1">
      <alignment horizontal="right" vertical="center"/>
      <protection locked="0"/>
    </xf>
    <xf numFmtId="0" fontId="15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4" fillId="0" borderId="0" xfId="5" applyAlignment="1" applyProtection="1">
      <alignment horizontal="left"/>
      <protection hidden="1"/>
    </xf>
    <xf numFmtId="0" fontId="2" fillId="0" borderId="0" xfId="0" applyFont="1" applyBorder="1" applyAlignment="1" applyProtection="1">
      <alignment vertical="center"/>
      <protection locked="0" hidden="1"/>
    </xf>
    <xf numFmtId="0" fontId="14" fillId="0" borderId="0" xfId="5" applyProtection="1">
      <protection hidden="1"/>
    </xf>
    <xf numFmtId="0" fontId="3" fillId="11" borderId="31" xfId="0" applyFont="1" applyFill="1" applyBorder="1" applyAlignment="1" applyProtection="1">
      <alignment horizontal="right" vertical="center" indent="1"/>
      <protection hidden="1"/>
    </xf>
    <xf numFmtId="0" fontId="15" fillId="9" borderId="32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quotePrefix="1" applyProtection="1">
      <protection hidden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0" fillId="0" borderId="2" xfId="0" applyBorder="1" applyProtection="1">
      <protection locked="0" hidden="1"/>
    </xf>
    <xf numFmtId="0" fontId="15" fillId="9" borderId="33" xfId="8" applyBorder="1" applyProtection="1">
      <alignment horizontal="left" vertical="center"/>
      <protection hidden="1"/>
    </xf>
    <xf numFmtId="0" fontId="15" fillId="9" borderId="34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Border="1" applyProtection="1">
      <protection locked="0" hidden="1"/>
    </xf>
    <xf numFmtId="0" fontId="0" fillId="0" borderId="70" xfId="0" applyFill="1" applyBorder="1"/>
    <xf numFmtId="0" fontId="0" fillId="0" borderId="71" xfId="0" applyFill="1" applyBorder="1"/>
    <xf numFmtId="0" fontId="0" fillId="0" borderId="72" xfId="0" applyFill="1" applyBorder="1"/>
    <xf numFmtId="0" fontId="0" fillId="0" borderId="0" xfId="0" applyFill="1" applyBorder="1"/>
    <xf numFmtId="0" fontId="0" fillId="0" borderId="73" xfId="0" applyFill="1" applyBorder="1"/>
    <xf numFmtId="0" fontId="0" fillId="0" borderId="74" xfId="0" applyFill="1" applyBorder="1"/>
    <xf numFmtId="0" fontId="0" fillId="0" borderId="75" xfId="0" applyFill="1" applyBorder="1"/>
    <xf numFmtId="0" fontId="0" fillId="0" borderId="76" xfId="0" applyFill="1" applyBorder="1"/>
    <xf numFmtId="0" fontId="0" fillId="0" borderId="77" xfId="0" applyFill="1" applyBorder="1"/>
    <xf numFmtId="0" fontId="0" fillId="0" borderId="78" xfId="0" applyFill="1" applyBorder="1"/>
    <xf numFmtId="0" fontId="0" fillId="0" borderId="70" xfId="0" applyFill="1" applyBorder="1" applyAlignment="1">
      <alignment horizontal="left" vertical="center"/>
    </xf>
    <xf numFmtId="0" fontId="0" fillId="0" borderId="71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72" xfId="0" applyFill="1" applyBorder="1" applyAlignment="1">
      <alignment horizontal="left" vertical="center"/>
    </xf>
    <xf numFmtId="0" fontId="0" fillId="0" borderId="79" xfId="0" applyFill="1" applyBorder="1"/>
    <xf numFmtId="0" fontId="0" fillId="0" borderId="80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11" fillId="0" borderId="0" xfId="0" applyFont="1" applyBorder="1" applyAlignment="1" applyProtection="1">
      <alignment horizontal="left" vertical="center" wrapText="1" indent="1"/>
      <protection hidden="1"/>
    </xf>
    <xf numFmtId="0" fontId="11" fillId="0" borderId="0" xfId="0" applyFont="1" applyBorder="1" applyAlignment="1" applyProtection="1">
      <alignment horizontal="left" indent="1"/>
      <protection hidden="1"/>
    </xf>
    <xf numFmtId="0" fontId="11" fillId="0" borderId="0" xfId="0" applyFont="1" applyBorder="1" applyAlignment="1" applyProtection="1">
      <alignment horizontal="left" vertical="center" indent="1"/>
      <protection hidden="1"/>
    </xf>
    <xf numFmtId="0" fontId="16" fillId="3" borderId="18" xfId="0" applyFont="1" applyFill="1" applyBorder="1" applyAlignment="1" applyProtection="1">
      <alignment horizontal="center"/>
      <protection hidden="1"/>
    </xf>
    <xf numFmtId="0" fontId="12" fillId="7" borderId="55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33" xfId="4" applyFont="1" applyFill="1" applyBorder="1">
      <alignment horizontal="center" vertical="center" wrapText="1"/>
      <protection hidden="1"/>
    </xf>
    <xf numFmtId="0" fontId="5" fillId="6" borderId="22" xfId="0" applyFont="1" applyFill="1" applyBorder="1" applyAlignment="1" applyProtection="1">
      <protection hidden="1"/>
    </xf>
    <xf numFmtId="0" fontId="5" fillId="6" borderId="34" xfId="0" applyFont="1" applyFill="1" applyBorder="1" applyAlignment="1" applyProtection="1">
      <protection hidden="1"/>
    </xf>
    <xf numFmtId="168" fontId="5" fillId="4" borderId="35" xfId="4" applyFont="1" applyFill="1" applyBorder="1">
      <alignment horizontal="center" vertical="center" wrapText="1"/>
      <protection hidden="1"/>
    </xf>
    <xf numFmtId="166" fontId="5" fillId="4" borderId="9" xfId="1" applyFont="1" applyFill="1" applyBorder="1">
      <alignment horizontal="center" vertical="center"/>
      <protection hidden="1"/>
    </xf>
    <xf numFmtId="168" fontId="5" fillId="0" borderId="27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7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168" fontId="5" fillId="0" borderId="20" xfId="4" applyFont="1" applyBorder="1">
      <alignment horizontal="center" vertical="center" wrapText="1"/>
      <protection hidden="1"/>
    </xf>
    <xf numFmtId="166" fontId="5" fillId="0" borderId="12" xfId="1" applyFont="1" applyFill="1" applyBorder="1">
      <alignment horizontal="center" vertical="center"/>
      <protection hidden="1"/>
    </xf>
    <xf numFmtId="0" fontId="5" fillId="0" borderId="36" xfId="0" applyFont="1" applyBorder="1" applyAlignment="1" applyProtection="1">
      <protection hidden="1"/>
    </xf>
    <xf numFmtId="3" fontId="5" fillId="0" borderId="36" xfId="0" applyNumberFormat="1" applyFont="1" applyBorder="1" applyAlignment="1" applyProtection="1">
      <protection hidden="1"/>
    </xf>
    <xf numFmtId="0" fontId="5" fillId="6" borderId="37" xfId="0" applyFont="1" applyFill="1" applyBorder="1" applyAlignment="1" applyProtection="1">
      <alignment vertical="center"/>
      <protection hidden="1"/>
    </xf>
    <xf numFmtId="0" fontId="5" fillId="6" borderId="22" xfId="0" applyFont="1" applyFill="1" applyBorder="1" applyAlignment="1" applyProtection="1">
      <alignment vertical="center" wrapText="1"/>
      <protection hidden="1"/>
    </xf>
    <xf numFmtId="0" fontId="5" fillId="6" borderId="38" xfId="0" applyFont="1" applyFill="1" applyBorder="1" applyAlignment="1" applyProtection="1">
      <alignment vertical="center" wrapText="1"/>
      <protection hidden="1"/>
    </xf>
    <xf numFmtId="0" fontId="5" fillId="6" borderId="37" xfId="0" applyFont="1" applyFill="1" applyBorder="1" applyAlignment="1" applyProtection="1">
      <alignment horizontal="center" vertical="center" wrapText="1"/>
      <protection hidden="1"/>
    </xf>
    <xf numFmtId="0" fontId="5" fillId="6" borderId="34" xfId="0" applyFont="1" applyFill="1" applyBorder="1" applyAlignment="1" applyProtection="1">
      <alignment horizontal="center" vertical="center" wrapText="1"/>
      <protection hidden="1"/>
    </xf>
    <xf numFmtId="3" fontId="5" fillId="4" borderId="16" xfId="0" applyNumberFormat="1" applyFont="1" applyFill="1" applyBorder="1" applyAlignment="1" applyProtection="1">
      <alignment vertical="center"/>
      <protection hidden="1"/>
    </xf>
    <xf numFmtId="3" fontId="5" fillId="4" borderId="17" xfId="0" applyNumberFormat="1" applyFont="1" applyFill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/>
      <protection hidden="1"/>
    </xf>
    <xf numFmtId="3" fontId="5" fillId="0" borderId="17" xfId="0" applyNumberFormat="1" applyFont="1" applyBorder="1" applyAlignment="1" applyProtection="1">
      <alignment vertical="center"/>
      <protection hidden="1"/>
    </xf>
    <xf numFmtId="3" fontId="5" fillId="0" borderId="16" xfId="0" applyNumberFormat="1" applyFont="1" applyBorder="1" applyAlignment="1" applyProtection="1">
      <alignment vertical="center" wrapText="1"/>
      <protection hidden="1"/>
    </xf>
    <xf numFmtId="3" fontId="5" fillId="0" borderId="17" xfId="0" applyNumberFormat="1" applyFont="1" applyBorder="1" applyAlignment="1" applyProtection="1">
      <alignment vertical="center" wrapText="1"/>
      <protection hidden="1"/>
    </xf>
    <xf numFmtId="168" fontId="5" fillId="4" borderId="20" xfId="4" applyFont="1" applyFill="1" applyBorder="1">
      <alignment horizontal="center" vertical="center" wrapText="1"/>
      <protection hidden="1"/>
    </xf>
    <xf numFmtId="166" fontId="5" fillId="4" borderId="12" xfId="1" applyFont="1" applyFill="1" applyBorder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/>
    <xf numFmtId="14" fontId="0" fillId="0" borderId="4" xfId="0" applyNumberFormat="1" applyFill="1" applyBorder="1"/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5" fillId="9" borderId="33" xfId="6" applyBorder="1">
      <alignment horizontal="center" vertical="center"/>
      <protection locked="0"/>
    </xf>
    <xf numFmtId="0" fontId="15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8" fillId="0" borderId="0" xfId="0" applyFont="1" applyFill="1" applyProtection="1">
      <protection hidden="1"/>
    </xf>
    <xf numFmtId="0" fontId="19" fillId="0" borderId="0" xfId="0" applyFont="1" applyFill="1" applyAlignment="1" applyProtection="1">
      <alignment horizontal="center" vertical="center"/>
      <protection hidden="1"/>
    </xf>
    <xf numFmtId="0" fontId="20" fillId="0" borderId="0" xfId="0" applyFont="1" applyFill="1" applyProtection="1">
      <protection hidden="1"/>
    </xf>
    <xf numFmtId="0" fontId="0" fillId="0" borderId="33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59" xfId="0" applyNumberFormat="1" applyFont="1" applyFill="1" applyBorder="1" applyAlignment="1" applyProtection="1">
      <alignment horizontal="right" vertical="center"/>
      <protection hidden="1"/>
    </xf>
    <xf numFmtId="3" fontId="0" fillId="0" borderId="59" xfId="0" applyNumberFormat="1" applyFont="1" applyBorder="1" applyAlignment="1" applyProtection="1">
      <alignment horizontal="right" vertical="center"/>
      <protection hidden="1"/>
    </xf>
    <xf numFmtId="3" fontId="0" fillId="4" borderId="60" xfId="0" applyNumberFormat="1" applyFont="1" applyFill="1" applyBorder="1" applyAlignment="1" applyProtection="1">
      <alignment horizontal="right" vertical="center"/>
      <protection hidden="1"/>
    </xf>
    <xf numFmtId="3" fontId="0" fillId="0" borderId="60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locked="0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" xfId="0" applyNumberFormat="1" applyFont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5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5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5" xfId="0" applyNumberFormat="1" applyFont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5" xfId="0" applyNumberFormat="1" applyFont="1" applyFill="1" applyBorder="1" applyAlignment="1" applyProtection="1">
      <alignment horizontal="right" vertical="center"/>
      <protection hidden="1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5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5" xfId="0" applyNumberFormat="1" applyFont="1" applyBorder="1" applyAlignment="1" applyProtection="1">
      <alignment horizontal="right" vertical="center"/>
      <protection locked="0"/>
    </xf>
    <xf numFmtId="3" fontId="0" fillId="0" borderId="67" xfId="0" applyNumberFormat="1" applyFont="1" applyBorder="1" applyAlignment="1" applyProtection="1">
      <alignment horizontal="right" vertical="center"/>
      <protection hidden="1"/>
    </xf>
    <xf numFmtId="3" fontId="0" fillId="0" borderId="68" xfId="0" applyNumberFormat="1" applyFont="1" applyBorder="1" applyAlignment="1" applyProtection="1">
      <alignment horizontal="right" vertical="center"/>
      <protection hidden="1"/>
    </xf>
    <xf numFmtId="3" fontId="0" fillId="4" borderId="59" xfId="0" applyNumberFormat="1" applyFont="1" applyFill="1" applyBorder="1" applyAlignment="1" applyProtection="1">
      <alignment horizontal="right" vertical="center"/>
      <protection locked="0"/>
    </xf>
    <xf numFmtId="3" fontId="0" fillId="4" borderId="60" xfId="0" applyNumberFormat="1" applyFont="1" applyFill="1" applyBorder="1" applyAlignment="1" applyProtection="1">
      <alignment horizontal="right" vertical="center"/>
      <protection locked="0"/>
    </xf>
    <xf numFmtId="3" fontId="0" fillId="0" borderId="59" xfId="0" applyNumberFormat="1" applyFont="1" applyBorder="1" applyAlignment="1" applyProtection="1">
      <alignment horizontal="right" vertical="center"/>
      <protection locked="0"/>
    </xf>
    <xf numFmtId="3" fontId="0" fillId="0" borderId="60" xfId="0" applyNumberFormat="1" applyFont="1" applyBorder="1" applyAlignment="1" applyProtection="1">
      <alignment horizontal="right" vertical="center"/>
      <protection locked="0"/>
    </xf>
    <xf numFmtId="3" fontId="0" fillId="0" borderId="59" xfId="0" applyNumberFormat="1" applyFont="1" applyFill="1" applyBorder="1" applyAlignment="1" applyProtection="1">
      <alignment horizontal="right" vertical="center"/>
      <protection hidden="1"/>
    </xf>
    <xf numFmtId="3" fontId="0" fillId="0" borderId="60" xfId="0" applyNumberFormat="1" applyFont="1" applyFill="1" applyBorder="1" applyAlignment="1" applyProtection="1">
      <alignment horizontal="right" vertical="center"/>
      <protection hidden="1"/>
    </xf>
    <xf numFmtId="3" fontId="0" fillId="0" borderId="59" xfId="0" applyNumberFormat="1" applyFont="1" applyFill="1" applyBorder="1" applyAlignment="1" applyProtection="1">
      <alignment horizontal="right" vertical="center"/>
      <protection locked="0"/>
    </xf>
    <xf numFmtId="3" fontId="0" fillId="0" borderId="60" xfId="0" applyNumberFormat="1" applyFont="1" applyFill="1" applyBorder="1" applyAlignment="1" applyProtection="1">
      <alignment horizontal="right" vertical="center"/>
      <protection locked="0"/>
    </xf>
    <xf numFmtId="0" fontId="0" fillId="4" borderId="59" xfId="0" applyNumberFormat="1" applyFont="1" applyFill="1" applyBorder="1" applyAlignment="1" applyProtection="1">
      <alignment horizontal="right" vertical="center"/>
      <protection locked="0"/>
    </xf>
    <xf numFmtId="0" fontId="0" fillId="4" borderId="60" xfId="0" applyNumberFormat="1" applyFont="1" applyFill="1" applyBorder="1" applyAlignment="1" applyProtection="1">
      <alignment horizontal="right" vertical="center"/>
      <protection locked="0"/>
    </xf>
    <xf numFmtId="0" fontId="0" fillId="0" borderId="59" xfId="0" applyNumberFormat="1" applyFont="1" applyFill="1" applyBorder="1" applyAlignment="1" applyProtection="1">
      <alignment horizontal="right" vertical="center"/>
      <protection locked="0"/>
    </xf>
    <xf numFmtId="0" fontId="0" fillId="0" borderId="60" xfId="0" applyNumberFormat="1" applyFont="1" applyFill="1" applyBorder="1" applyAlignment="1" applyProtection="1">
      <alignment horizontal="right" vertical="center"/>
      <protection locked="0"/>
    </xf>
    <xf numFmtId="0" fontId="0" fillId="0" borderId="62" xfId="0" applyNumberFormat="1" applyFont="1" applyFill="1" applyBorder="1" applyAlignment="1" applyProtection="1">
      <alignment horizontal="right" vertical="center"/>
      <protection locked="0"/>
    </xf>
    <xf numFmtId="0" fontId="0" fillId="0" borderId="69" xfId="0" applyNumberFormat="1" applyFont="1" applyFill="1" applyBorder="1" applyAlignment="1" applyProtection="1">
      <alignment horizontal="right" vertical="center"/>
      <protection locked="0"/>
    </xf>
    <xf numFmtId="3" fontId="4" fillId="0" borderId="59" xfId="0" applyNumberFormat="1" applyFont="1" applyBorder="1" applyAlignment="1" applyProtection="1">
      <alignment horizontal="right" vertical="center"/>
    </xf>
    <xf numFmtId="3" fontId="4" fillId="0" borderId="60" xfId="0" applyNumberFormat="1" applyFont="1" applyBorder="1" applyAlignment="1" applyProtection="1">
      <alignment horizontal="right" vertical="center"/>
    </xf>
    <xf numFmtId="3" fontId="4" fillId="0" borderId="59" xfId="0" applyNumberFormat="1" applyFont="1" applyFill="1" applyBorder="1" applyAlignment="1" applyProtection="1">
      <alignment horizontal="right" vertical="center"/>
      <protection locked="0"/>
    </xf>
    <xf numFmtId="3" fontId="4" fillId="0" borderId="60" xfId="0" applyNumberFormat="1" applyFont="1" applyFill="1" applyBorder="1" applyAlignment="1" applyProtection="1">
      <alignment horizontal="right" vertical="center"/>
      <protection locked="0"/>
    </xf>
    <xf numFmtId="3" fontId="0" fillId="4" borderId="59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60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59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60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59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60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62" xfId="0" applyNumberFormat="1" applyFont="1" applyBorder="1" applyAlignment="1" applyProtection="1">
      <alignment horizontal="right" vertical="center"/>
    </xf>
    <xf numFmtId="3" fontId="4" fillId="0" borderId="69" xfId="0" applyNumberFormat="1" applyFont="1" applyBorder="1" applyAlignment="1" applyProtection="1">
      <alignment horizontal="right" vertical="center"/>
    </xf>
    <xf numFmtId="3" fontId="4" fillId="4" borderId="59" xfId="0" applyNumberFormat="1" applyFont="1" applyFill="1" applyBorder="1" applyAlignment="1" applyProtection="1">
      <alignment horizontal="right" vertical="center"/>
    </xf>
    <xf numFmtId="3" fontId="4" fillId="4" borderId="60" xfId="0" applyNumberFormat="1" applyFont="1" applyFill="1" applyBorder="1" applyAlignment="1" applyProtection="1">
      <alignment horizontal="right" vertical="center"/>
    </xf>
    <xf numFmtId="0" fontId="19" fillId="0" borderId="0" xfId="0" applyFont="1" applyFill="1" applyAlignment="1" applyProtection="1">
      <alignment horizontal="center" vertical="center"/>
      <protection hidden="1"/>
    </xf>
    <xf numFmtId="0" fontId="15" fillId="9" borderId="4" xfId="8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15" fillId="9" borderId="33" xfId="6" applyBorder="1" applyAlignment="1">
      <alignment horizontal="right" vertical="center" indent="1"/>
      <protection locked="0"/>
    </xf>
    <xf numFmtId="0" fontId="15" fillId="9" borderId="34" xfId="6" applyBorder="1" applyAlignment="1">
      <alignment horizontal="right" vertical="center" indent="1"/>
      <protection locked="0"/>
    </xf>
    <xf numFmtId="0" fontId="22" fillId="9" borderId="4" xfId="8" applyFont="1">
      <alignment horizontal="left" vertical="center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33" xfId="6" applyFont="1" applyBorder="1" applyAlignment="1">
      <alignment horizontal="right" vertical="center" indent="1"/>
      <protection locked="0"/>
    </xf>
    <xf numFmtId="0" fontId="21" fillId="9" borderId="34" xfId="6" applyFont="1" applyBorder="1" applyAlignment="1">
      <alignment horizontal="right" vertical="center" indent="1"/>
      <protection locked="0"/>
    </xf>
    <xf numFmtId="0" fontId="21" fillId="9" borderId="39" xfId="6" applyFont="1" applyBorder="1" applyAlignment="1">
      <alignment horizontal="center" vertical="center"/>
      <protection locked="0"/>
    </xf>
    <xf numFmtId="0" fontId="21" fillId="9" borderId="40" xfId="6" applyFont="1" applyBorder="1" applyAlignment="1">
      <alignment horizontal="center" vertical="center"/>
      <protection locked="0"/>
    </xf>
    <xf numFmtId="0" fontId="21" fillId="9" borderId="41" xfId="6" applyFont="1" applyBorder="1" applyAlignment="1">
      <alignment horizontal="center" vertical="center"/>
      <protection locked="0"/>
    </xf>
    <xf numFmtId="0" fontId="21" fillId="0" borderId="4" xfId="6" applyFont="1" applyFill="1" applyBorder="1" applyAlignment="1" applyProtection="1">
      <alignment horizontal="center" vertical="center"/>
      <protection hidden="1"/>
    </xf>
    <xf numFmtId="0" fontId="15" fillId="9" borderId="4" xfId="8" applyBorder="1">
      <alignment horizontal="left" vertical="center"/>
      <protection locked="0"/>
    </xf>
    <xf numFmtId="0" fontId="15" fillId="9" borderId="22" xfId="6" applyBorder="1" applyAlignment="1">
      <alignment horizontal="right" vertical="center" indent="1"/>
      <protection locked="0"/>
    </xf>
    <xf numFmtId="0" fontId="15" fillId="0" borderId="4" xfId="8" quotePrefix="1" applyFill="1" applyAlignment="1" applyProtection="1">
      <alignment horizontal="left" vertical="center" indent="1"/>
      <protection hidden="1"/>
    </xf>
    <xf numFmtId="0" fontId="4" fillId="6" borderId="22" xfId="0" applyFont="1" applyFill="1" applyBorder="1" applyAlignment="1" applyProtection="1">
      <alignment horizontal="left" vertical="center"/>
      <protection hidden="1"/>
    </xf>
    <xf numFmtId="0" fontId="4" fillId="6" borderId="38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0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6" fillId="3" borderId="44" xfId="0" applyFont="1" applyFill="1" applyBorder="1" applyAlignment="1" applyProtection="1">
      <alignment horizontal="center" vertical="center" wrapText="1"/>
      <protection hidden="1"/>
    </xf>
    <xf numFmtId="0" fontId="16" fillId="3" borderId="45" xfId="0" applyFont="1" applyFill="1" applyBorder="1" applyAlignment="1" applyProtection="1">
      <alignment horizontal="center" vertical="center" wrapText="1"/>
      <protection hidden="1"/>
    </xf>
    <xf numFmtId="0" fontId="16" fillId="3" borderId="46" xfId="0" applyFont="1" applyFill="1" applyBorder="1" applyAlignment="1" applyProtection="1">
      <alignment horizontal="center" vertical="center" wrapText="1"/>
      <protection hidden="1"/>
    </xf>
    <xf numFmtId="0" fontId="16" fillId="3" borderId="48" xfId="0" applyFont="1" applyFill="1" applyBorder="1" applyAlignment="1" applyProtection="1">
      <alignment horizontal="center" vertical="center" wrapText="1"/>
      <protection hidden="1"/>
    </xf>
    <xf numFmtId="0" fontId="16" fillId="3" borderId="18" xfId="0" applyFont="1" applyFill="1" applyBorder="1" applyAlignment="1" applyProtection="1">
      <alignment horizontal="center"/>
      <protection hidden="1"/>
    </xf>
    <xf numFmtId="0" fontId="16" fillId="3" borderId="19" xfId="0" applyFont="1" applyFill="1" applyBorder="1" applyAlignment="1" applyProtection="1">
      <alignment horizontal="center"/>
      <protection hidden="1"/>
    </xf>
    <xf numFmtId="0" fontId="16" fillId="3" borderId="54" xfId="0" applyFont="1" applyFill="1" applyBorder="1" applyAlignment="1" applyProtection="1">
      <alignment horizontal="center" vertical="center" wrapText="1"/>
      <protection hidden="1"/>
    </xf>
    <xf numFmtId="0" fontId="16" fillId="3" borderId="35" xfId="0" applyFont="1" applyFill="1" applyBorder="1" applyAlignment="1" applyProtection="1">
      <alignment horizontal="center" vertical="center" wrapText="1"/>
      <protection hidden="1"/>
    </xf>
    <xf numFmtId="0" fontId="16" fillId="3" borderId="29" xfId="0" applyFont="1" applyFill="1" applyBorder="1" applyAlignment="1" applyProtection="1">
      <alignment horizontal="center" vertical="center" wrapText="1"/>
      <protection hidden="1"/>
    </xf>
    <xf numFmtId="0" fontId="16" fillId="3" borderId="51" xfId="0" applyFont="1" applyFill="1" applyBorder="1" applyAlignment="1" applyProtection="1">
      <alignment horizontal="center" vertical="center" wrapText="1"/>
      <protection hidden="1"/>
    </xf>
    <xf numFmtId="0" fontId="16" fillId="3" borderId="52" xfId="0" applyFont="1" applyFill="1" applyBorder="1" applyAlignment="1" applyProtection="1">
      <alignment horizontal="center" vertical="center" wrapText="1"/>
      <protection hidden="1"/>
    </xf>
    <xf numFmtId="0" fontId="16" fillId="3" borderId="53" xfId="0" applyFont="1" applyFill="1" applyBorder="1" applyAlignment="1" applyProtection="1">
      <alignment horizontal="center" vertical="center" wrapText="1"/>
      <protection hidden="1"/>
    </xf>
    <xf numFmtId="0" fontId="16" fillId="3" borderId="49" xfId="0" applyFont="1" applyFill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42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42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6" fillId="3" borderId="44" xfId="0" applyFont="1" applyFill="1" applyBorder="1" applyAlignment="1" applyProtection="1">
      <alignment horizontal="center" vertical="center"/>
      <protection hidden="1"/>
    </xf>
    <xf numFmtId="0" fontId="16" fillId="3" borderId="36" xfId="0" applyFont="1" applyFill="1" applyBorder="1" applyAlignment="1" applyProtection="1">
      <alignment horizontal="center" vertical="center"/>
      <protection hidden="1"/>
    </xf>
    <xf numFmtId="0" fontId="16" fillId="3" borderId="45" xfId="0" applyFont="1" applyFill="1" applyBorder="1" applyAlignment="1" applyProtection="1">
      <alignment horizontal="center" vertical="center"/>
      <protection hidden="1"/>
    </xf>
    <xf numFmtId="0" fontId="16" fillId="3" borderId="46" xfId="0" applyFont="1" applyFill="1" applyBorder="1" applyAlignment="1" applyProtection="1">
      <alignment horizontal="center" vertical="center"/>
      <protection hidden="1"/>
    </xf>
    <xf numFmtId="0" fontId="16" fillId="3" borderId="47" xfId="0" applyFont="1" applyFill="1" applyBorder="1" applyAlignment="1" applyProtection="1">
      <alignment horizontal="center" vertical="center"/>
      <protection hidden="1"/>
    </xf>
    <xf numFmtId="0" fontId="16" fillId="3" borderId="48" xfId="0" applyFont="1" applyFill="1" applyBorder="1" applyAlignment="1" applyProtection="1">
      <alignment horizontal="center" vertical="center"/>
      <protection hidden="1"/>
    </xf>
    <xf numFmtId="0" fontId="16" fillId="3" borderId="43" xfId="0" applyFont="1" applyFill="1" applyBorder="1" applyAlignment="1" applyProtection="1">
      <alignment horizontal="center"/>
      <protection hidden="1"/>
    </xf>
    <xf numFmtId="0" fontId="5" fillId="4" borderId="16" xfId="0" applyFont="1" applyFill="1" applyBorder="1" applyAlignment="1" applyProtection="1">
      <alignment horizontal="left" vertical="center" wrapText="1"/>
      <protection hidden="1"/>
    </xf>
    <xf numFmtId="0" fontId="5" fillId="4" borderId="42" xfId="0" applyFont="1" applyFill="1" applyBorder="1" applyAlignment="1" applyProtection="1">
      <alignment horizontal="left" vertical="center" wrapText="1"/>
      <protection hidden="1"/>
    </xf>
    <xf numFmtId="0" fontId="5" fillId="4" borderId="17" xfId="0" applyFont="1" applyFill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42" xfId="0" applyFont="1" applyBorder="1" applyAlignment="1" applyProtection="1">
      <alignment horizontal="left" vertical="center" wrapText="1"/>
      <protection hidden="1"/>
    </xf>
    <xf numFmtId="0" fontId="5" fillId="0" borderId="17" xfId="0" applyFont="1" applyBorder="1" applyAlignment="1" applyProtection="1">
      <alignment horizontal="left" vertical="center" wrapText="1"/>
      <protection hidden="1"/>
    </xf>
    <xf numFmtId="0" fontId="4" fillId="0" borderId="18" xfId="0" applyFont="1" applyBorder="1" applyAlignment="1" applyProtection="1">
      <alignment horizontal="left" vertical="center" wrapText="1"/>
      <protection hidden="1"/>
    </xf>
    <xf numFmtId="0" fontId="4" fillId="0" borderId="43" xfId="0" applyFont="1" applyBorder="1" applyAlignment="1" applyProtection="1">
      <alignment horizontal="left" vertical="center" wrapText="1"/>
      <protection hidden="1"/>
    </xf>
    <xf numFmtId="0" fontId="4" fillId="0" borderId="19" xfId="0" applyFont="1" applyBorder="1" applyAlignment="1" applyProtection="1">
      <alignment horizontal="left" vertical="center" wrapText="1"/>
      <protection hidden="1"/>
    </xf>
    <xf numFmtId="0" fontId="4" fillId="6" borderId="22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6" fillId="13" borderId="44" xfId="0" applyFont="1" applyFill="1" applyBorder="1" applyAlignment="1" applyProtection="1">
      <alignment horizontal="center" vertical="center"/>
      <protection hidden="1"/>
    </xf>
    <xf numFmtId="0" fontId="16" fillId="13" borderId="36" xfId="0" applyFont="1" applyFill="1" applyBorder="1" applyAlignment="1" applyProtection="1">
      <alignment horizontal="center" vertical="center"/>
      <protection hidden="1"/>
    </xf>
    <xf numFmtId="0" fontId="16" fillId="13" borderId="45" xfId="0" applyFont="1" applyFill="1" applyBorder="1" applyAlignment="1" applyProtection="1">
      <alignment horizontal="center" vertical="center"/>
      <protection hidden="1"/>
    </xf>
    <xf numFmtId="0" fontId="16" fillId="13" borderId="46" xfId="0" applyFont="1" applyFill="1" applyBorder="1" applyAlignment="1" applyProtection="1">
      <alignment horizontal="center" vertical="center"/>
      <protection hidden="1"/>
    </xf>
    <xf numFmtId="0" fontId="16" fillId="13" borderId="47" xfId="0" applyFont="1" applyFill="1" applyBorder="1" applyAlignment="1" applyProtection="1">
      <alignment horizontal="center" vertical="center"/>
      <protection hidden="1"/>
    </xf>
    <xf numFmtId="0" fontId="16" fillId="13" borderId="48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6" fillId="3" borderId="30" xfId="0" applyFont="1" applyFill="1" applyBorder="1" applyAlignment="1" applyProtection="1">
      <alignment horizontal="center" vertical="center" wrapText="1"/>
      <protection hidden="1"/>
    </xf>
    <xf numFmtId="0" fontId="16" fillId="3" borderId="29" xfId="0" applyFont="1" applyFill="1" applyBorder="1" applyAlignment="1" applyProtection="1">
      <alignment horizontal="center" vertical="center"/>
      <protection hidden="1"/>
    </xf>
    <xf numFmtId="49" fontId="4" fillId="0" borderId="4" xfId="9" applyFont="1" applyAlignment="1">
      <alignment horizontal="left"/>
      <protection hidden="1"/>
    </xf>
    <xf numFmtId="0" fontId="4" fillId="4" borderId="18" xfId="0" applyFont="1" applyFill="1" applyBorder="1" applyAlignment="1" applyProtection="1">
      <alignment horizontal="left" vertical="center" wrapText="1"/>
      <protection hidden="1"/>
    </xf>
    <xf numFmtId="0" fontId="4" fillId="4" borderId="43" xfId="0" applyFont="1" applyFill="1" applyBorder="1" applyAlignment="1" applyProtection="1">
      <alignment horizontal="left" vertical="center" wrapText="1"/>
      <protection hidden="1"/>
    </xf>
    <xf numFmtId="0" fontId="4" fillId="4" borderId="19" xfId="0" applyFont="1" applyFill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0" fillId="0" borderId="62" xfId="0" applyFont="1" applyBorder="1" applyAlignment="1" applyProtection="1">
      <alignment horizontal="left" vertical="center" wrapText="1"/>
      <protection hidden="1"/>
    </xf>
    <xf numFmtId="0" fontId="16" fillId="3" borderId="81" xfId="0" applyFont="1" applyFill="1" applyBorder="1" applyAlignment="1" applyProtection="1">
      <alignment horizontal="center" vertical="center" wrapText="1"/>
      <protection hidden="1"/>
    </xf>
    <xf numFmtId="0" fontId="16" fillId="3" borderId="56" xfId="0" applyFont="1" applyFill="1" applyBorder="1" applyAlignment="1" applyProtection="1">
      <alignment horizontal="center" vertical="center" wrapText="1"/>
      <protection hidden="1"/>
    </xf>
    <xf numFmtId="0" fontId="16" fillId="3" borderId="81" xfId="0" applyFont="1" applyFill="1" applyBorder="1" applyAlignment="1" applyProtection="1">
      <alignment horizontal="center" vertical="center"/>
      <protection hidden="1"/>
    </xf>
    <xf numFmtId="0" fontId="16" fillId="3" borderId="84" xfId="0" applyFont="1" applyFill="1" applyBorder="1" applyAlignment="1" applyProtection="1">
      <alignment horizontal="center" vertical="center"/>
      <protection hidden="1"/>
    </xf>
    <xf numFmtId="0" fontId="0" fillId="4" borderId="59" xfId="0" applyFont="1" applyFill="1" applyBorder="1" applyAlignment="1" applyProtection="1">
      <alignment horizontal="left" vertical="center" wrapText="1"/>
      <protection hidden="1"/>
    </xf>
    <xf numFmtId="0" fontId="0" fillId="0" borderId="59" xfId="0" applyFont="1" applyBorder="1" applyAlignment="1" applyProtection="1">
      <alignment horizontal="left" vertical="center" wrapText="1"/>
      <protection hidden="1"/>
    </xf>
    <xf numFmtId="0" fontId="4" fillId="0" borderId="59" xfId="0" applyFont="1" applyBorder="1" applyAlignment="1" applyProtection="1">
      <alignment horizontal="left" vertical="center" wrapText="1"/>
      <protection hidden="1"/>
    </xf>
    <xf numFmtId="0" fontId="4" fillId="4" borderId="59" xfId="0" applyFont="1" applyFill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6" fillId="3" borderId="82" xfId="0" applyFont="1" applyFill="1" applyBorder="1" applyAlignment="1" applyProtection="1">
      <alignment horizontal="center" vertical="center" wrapText="1"/>
      <protection hidden="1"/>
    </xf>
    <xf numFmtId="0" fontId="16" fillId="3" borderId="83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6" fillId="3" borderId="56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6" fillId="3" borderId="64" xfId="0" applyFont="1" applyFill="1" applyBorder="1" applyAlignment="1" applyProtection="1">
      <alignment horizontal="center"/>
      <protection hidden="1"/>
    </xf>
    <xf numFmtId="0" fontId="4" fillId="0" borderId="67" xfId="0" applyFont="1" applyBorder="1" applyAlignment="1" applyProtection="1">
      <alignment horizontal="left" vertical="center" wrapText="1"/>
      <protection hidden="1"/>
    </xf>
    <xf numFmtId="0" fontId="4" fillId="4" borderId="67" xfId="0" applyFont="1" applyFill="1" applyBorder="1" applyAlignment="1" applyProtection="1">
      <alignment horizontal="left" vertical="center" wrapText="1"/>
      <protection hidden="1"/>
    </xf>
    <xf numFmtId="0" fontId="4" fillId="0" borderId="59" xfId="0" applyFont="1" applyFill="1" applyBorder="1" applyAlignment="1" applyProtection="1">
      <alignment horizontal="left" vertical="center" wrapText="1"/>
      <protection hidden="1"/>
    </xf>
    <xf numFmtId="0" fontId="0" fillId="0" borderId="59" xfId="0" applyFont="1" applyFill="1" applyBorder="1" applyAlignment="1" applyProtection="1">
      <alignment horizontal="left" vertical="center" wrapText="1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4" fillId="0" borderId="62" xfId="0" applyFont="1" applyFill="1" applyBorder="1" applyAlignment="1" applyProtection="1">
      <alignment horizontal="left" vertical="center" wrapText="1"/>
      <protection hidden="1"/>
    </xf>
    <xf numFmtId="0" fontId="4" fillId="0" borderId="62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10" fillId="4" borderId="59" xfId="0" applyFont="1" applyFill="1" applyBorder="1" applyAlignment="1" applyProtection="1">
      <alignment horizontal="left" vertical="center" wrapText="1"/>
      <protection hidden="1"/>
    </xf>
    <xf numFmtId="0" fontId="10" fillId="4" borderId="62" xfId="0" applyFont="1" applyFill="1" applyBorder="1" applyAlignment="1" applyProtection="1">
      <alignment horizontal="left" vertical="center" wrapText="1"/>
      <protection hidden="1"/>
    </xf>
    <xf numFmtId="0" fontId="10" fillId="0" borderId="59" xfId="0" applyFont="1" applyBorder="1" applyAlignment="1" applyProtection="1">
      <alignment horizontal="left" vertical="center" wrapText="1"/>
      <protection hidden="1"/>
    </xf>
    <xf numFmtId="0" fontId="10" fillId="0" borderId="85" xfId="0" applyFont="1" applyBorder="1" applyAlignment="1" applyProtection="1">
      <alignment horizontal="left" vertical="center" wrapText="1"/>
      <protection hidden="1"/>
    </xf>
    <xf numFmtId="0" fontId="10" fillId="0" borderId="86" xfId="0" applyFont="1" applyBorder="1" applyAlignment="1" applyProtection="1">
      <alignment horizontal="left" vertical="center" wrapText="1"/>
      <protection hidden="1"/>
    </xf>
    <xf numFmtId="0" fontId="10" fillId="0" borderId="87" xfId="0" applyFont="1" applyBorder="1" applyAlignment="1" applyProtection="1">
      <alignment horizontal="left" vertical="center" wrapText="1"/>
      <protection hidden="1"/>
    </xf>
    <xf numFmtId="0" fontId="9" fillId="0" borderId="59" xfId="0" applyFont="1" applyBorder="1" applyAlignment="1" applyProtection="1">
      <alignment horizontal="left" vertical="center" wrapText="1"/>
      <protection hidden="1"/>
    </xf>
    <xf numFmtId="0" fontId="9" fillId="0" borderId="67" xfId="0" applyFont="1" applyBorder="1" applyAlignment="1" applyProtection="1">
      <alignment horizontal="left" vertical="center" wrapText="1"/>
      <protection hidden="1"/>
    </xf>
    <xf numFmtId="0" fontId="9" fillId="4" borderId="59" xfId="0" applyFont="1" applyFill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6" fillId="3" borderId="28" xfId="0" applyFont="1" applyFill="1" applyBorder="1" applyAlignment="1" applyProtection="1">
      <alignment horizontal="center" vertical="center"/>
      <protection hidden="1"/>
    </xf>
    <xf numFmtId="0" fontId="16" fillId="3" borderId="27" xfId="0" applyFont="1" applyFill="1" applyBorder="1" applyAlignment="1" applyProtection="1">
      <alignment horizontal="center" vertical="center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/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/m/yyyy"/>
    </dxf>
    <dxf>
      <numFmt numFmtId="19" formatCode="d/m/yyyy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30" formatCode="@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color rgb="FFFF0000"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438150</xdr:colOff>
      <xdr:row>3</xdr:row>
      <xdr:rowOff>152400</xdr:rowOff>
    </xdr:to>
    <xdr:grpSp>
      <xdr:nvGrpSpPr>
        <xdr:cNvPr id="97430" name="Okvir Navigacija"/>
        <xdr:cNvGrpSpPr>
          <a:grpSpLocks/>
        </xdr:cNvGrpSpPr>
      </xdr:nvGrpSpPr>
      <xdr:grpSpPr bwMode="auto">
        <a:xfrm>
          <a:off x="380996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BC1DE3C-A2DF-4629-AEB9-BB7BB2DD32E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1244594-1651-4880-AF94-1469241B224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CE498C-3BA0-49DF-88F4-14BB07A500C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9CFBAB1-A78D-4001-95B9-F70C7940AD0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4995A9-E8C6-4F40-91D7-217E4743612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64C7CFD-A726-4D79-8C93-339821706FE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17FEDED-61A3-4C2A-BF7E-CBB11F26457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5D314B7-EE88-448A-A45C-3B0C349FFA6D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96411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4A0AF4E-9CC0-48B2-883F-7EBD17C25335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DEF9CB7-BDAD-46BA-831A-ECE3B6E33E46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F74CB44-B915-429F-AF56-0B111C5B79E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AFD6967-E06A-493D-9291-A29F523DBB6A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0ECBD0B-99F1-40BE-AB4B-25D286C924B9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0C1AD9C-3247-48CC-98EA-0913CF05667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2D76804-A749-4AD3-AE38-F9FCCCD87491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E45FD0C-52F9-4153-90BB-E514CC5E4E36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10</xdr:col>
      <xdr:colOff>209550</xdr:colOff>
      <xdr:row>3</xdr:row>
      <xdr:rowOff>152400</xdr:rowOff>
    </xdr:to>
    <xdr:grpSp>
      <xdr:nvGrpSpPr>
        <xdr:cNvPr id="98454" name="Okvir Navigacija"/>
        <xdr:cNvGrpSpPr>
          <a:grpSpLocks/>
        </xdr:cNvGrpSpPr>
      </xdr:nvGrpSpPr>
      <xdr:grpSpPr bwMode="auto">
        <a:xfrm>
          <a:off x="381000" y="47625"/>
          <a:ext cx="7358903" cy="575422"/>
          <a:chOff x="7343779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9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713325C-FFDE-4468-81D5-CB1F5C26E38B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9043AB-CB52-47FD-9137-CD50512CCDC0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8D9D6DC-908E-4941-ACA0-EE8D64051538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AFD-7E95-4D8C-A7AF-2E6BB6FFCBE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37C8317-22B6-411E-BD76-6A531AFA1E37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071B2AB-18B5-4F27-84EA-52CC22E1A9A5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06AC0D3-8078-4F89-A056-C0EFFE979603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F7B99D9-2B0E-467F-9DAF-1612A396266A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10</xdr:col>
      <xdr:colOff>209550</xdr:colOff>
      <xdr:row>3</xdr:row>
      <xdr:rowOff>152400</xdr:rowOff>
    </xdr:to>
    <xdr:grpSp>
      <xdr:nvGrpSpPr>
        <xdr:cNvPr id="9947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8584899-5CE7-4892-9839-0DF2E25116CF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9BFD663-479B-4CD3-8FFF-0FA9E2FAC39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9EF31E-AD09-4D32-9B37-028362FCFDE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89F644-F796-48BC-9724-1CA8C7F63DAA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16D3B2-A485-4711-8DE9-569A67DE368D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1548BB0-A893-4203-ABCF-9633DC76CFB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F3780C0-9AF2-4511-AC1A-5FF59C0D2972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34F65F-FCDE-4114-B33E-9D7C4BA994FC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10</xdr:col>
      <xdr:colOff>209550</xdr:colOff>
      <xdr:row>3</xdr:row>
      <xdr:rowOff>152400</xdr:rowOff>
    </xdr:to>
    <xdr:grpSp>
      <xdr:nvGrpSpPr>
        <xdr:cNvPr id="100502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8EDC324-C3B8-457B-838F-52ACE17C98F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37DC83-FAEC-4CCD-9772-D8191A2D49A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011425F-493C-4EC3-BEA9-51097DCFA498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BD6E62D-521F-4405-91C5-E8D424AC7E2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5184566-1DC8-474A-8CDF-966BFF8944FF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58317FF-1D66-4BB9-9E0A-FE7622A04353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E7A31FC-CA69-4804-9B50-9877785E049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33263B7-D072-430E-A2F0-F33C9941B8BA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10</xdr:col>
      <xdr:colOff>209550</xdr:colOff>
      <xdr:row>3</xdr:row>
      <xdr:rowOff>152400</xdr:rowOff>
    </xdr:to>
    <xdr:grpSp>
      <xdr:nvGrpSpPr>
        <xdr:cNvPr id="10152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6649805-13CC-4D16-AB71-CF350EB4EEE2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1CA9A30-7350-4205-AA42-20205FFDBF51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96B5FB7-831B-4C8B-AADF-BDB4A871763C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3791E77-B1EE-4B78-97F3-2153EF74CC1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16A08DD-8A52-4FE4-819B-FACBF99ECA69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30069B6-06B7-4549-8D1F-A58034B133B9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942C743-C761-4590-B9E4-FE29570D98A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C91A174-53A0-41FA-AC3D-FC3C4B70E9F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10</xdr:col>
      <xdr:colOff>209550</xdr:colOff>
      <xdr:row>3</xdr:row>
      <xdr:rowOff>152400</xdr:rowOff>
    </xdr:to>
    <xdr:grpSp>
      <xdr:nvGrpSpPr>
        <xdr:cNvPr id="102551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8664825-3D00-4CC4-96A6-A030F3AD7B8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FFCF788-DD34-46FB-921A-01F5AB15018E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523244A-8E2F-4002-8A74-6E74A6DAEE76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D47E3C-08D2-460A-A564-326ACBA1EAF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FACC6B-272D-492C-BC7D-B8581AD472FD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77E200-0F20-41C9-84E9-40E307C2ECC3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46743A2-A4E6-4497-92D8-C74FE6712A2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CB600F4-0153-4F00-B685-422A3D2EB4A6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723900</xdr:colOff>
      <xdr:row>3</xdr:row>
      <xdr:rowOff>152400</xdr:rowOff>
    </xdr:to>
    <xdr:grpSp>
      <xdr:nvGrpSpPr>
        <xdr:cNvPr id="103574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en-US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AE5B5A-5E2C-494E-A556-BB0D5355BAF0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A19FDEB-914A-4800-9E2A-CD5725D60106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2A31BB2-232B-44A7-86BF-F6BD4FC679A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E82A0FB-3201-4EF5-882D-BB2B8627ACDF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0496AD4-B0A5-4D5D-8EDF-C3A2982B4927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C0B6C87-763B-4F73-8654-3C23BDB6DBD0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DC81AC-37CD-4B76-A8FE-3391707AB6A3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4275105-C23F-47F8-B803-91794997968B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7" totalsRowShown="0" headerRowDxfId="63" headerRowCellStyle="Normal" dataCellStyle="Normal">
  <autoFilter ref="A1:H97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2" dataCellStyle="Normal">
      <calculatedColumnFormula>CHOOSE( ID_Jezik, C2, D2, E2)</calculatedColumnFormula>
    </tableColumn>
    <tableColumn id="7" name="Kolona za pravljenje imena" dataDxfId="61" dataCellStyle="Normal">
      <calculatedColumnFormula>SUBSTITUTE(A2&amp;"_"&amp;B2," ","_")</calculatedColumnFormula>
    </tableColumn>
    <tableColumn id="8" name="Kontrola broj" dataDxfId="60" dataCellStyle="Normal">
      <calculatedColumnFormula>COUNTIF($B$2:$B$1023,"="&amp;B2)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L403" totalsRowShown="0" headerRowDxfId="57">
  <autoFilter ref="A1:L403"/>
  <tableColumns count="12">
    <tableColumn id="1" name="Id" dataDxfId="56">
      <calculatedColumnFormula>ROW()-ROW($A$1)</calculatedColumnFormula>
    </tableColumn>
    <tableColumn id="10" name="Bilans"/>
    <tableColumn id="2" name="Aop nivo" dataDxfId="55"/>
    <tableColumn id="4" name="AOP" dataDxfId="54"/>
    <tableColumn id="14" name="Grupa Prikaz" dataDxfId="53">
      <calculatedColumnFormula>VLOOKUP($A2,$A$2:$L$403,ID_Jezik+9,1)</calculatedColumnFormula>
    </tableColumn>
    <tableColumn id="7" name="Pozicija Prikaz" dataDxfId="52">
      <calculatedColumnFormula>REPT("  ",Aop!$C2)&amp;VLOOKUP($A2,$A$2:$L$403,ID_Jezik+6,1)</calculatedColumnFormula>
    </tableColumn>
    <tableColumn id="5" name="Pozicija Srpski - latinica"/>
    <tableColumn id="9" name="Pozicija Srpski - cirilica"/>
    <tableColumn id="6" name="Pozicija Engleski"/>
    <tableColumn id="11" name="Grupa Srpski - latinica" dataDxfId="51"/>
    <tableColumn id="12" name="Grupa Srpski - cirilica" dataDxfId="50"/>
    <tableColumn id="13" name="Grupa Engleski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66" totalsRowShown="0" headerRowDxfId="39" dataDxfId="37" headerRowBorderDxfId="38" tableBorderDxfId="36" totalsRowBorderDxfId="35" headerRowCellStyle="Normal" dataCellStyle="Normal">
  <autoFilter ref="A1:M366"/>
  <tableColumns count="13">
    <tableColumn id="1" name="Id" dataDxfId="34" dataCellStyle="Normal"/>
    <tableColumn id="2" name="Bilans" dataDxfId="33" dataCellStyle="Normal"/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/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/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/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omments" Target="../comments2.xml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R46"/>
  <sheetViews>
    <sheetView showGridLines="0" showRowColHeaders="0" zoomScaleNormal="100" workbookViewId="0">
      <pane ySplit="4" topLeftCell="A11" activePane="bottomLeft" state="frozen"/>
      <selection activeCell="B5" sqref="B5:R5"/>
      <selection pane="bottomLeft" activeCell="B5" sqref="B5:R5"/>
    </sheetView>
  </sheetViews>
  <sheetFormatPr defaultColWidth="0" defaultRowHeight="12.75" zeroHeight="1" x14ac:dyDescent="0.2"/>
  <cols>
    <col min="1" max="1" width="5.7109375" style="8" customWidth="1"/>
    <col min="2" max="18" width="9.42578125" style="8" customWidth="1"/>
    <col min="19" max="19" width="5.7109375" style="8" customWidth="1"/>
    <col min="20" max="16384" width="0" style="8" hidden="1"/>
  </cols>
  <sheetData>
    <row r="1" spans="2:18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spans="2:18" x14ac:dyDescent="0.2"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spans="2:18" x14ac:dyDescent="0.2"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</row>
    <row r="4" spans="2:18" x14ac:dyDescent="0.2"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</row>
    <row r="5" spans="2:18" ht="18.75" x14ac:dyDescent="0.2">
      <c r="B5" s="354" t="s">
        <v>588</v>
      </c>
      <c r="C5" s="354"/>
      <c r="D5" s="354"/>
      <c r="E5" s="354"/>
      <c r="F5" s="354"/>
      <c r="G5" s="354"/>
      <c r="H5" s="354"/>
      <c r="I5" s="354"/>
      <c r="J5" s="354"/>
      <c r="K5" s="354"/>
      <c r="L5" s="354"/>
      <c r="M5" s="354"/>
      <c r="N5" s="354"/>
      <c r="O5" s="354"/>
      <c r="P5" s="354"/>
      <c r="Q5" s="354"/>
      <c r="R5" s="354"/>
    </row>
    <row r="6" spans="2:18" ht="18.75" x14ac:dyDescent="0.25">
      <c r="B6" s="290" t="s">
        <v>1865</v>
      </c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  <c r="O6" s="291"/>
      <c r="P6" s="291"/>
      <c r="Q6" s="291"/>
      <c r="R6" s="291"/>
    </row>
    <row r="7" spans="2:18" ht="15" x14ac:dyDescent="0.25">
      <c r="B7" s="289" t="s">
        <v>1083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</row>
    <row r="8" spans="2:18" ht="15" x14ac:dyDescent="0.25">
      <c r="B8" s="292" t="s">
        <v>1863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</row>
    <row r="9" spans="2:18" ht="15" x14ac:dyDescent="0.25">
      <c r="B9" s="289" t="s">
        <v>1485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</row>
    <row r="10" spans="2:18" ht="15" x14ac:dyDescent="0.25">
      <c r="B10" s="289" t="s">
        <v>584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</row>
    <row r="11" spans="2:18" ht="15" x14ac:dyDescent="0.25">
      <c r="B11" s="289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</row>
    <row r="12" spans="2:18" ht="15" x14ac:dyDescent="0.25">
      <c r="B12" s="290" t="s">
        <v>1867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</row>
    <row r="13" spans="2:18" ht="15" x14ac:dyDescent="0.25">
      <c r="B13" s="289" t="s">
        <v>1866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</row>
    <row r="14" spans="2:18" ht="15" x14ac:dyDescent="0.25">
      <c r="B14" s="289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</row>
    <row r="15" spans="2:18" ht="15" x14ac:dyDescent="0.25">
      <c r="B15" s="290" t="s">
        <v>196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</row>
    <row r="16" spans="2:18" ht="15" x14ac:dyDescent="0.25">
      <c r="B16" s="289" t="s">
        <v>585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</row>
    <row r="17" spans="2:18" ht="15" x14ac:dyDescent="0.25">
      <c r="B17" s="289" t="s">
        <v>1864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</row>
    <row r="18" spans="2:18" ht="15" x14ac:dyDescent="0.25">
      <c r="B18" s="289" t="s">
        <v>586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</row>
    <row r="19" spans="2:18" ht="15" x14ac:dyDescent="0.25">
      <c r="B19" s="292" t="s">
        <v>1874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</row>
    <row r="20" spans="2:18" ht="15" x14ac:dyDescent="0.25">
      <c r="B20" s="289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</row>
    <row r="21" spans="2:18" ht="15" x14ac:dyDescent="0.25">
      <c r="B21" s="290" t="s">
        <v>197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</row>
    <row r="22" spans="2:18" ht="15" x14ac:dyDescent="0.25">
      <c r="B22" s="289" t="s">
        <v>587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</row>
    <row r="23" spans="2:18" ht="15" x14ac:dyDescent="0.25">
      <c r="B23" s="289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</row>
    <row r="24" spans="2:18" ht="15" x14ac:dyDescent="0.25">
      <c r="B24" s="290" t="s">
        <v>1868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</row>
    <row r="25" spans="2:18" ht="15" x14ac:dyDescent="0.25">
      <c r="B25" s="289" t="s">
        <v>1084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</row>
    <row r="26" spans="2:18" ht="15" x14ac:dyDescent="0.25">
      <c r="B26" s="289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</row>
    <row r="27" spans="2:18" ht="15" x14ac:dyDescent="0.25">
      <c r="B27" s="290" t="s">
        <v>198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</row>
    <row r="28" spans="2:18" ht="15" x14ac:dyDescent="0.25">
      <c r="B28" s="289" t="s">
        <v>1516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</row>
    <row r="29" spans="2:18" ht="15" x14ac:dyDescent="0.25">
      <c r="B29" s="289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</row>
    <row r="30" spans="2:18" ht="15" x14ac:dyDescent="0.25">
      <c r="B30" s="290" t="s">
        <v>1869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</row>
    <row r="31" spans="2:18" ht="15" x14ac:dyDescent="0.25">
      <c r="B31" s="289" t="s">
        <v>321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</row>
    <row r="32" spans="2:18" ht="15" x14ac:dyDescent="0.25">
      <c r="B32" s="289" t="s">
        <v>583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</row>
    <row r="33" spans="2:18" ht="15" x14ac:dyDescent="0.25">
      <c r="B33" s="289" t="s">
        <v>582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</row>
    <row r="34" spans="2:18" ht="15" x14ac:dyDescent="0.25">
      <c r="B34" s="289" t="s">
        <v>1070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</row>
    <row r="35" spans="2:18" ht="15" x14ac:dyDescent="0.25">
      <c r="B35" s="289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</row>
    <row r="36" spans="2:18" ht="15" x14ac:dyDescent="0.25">
      <c r="B36" s="290" t="s">
        <v>1511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</row>
    <row r="37" spans="2:18" ht="15" x14ac:dyDescent="0.25">
      <c r="B37" s="289" t="s">
        <v>775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</row>
    <row r="38" spans="2:18" ht="15" x14ac:dyDescent="0.25">
      <c r="B38" s="28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</row>
    <row r="39" spans="2:18" ht="15" x14ac:dyDescent="0.25">
      <c r="B39" s="289" t="s">
        <v>232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</row>
    <row r="40" spans="2:18" ht="15" x14ac:dyDescent="0.25">
      <c r="B40" s="289" t="s">
        <v>278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</row>
    <row r="41" spans="2:18" ht="15" x14ac:dyDescent="0.25">
      <c r="B41" s="292" t="s">
        <v>233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</row>
    <row r="42" spans="2:18" ht="15" x14ac:dyDescent="0.25">
      <c r="B42" s="292" t="s">
        <v>234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2:18" x14ac:dyDescent="0.2"/>
    <row r="44" spans="2:18" x14ac:dyDescent="0.2"/>
    <row r="45" spans="2:18" hidden="1" x14ac:dyDescent="0.2"/>
    <row r="46" spans="2:18" hidden="1" x14ac:dyDescent="0.2"/>
  </sheetData>
  <sheetProtection password="FE56" sheet="1" objects="1" scenarios="1" selectLockedCells="1"/>
  <mergeCells count="1">
    <mergeCell ref="B5:R5"/>
  </mergeCells>
  <phoneticPr fontId="1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438150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L409"/>
  <sheetViews>
    <sheetView showGridLines="0" zoomScaleNormal="10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H384" sqref="H384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55.5703125" customWidth="1"/>
    <col min="7" max="9" width="51.7109375" customWidth="1"/>
    <col min="10" max="12" width="14.7109375" customWidth="1"/>
  </cols>
  <sheetData>
    <row r="1" spans="1:12" ht="25.5" customHeight="1" x14ac:dyDescent="0.2">
      <c r="A1" s="93" t="s">
        <v>810</v>
      </c>
      <c r="B1" s="93" t="s">
        <v>942</v>
      </c>
      <c r="C1" s="93" t="s">
        <v>941</v>
      </c>
      <c r="D1" s="93" t="s">
        <v>632</v>
      </c>
      <c r="E1" s="94" t="s">
        <v>1088</v>
      </c>
      <c r="F1" s="94" t="s">
        <v>947</v>
      </c>
      <c r="G1" s="93" t="s">
        <v>944</v>
      </c>
      <c r="H1" s="93" t="s">
        <v>945</v>
      </c>
      <c r="I1" s="93" t="s">
        <v>946</v>
      </c>
      <c r="J1" s="93" t="s">
        <v>948</v>
      </c>
      <c r="K1" s="93" t="s">
        <v>949</v>
      </c>
      <c r="L1" s="93" t="s">
        <v>950</v>
      </c>
    </row>
    <row r="2" spans="1:12" x14ac:dyDescent="0.2">
      <c r="A2">
        <f t="shared" ref="A2:A65" si="0">ROW()-ROW($A$1)</f>
        <v>1</v>
      </c>
      <c r="B2" t="s">
        <v>819</v>
      </c>
      <c r="C2">
        <v>0</v>
      </c>
      <c r="D2" t="s">
        <v>589</v>
      </c>
      <c r="E2" s="2">
        <f t="shared" ref="E2:E65" si="1">VLOOKUP($A2,$A$2:$L$403,ID_Jezik+9,1)</f>
        <v>0</v>
      </c>
      <c r="F2" t="str">
        <f>REPT("  ",Aop!$C2)&amp;VLOOKUP($A2,$A$2:$L$403,ID_Jezik+6,1)</f>
        <v>AKTIVA</v>
      </c>
      <c r="G2" t="s">
        <v>618</v>
      </c>
      <c r="H2" t="s">
        <v>1089</v>
      </c>
      <c r="I2" t="s">
        <v>638</v>
      </c>
      <c r="J2" s="104"/>
      <c r="K2" s="104"/>
      <c r="L2" s="104"/>
    </row>
    <row r="3" spans="1:12" x14ac:dyDescent="0.2">
      <c r="A3">
        <f t="shared" si="0"/>
        <v>2</v>
      </c>
      <c r="B3" t="s">
        <v>819</v>
      </c>
      <c r="C3">
        <v>1</v>
      </c>
      <c r="D3">
        <v>1</v>
      </c>
      <c r="E3" s="2">
        <f t="shared" si="1"/>
        <v>0</v>
      </c>
      <c r="F3" t="str">
        <f>REPT("  ",Aop!$C3)&amp;VLOOKUP($A3,$A$2:$L$403,ID_Jezik+6,1)</f>
        <v xml:space="preserve">  A. STALNA IMOVINA (002+008+015+021+030)</v>
      </c>
      <c r="G3" t="s">
        <v>647</v>
      </c>
      <c r="H3" t="s">
        <v>1090</v>
      </c>
      <c r="I3" t="s">
        <v>116</v>
      </c>
      <c r="J3" s="104"/>
      <c r="K3" s="104"/>
      <c r="L3" s="104"/>
    </row>
    <row r="4" spans="1:12" x14ac:dyDescent="0.2">
      <c r="A4">
        <f t="shared" si="0"/>
        <v>3</v>
      </c>
      <c r="B4" t="s">
        <v>819</v>
      </c>
      <c r="C4">
        <v>2</v>
      </c>
      <c r="D4">
        <v>2</v>
      </c>
      <c r="E4" s="2" t="str">
        <f t="shared" si="1"/>
        <v>01</v>
      </c>
      <c r="F4" t="str">
        <f>REPT("  ",Aop!$C4)&amp;VLOOKUP($A4,$A$2:$L$403,ID_Jezik+6,1)</f>
        <v xml:space="preserve">    I  NEMATERIJALNA ULAGANJA (003 do 007)</v>
      </c>
      <c r="G4" t="s">
        <v>320</v>
      </c>
      <c r="H4" t="s">
        <v>1091</v>
      </c>
      <c r="I4" t="s">
        <v>434</v>
      </c>
      <c r="J4" s="104" t="s">
        <v>1517</v>
      </c>
      <c r="K4" s="104" t="s">
        <v>1517</v>
      </c>
      <c r="L4" s="104" t="s">
        <v>1517</v>
      </c>
    </row>
    <row r="5" spans="1:12" x14ac:dyDescent="0.2">
      <c r="A5">
        <f t="shared" si="0"/>
        <v>4</v>
      </c>
      <c r="B5" t="s">
        <v>819</v>
      </c>
      <c r="C5">
        <v>3</v>
      </c>
      <c r="D5">
        <v>3</v>
      </c>
      <c r="E5" s="2" t="str">
        <f t="shared" si="1"/>
        <v>010</v>
      </c>
      <c r="F5" t="str">
        <f>REPT("  ",Aop!$C5)&amp;VLOOKUP($A5,$A$2:$L$403,ID_Jezik+6,1)</f>
        <v xml:space="preserve">      1. Ulaganja u razvoj</v>
      </c>
      <c r="G5" t="s">
        <v>648</v>
      </c>
      <c r="H5" t="s">
        <v>1092</v>
      </c>
      <c r="I5" t="s">
        <v>560</v>
      </c>
      <c r="J5" s="104" t="s">
        <v>1518</v>
      </c>
      <c r="K5" s="104" t="s">
        <v>1518</v>
      </c>
      <c r="L5" s="104" t="s">
        <v>1518</v>
      </c>
    </row>
    <row r="6" spans="1:12" x14ac:dyDescent="0.2">
      <c r="A6">
        <f t="shared" si="0"/>
        <v>5</v>
      </c>
      <c r="B6" t="s">
        <v>819</v>
      </c>
      <c r="C6">
        <v>3</v>
      </c>
      <c r="D6">
        <v>4</v>
      </c>
      <c r="E6" s="2" t="str">
        <f t="shared" si="1"/>
        <v>011</v>
      </c>
      <c r="F6" t="str">
        <f>REPT("  ",Aop!$C6)&amp;VLOOKUP($A6,$A$2:$L$403,ID_Jezik+6,1)</f>
        <v xml:space="preserve">      2. Koncesije, patenti, licence i ostala prava</v>
      </c>
      <c r="G6" t="s">
        <v>650</v>
      </c>
      <c r="H6" t="s">
        <v>1093</v>
      </c>
      <c r="I6" t="s">
        <v>435</v>
      </c>
      <c r="J6" s="104" t="s">
        <v>1519</v>
      </c>
      <c r="K6" s="104" t="s">
        <v>1519</v>
      </c>
      <c r="L6" s="104" t="s">
        <v>1519</v>
      </c>
    </row>
    <row r="7" spans="1:12" x14ac:dyDescent="0.2">
      <c r="A7">
        <f t="shared" si="0"/>
        <v>6</v>
      </c>
      <c r="B7" t="s">
        <v>819</v>
      </c>
      <c r="C7">
        <v>3</v>
      </c>
      <c r="D7">
        <v>5</v>
      </c>
      <c r="E7" s="2" t="str">
        <f t="shared" si="1"/>
        <v>012</v>
      </c>
      <c r="F7" t="str">
        <f>REPT("  ",Aop!$C7)&amp;VLOOKUP($A7,$A$2:$L$403,ID_Jezik+6,1)</f>
        <v xml:space="preserve">      3. Goodwill</v>
      </c>
      <c r="G7" t="s">
        <v>651</v>
      </c>
      <c r="H7" t="s">
        <v>651</v>
      </c>
      <c r="I7" t="s">
        <v>651</v>
      </c>
      <c r="J7" s="104" t="s">
        <v>1520</v>
      </c>
      <c r="K7" s="104" t="s">
        <v>1520</v>
      </c>
      <c r="L7" s="104" t="s">
        <v>1520</v>
      </c>
    </row>
    <row r="8" spans="1:12" x14ac:dyDescent="0.2">
      <c r="A8">
        <f t="shared" si="0"/>
        <v>7</v>
      </c>
      <c r="B8" t="s">
        <v>819</v>
      </c>
      <c r="C8">
        <v>3</v>
      </c>
      <c r="D8">
        <v>6</v>
      </c>
      <c r="E8" s="2" t="str">
        <f t="shared" si="1"/>
        <v>014</v>
      </c>
      <c r="F8" t="str">
        <f>REPT("  ",Aop!$C8)&amp;VLOOKUP($A8,$A$2:$L$403,ID_Jezik+6,1)</f>
        <v xml:space="preserve">      4. Ostala nematerijalna ulaganja</v>
      </c>
      <c r="G8" t="s">
        <v>652</v>
      </c>
      <c r="H8" t="s">
        <v>1094</v>
      </c>
      <c r="I8" t="s">
        <v>436</v>
      </c>
      <c r="J8" s="104" t="s">
        <v>1521</v>
      </c>
      <c r="K8" s="104" t="s">
        <v>1521</v>
      </c>
      <c r="L8" s="104" t="s">
        <v>1521</v>
      </c>
    </row>
    <row r="9" spans="1:12" x14ac:dyDescent="0.2">
      <c r="A9">
        <f t="shared" si="0"/>
        <v>8</v>
      </c>
      <c r="B9" t="s">
        <v>819</v>
      </c>
      <c r="C9">
        <v>3</v>
      </c>
      <c r="D9">
        <v>7</v>
      </c>
      <c r="E9" s="2" t="str">
        <f t="shared" si="1"/>
        <v>015 i 016</v>
      </c>
      <c r="F9" t="str">
        <f>REPT("  ",Aop!$C9)&amp;VLOOKUP($A9,$A$2:$L$403,ID_Jezik+6,1)</f>
        <v xml:space="preserve">      5. Avansi i nematerijalna ulaganja u pripremi</v>
      </c>
      <c r="G9" t="s">
        <v>95</v>
      </c>
      <c r="H9" t="s">
        <v>1095</v>
      </c>
      <c r="I9" t="s">
        <v>136</v>
      </c>
      <c r="J9" s="104" t="s">
        <v>653</v>
      </c>
      <c r="K9" s="104" t="s">
        <v>1417</v>
      </c>
      <c r="L9" s="104" t="s">
        <v>437</v>
      </c>
    </row>
    <row r="10" spans="1:12" x14ac:dyDescent="0.2">
      <c r="A10">
        <f t="shared" si="0"/>
        <v>9</v>
      </c>
      <c r="B10" t="s">
        <v>819</v>
      </c>
      <c r="C10">
        <v>2</v>
      </c>
      <c r="D10">
        <v>8</v>
      </c>
      <c r="E10" s="2" t="str">
        <f t="shared" si="1"/>
        <v>02</v>
      </c>
      <c r="F10" t="str">
        <f>REPT("  ",Aop!$C10)&amp;VLOOKUP($A10,$A$2:$L$403,ID_Jezik+6,1)</f>
        <v xml:space="preserve">    II  NEKRETNINE, POSTROJENJA, OPREMA I INVESTICIONE NEKRETNINE
 (009 do 014)</v>
      </c>
      <c r="G10" t="s">
        <v>184</v>
      </c>
      <c r="H10" t="s">
        <v>1414</v>
      </c>
      <c r="I10" t="s">
        <v>259</v>
      </c>
      <c r="J10" s="104" t="s">
        <v>1522</v>
      </c>
      <c r="K10" s="104" t="s">
        <v>1522</v>
      </c>
      <c r="L10" s="104" t="s">
        <v>1522</v>
      </c>
    </row>
    <row r="11" spans="1:12" x14ac:dyDescent="0.2">
      <c r="A11">
        <f t="shared" si="0"/>
        <v>10</v>
      </c>
      <c r="B11" t="s">
        <v>819</v>
      </c>
      <c r="C11">
        <v>3</v>
      </c>
      <c r="D11">
        <v>9</v>
      </c>
      <c r="E11" s="2" t="str">
        <f t="shared" si="1"/>
        <v>020</v>
      </c>
      <c r="F11" t="str">
        <f>REPT("  ",Aop!$C11)&amp;VLOOKUP($A11,$A$2:$L$403,ID_Jezik+6,1)</f>
        <v xml:space="preserve">      1. Zemljište</v>
      </c>
      <c r="G11" t="s">
        <v>654</v>
      </c>
      <c r="H11" t="s">
        <v>1096</v>
      </c>
      <c r="I11" t="s">
        <v>438</v>
      </c>
      <c r="J11" s="104" t="s">
        <v>1523</v>
      </c>
      <c r="K11" s="104" t="s">
        <v>1523</v>
      </c>
      <c r="L11" s="104" t="s">
        <v>1523</v>
      </c>
    </row>
    <row r="12" spans="1:12" x14ac:dyDescent="0.2">
      <c r="A12">
        <f t="shared" si="0"/>
        <v>11</v>
      </c>
      <c r="B12" t="s">
        <v>819</v>
      </c>
      <c r="C12">
        <v>3</v>
      </c>
      <c r="D12">
        <v>10</v>
      </c>
      <c r="E12" s="2" t="str">
        <f t="shared" si="1"/>
        <v>021</v>
      </c>
      <c r="F12" t="str">
        <f>REPT("  ",Aop!$C12)&amp;VLOOKUP($A12,$A$2:$L$403,ID_Jezik+6,1)</f>
        <v xml:space="preserve">      2. Građevinski objekti</v>
      </c>
      <c r="G12" t="s">
        <v>619</v>
      </c>
      <c r="H12" t="s">
        <v>1097</v>
      </c>
      <c r="I12" t="s">
        <v>639</v>
      </c>
      <c r="J12" s="104" t="s">
        <v>1524</v>
      </c>
      <c r="K12" s="104" t="s">
        <v>1524</v>
      </c>
      <c r="L12" s="104" t="s">
        <v>1524</v>
      </c>
    </row>
    <row r="13" spans="1:12" x14ac:dyDescent="0.2">
      <c r="A13">
        <f t="shared" si="0"/>
        <v>12</v>
      </c>
      <c r="B13" t="s">
        <v>819</v>
      </c>
      <c r="C13">
        <v>3</v>
      </c>
      <c r="D13">
        <v>11</v>
      </c>
      <c r="E13" s="2" t="str">
        <f t="shared" si="1"/>
        <v>022</v>
      </c>
      <c r="F13" t="str">
        <f>REPT("  ",Aop!$C13)&amp;VLOOKUP($A13,$A$2:$L$403,ID_Jezik+6,1)</f>
        <v xml:space="preserve">      3. Postrojenja i oprema</v>
      </c>
      <c r="G13" t="s">
        <v>655</v>
      </c>
      <c r="H13" t="s">
        <v>1098</v>
      </c>
      <c r="I13" t="s">
        <v>484</v>
      </c>
      <c r="J13" s="104" t="s">
        <v>1525</v>
      </c>
      <c r="K13" s="104" t="s">
        <v>1525</v>
      </c>
      <c r="L13" s="104" t="s">
        <v>1525</v>
      </c>
    </row>
    <row r="14" spans="1:12" x14ac:dyDescent="0.2">
      <c r="A14">
        <f t="shared" si="0"/>
        <v>13</v>
      </c>
      <c r="B14" t="s">
        <v>819</v>
      </c>
      <c r="C14">
        <v>3</v>
      </c>
      <c r="D14">
        <v>12</v>
      </c>
      <c r="E14" s="2" t="str">
        <f t="shared" si="1"/>
        <v>023</v>
      </c>
      <c r="F14" t="str">
        <f>REPT("  ",Aop!$C14)&amp;VLOOKUP($A14,$A$2:$L$403,ID_Jezik+6,1)</f>
        <v xml:space="preserve">      4. Investicione nekretnine</v>
      </c>
      <c r="G14" t="s">
        <v>656</v>
      </c>
      <c r="H14" t="s">
        <v>1099</v>
      </c>
      <c r="I14" t="s">
        <v>531</v>
      </c>
      <c r="J14" s="104" t="s">
        <v>1526</v>
      </c>
      <c r="K14" s="104" t="s">
        <v>1526</v>
      </c>
      <c r="L14" s="104" t="s">
        <v>1526</v>
      </c>
    </row>
    <row r="15" spans="1:12" x14ac:dyDescent="0.2">
      <c r="A15">
        <f t="shared" si="0"/>
        <v>14</v>
      </c>
      <c r="B15" t="s">
        <v>819</v>
      </c>
      <c r="C15">
        <v>3</v>
      </c>
      <c r="D15">
        <v>13</v>
      </c>
      <c r="E15" s="2" t="str">
        <f t="shared" si="1"/>
        <v>027 i 028</v>
      </c>
      <c r="F15" t="str">
        <f>REPT("  ",Aop!$C15)&amp;VLOOKUP($A15,$A$2:$L$403,ID_Jezik+6,1)</f>
        <v xml:space="preserve">      5. Avansi i nekretnine, postrojenja, oprema i investicione nekretnine u pripremi</v>
      </c>
      <c r="G15" t="s">
        <v>658</v>
      </c>
      <c r="H15" t="s">
        <v>1100</v>
      </c>
      <c r="I15" t="s">
        <v>94</v>
      </c>
      <c r="J15" s="104" t="s">
        <v>657</v>
      </c>
      <c r="K15" s="104" t="s">
        <v>1418</v>
      </c>
      <c r="L15" s="104" t="s">
        <v>439</v>
      </c>
    </row>
    <row r="16" spans="1:12" x14ac:dyDescent="0.2">
      <c r="A16">
        <f t="shared" si="0"/>
        <v>15</v>
      </c>
      <c r="B16" t="s">
        <v>819</v>
      </c>
      <c r="C16">
        <v>3</v>
      </c>
      <c r="D16">
        <v>14</v>
      </c>
      <c r="E16" s="2" t="str">
        <f t="shared" si="1"/>
        <v>029</v>
      </c>
      <c r="F16" t="str">
        <f>REPT("  ",Aop!$C16)&amp;VLOOKUP($A16,$A$2:$L$403,ID_Jezik+6,1)</f>
        <v xml:space="preserve">      6. Ulaganje na tuđim nekretninama, postrojenjima i opremi</v>
      </c>
      <c r="G16" t="s">
        <v>659</v>
      </c>
      <c r="H16" t="s">
        <v>1101</v>
      </c>
      <c r="I16" t="s">
        <v>532</v>
      </c>
      <c r="J16" s="104" t="s">
        <v>1527</v>
      </c>
      <c r="K16" s="104" t="s">
        <v>1527</v>
      </c>
      <c r="L16" s="104" t="s">
        <v>1527</v>
      </c>
    </row>
    <row r="17" spans="1:12" x14ac:dyDescent="0.2">
      <c r="A17">
        <f t="shared" si="0"/>
        <v>16</v>
      </c>
      <c r="B17" t="s">
        <v>819</v>
      </c>
      <c r="C17">
        <v>2</v>
      </c>
      <c r="D17">
        <v>15</v>
      </c>
      <c r="E17" s="2" t="str">
        <f t="shared" si="1"/>
        <v>03</v>
      </c>
      <c r="F17" t="str">
        <f>REPT("  ",Aop!$C17)&amp;VLOOKUP($A17,$A$2:$L$403,ID_Jezik+6,1)</f>
        <v xml:space="preserve">    III  BIOLOŠKA SREDSTVA I  SREDSTVA KULTURE (016 do 020)</v>
      </c>
      <c r="G17" t="s">
        <v>107</v>
      </c>
      <c r="H17" t="s">
        <v>1102</v>
      </c>
      <c r="I17" t="s">
        <v>260</v>
      </c>
      <c r="J17" s="104" t="s">
        <v>1528</v>
      </c>
      <c r="K17" s="104" t="s">
        <v>1528</v>
      </c>
      <c r="L17" s="104" t="s">
        <v>1528</v>
      </c>
    </row>
    <row r="18" spans="1:12" x14ac:dyDescent="0.2">
      <c r="A18">
        <f t="shared" si="0"/>
        <v>17</v>
      </c>
      <c r="B18" t="s">
        <v>819</v>
      </c>
      <c r="C18">
        <v>3</v>
      </c>
      <c r="D18">
        <v>16</v>
      </c>
      <c r="E18" s="2" t="str">
        <f t="shared" si="1"/>
        <v>030</v>
      </c>
      <c r="F18" t="str">
        <f>REPT("  ",Aop!$C18)&amp;VLOOKUP($A18,$A$2:$L$403,ID_Jezik+6,1)</f>
        <v xml:space="preserve">      1. Šume</v>
      </c>
      <c r="G18" t="s">
        <v>660</v>
      </c>
      <c r="H18" t="s">
        <v>1103</v>
      </c>
      <c r="I18" t="s">
        <v>561</v>
      </c>
      <c r="J18" s="104" t="s">
        <v>1529</v>
      </c>
      <c r="K18" s="104" t="s">
        <v>1529</v>
      </c>
      <c r="L18" s="104" t="s">
        <v>1529</v>
      </c>
    </row>
    <row r="19" spans="1:12" x14ac:dyDescent="0.2">
      <c r="A19">
        <f t="shared" si="0"/>
        <v>18</v>
      </c>
      <c r="B19" t="s">
        <v>819</v>
      </c>
      <c r="C19">
        <v>3</v>
      </c>
      <c r="D19">
        <v>17</v>
      </c>
      <c r="E19" s="2" t="str">
        <f t="shared" si="1"/>
        <v>031</v>
      </c>
      <c r="F19" t="str">
        <f>REPT("  ",Aop!$C19)&amp;VLOOKUP($A19,$A$2:$L$403,ID_Jezik+6,1)</f>
        <v xml:space="preserve">      2. Višegodišnji zasadi</v>
      </c>
      <c r="G19" t="s">
        <v>661</v>
      </c>
      <c r="H19" t="s">
        <v>1104</v>
      </c>
      <c r="I19" t="s">
        <v>562</v>
      </c>
      <c r="J19" s="104" t="s">
        <v>1530</v>
      </c>
      <c r="K19" s="104" t="s">
        <v>1530</v>
      </c>
      <c r="L19" s="104" t="s">
        <v>1530</v>
      </c>
    </row>
    <row r="20" spans="1:12" x14ac:dyDescent="0.2">
      <c r="A20">
        <f t="shared" si="0"/>
        <v>19</v>
      </c>
      <c r="B20" t="s">
        <v>819</v>
      </c>
      <c r="C20">
        <v>3</v>
      </c>
      <c r="D20">
        <v>18</v>
      </c>
      <c r="E20" s="2" t="str">
        <f t="shared" si="1"/>
        <v>032</v>
      </c>
      <c r="F20" t="str">
        <f>REPT("  ",Aop!$C20)&amp;VLOOKUP($A20,$A$2:$L$403,ID_Jezik+6,1)</f>
        <v xml:space="preserve">      3. Osnovno stado</v>
      </c>
      <c r="G20" t="s">
        <v>662</v>
      </c>
      <c r="H20" t="s">
        <v>1105</v>
      </c>
      <c r="I20" t="s">
        <v>96</v>
      </c>
      <c r="J20" s="104" t="s">
        <v>1531</v>
      </c>
      <c r="K20" s="104" t="s">
        <v>1531</v>
      </c>
      <c r="L20" s="104" t="s">
        <v>1531</v>
      </c>
    </row>
    <row r="21" spans="1:12" x14ac:dyDescent="0.2">
      <c r="A21">
        <f t="shared" si="0"/>
        <v>20</v>
      </c>
      <c r="B21" t="s">
        <v>819</v>
      </c>
      <c r="C21">
        <v>3</v>
      </c>
      <c r="D21">
        <v>19</v>
      </c>
      <c r="E21" s="2" t="str">
        <f t="shared" si="1"/>
        <v>033</v>
      </c>
      <c r="F21" t="str">
        <f>REPT("  ",Aop!$C21)&amp;VLOOKUP($A21,$A$2:$L$403,ID_Jezik+6,1)</f>
        <v xml:space="preserve">      4. Sredstva kulture</v>
      </c>
      <c r="G21" t="s">
        <v>663</v>
      </c>
      <c r="H21" t="s">
        <v>1106</v>
      </c>
      <c r="I21" t="s">
        <v>1855</v>
      </c>
      <c r="J21" s="104" t="s">
        <v>1532</v>
      </c>
      <c r="K21" s="104" t="s">
        <v>1532</v>
      </c>
      <c r="L21" s="104" t="s">
        <v>1532</v>
      </c>
    </row>
    <row r="22" spans="1:12" x14ac:dyDescent="0.2">
      <c r="A22">
        <f t="shared" si="0"/>
        <v>21</v>
      </c>
      <c r="B22" t="s">
        <v>819</v>
      </c>
      <c r="C22">
        <v>3</v>
      </c>
      <c r="D22">
        <v>20</v>
      </c>
      <c r="E22" s="2" t="str">
        <f t="shared" si="1"/>
        <v>038 i 039</v>
      </c>
      <c r="F22" t="str">
        <f>REPT("  ",Aop!$C22)&amp;VLOOKUP($A22,$A$2:$L$403,ID_Jezik+6,1)</f>
        <v xml:space="preserve">      5. Avansi i biološka sredstva i sredstva kulture u pripremi</v>
      </c>
      <c r="G22" t="s">
        <v>108</v>
      </c>
      <c r="H22" t="s">
        <v>1107</v>
      </c>
      <c r="I22" t="s">
        <v>302</v>
      </c>
      <c r="J22" s="104" t="s">
        <v>664</v>
      </c>
      <c r="K22" s="104" t="s">
        <v>1419</v>
      </c>
      <c r="L22" s="104" t="s">
        <v>440</v>
      </c>
    </row>
    <row r="23" spans="1:12" x14ac:dyDescent="0.2">
      <c r="A23">
        <f t="shared" si="0"/>
        <v>22</v>
      </c>
      <c r="B23" t="s">
        <v>819</v>
      </c>
      <c r="C23">
        <v>2</v>
      </c>
      <c r="D23">
        <v>21</v>
      </c>
      <c r="E23" s="2" t="str">
        <f t="shared" si="1"/>
        <v>04</v>
      </c>
      <c r="F23" t="str">
        <f>REPT("  ",Aop!$C23)&amp;VLOOKUP($A23,$A$2:$L$403,ID_Jezik+6,1)</f>
        <v xml:space="preserve">    IV  DUGOROČNI FINANSIJSKI PLASMANI (022 do 029)</v>
      </c>
      <c r="G23" t="s">
        <v>665</v>
      </c>
      <c r="H23" t="s">
        <v>1108</v>
      </c>
      <c r="I23" t="s">
        <v>563</v>
      </c>
      <c r="J23" s="104" t="s">
        <v>1533</v>
      </c>
      <c r="K23" s="104" t="s">
        <v>1533</v>
      </c>
      <c r="L23" s="104" t="s">
        <v>1533</v>
      </c>
    </row>
    <row r="24" spans="1:12" x14ac:dyDescent="0.2">
      <c r="A24">
        <f t="shared" si="0"/>
        <v>23</v>
      </c>
      <c r="B24" t="s">
        <v>819</v>
      </c>
      <c r="C24">
        <v>3</v>
      </c>
      <c r="D24">
        <v>22</v>
      </c>
      <c r="E24" s="2" t="str">
        <f t="shared" si="1"/>
        <v>040, dio 049</v>
      </c>
      <c r="F24" t="str">
        <f>REPT("  ",Aop!$C24)&amp;VLOOKUP($A24,$A$2:$L$403,ID_Jezik+6,1)</f>
        <v xml:space="preserve">      1. Učešće u kapitalu zavisnih pravnih lica</v>
      </c>
      <c r="G24" t="s">
        <v>667</v>
      </c>
      <c r="H24" t="s">
        <v>1109</v>
      </c>
      <c r="I24" t="s">
        <v>449</v>
      </c>
      <c r="J24" s="104" t="s">
        <v>666</v>
      </c>
      <c r="K24" s="104" t="s">
        <v>1420</v>
      </c>
      <c r="L24" s="104" t="s">
        <v>441</v>
      </c>
    </row>
    <row r="25" spans="1:12" x14ac:dyDescent="0.2">
      <c r="A25">
        <f t="shared" si="0"/>
        <v>24</v>
      </c>
      <c r="B25" t="s">
        <v>819</v>
      </c>
      <c r="C25">
        <v>3</v>
      </c>
      <c r="D25">
        <v>23</v>
      </c>
      <c r="E25" s="2" t="str">
        <f t="shared" si="1"/>
        <v>041, dio 049</v>
      </c>
      <c r="F25" t="str">
        <f>REPT("  ",Aop!$C25)&amp;VLOOKUP($A25,$A$2:$L$403,ID_Jezik+6,1)</f>
        <v xml:space="preserve">      2. Učešće u kapitalu drugih pravnih lica</v>
      </c>
      <c r="G25" t="s">
        <v>671</v>
      </c>
      <c r="H25" t="s">
        <v>1110</v>
      </c>
      <c r="I25" t="s">
        <v>450</v>
      </c>
      <c r="J25" s="104" t="s">
        <v>668</v>
      </c>
      <c r="K25" s="104" t="s">
        <v>1421</v>
      </c>
      <c r="L25" s="104" t="s">
        <v>442</v>
      </c>
    </row>
    <row r="26" spans="1:12" x14ac:dyDescent="0.2">
      <c r="A26">
        <f t="shared" si="0"/>
        <v>25</v>
      </c>
      <c r="B26" t="s">
        <v>819</v>
      </c>
      <c r="C26">
        <v>3</v>
      </c>
      <c r="D26">
        <v>24</v>
      </c>
      <c r="E26" s="2" t="str">
        <f t="shared" si="1"/>
        <v>042, dio 049</v>
      </c>
      <c r="F26" t="str">
        <f>REPT("  ",Aop!$C26)&amp;VLOOKUP($A26,$A$2:$L$403,ID_Jezik+6,1)</f>
        <v xml:space="preserve">      3. Dugoročni krediti povezanim pravnim licima</v>
      </c>
      <c r="G26" t="s">
        <v>620</v>
      </c>
      <c r="H26" t="s">
        <v>1111</v>
      </c>
      <c r="I26" t="s">
        <v>640</v>
      </c>
      <c r="J26" s="104" t="s">
        <v>669</v>
      </c>
      <c r="K26" s="104" t="s">
        <v>1422</v>
      </c>
      <c r="L26" s="104" t="s">
        <v>443</v>
      </c>
    </row>
    <row r="27" spans="1:12" x14ac:dyDescent="0.2">
      <c r="A27">
        <f t="shared" si="0"/>
        <v>26</v>
      </c>
      <c r="B27" t="s">
        <v>819</v>
      </c>
      <c r="C27">
        <v>3</v>
      </c>
      <c r="D27">
        <v>25</v>
      </c>
      <c r="E27" s="2" t="str">
        <f t="shared" si="1"/>
        <v>043, dio 049</v>
      </c>
      <c r="F27" t="str">
        <f>REPT("  ",Aop!$C27)&amp;VLOOKUP($A27,$A$2:$L$403,ID_Jezik+6,1)</f>
        <v xml:space="preserve">      4. Dugoročni krediti u zemlji</v>
      </c>
      <c r="G27" t="s">
        <v>672</v>
      </c>
      <c r="H27" t="s">
        <v>1112</v>
      </c>
      <c r="I27" t="s">
        <v>323</v>
      </c>
      <c r="J27" s="104" t="s">
        <v>670</v>
      </c>
      <c r="K27" s="104" t="s">
        <v>1423</v>
      </c>
      <c r="L27" s="104" t="s">
        <v>444</v>
      </c>
    </row>
    <row r="28" spans="1:12" x14ac:dyDescent="0.2">
      <c r="A28">
        <f t="shared" si="0"/>
        <v>27</v>
      </c>
      <c r="B28" t="s">
        <v>819</v>
      </c>
      <c r="C28">
        <v>3</v>
      </c>
      <c r="D28">
        <v>26</v>
      </c>
      <c r="E28" s="2" t="str">
        <f t="shared" si="1"/>
        <v>044, dio 049</v>
      </c>
      <c r="F28" t="str">
        <f>REPT("  ",Aop!$C28)&amp;VLOOKUP($A28,$A$2:$L$403,ID_Jezik+6,1)</f>
        <v xml:space="preserve">      5. Dugoročni krediti u inostranstvu</v>
      </c>
      <c r="G28" t="s">
        <v>674</v>
      </c>
      <c r="H28" t="s">
        <v>1113</v>
      </c>
      <c r="I28" t="s">
        <v>564</v>
      </c>
      <c r="J28" s="104" t="s">
        <v>673</v>
      </c>
      <c r="K28" s="104" t="s">
        <v>1424</v>
      </c>
      <c r="L28" s="104" t="s">
        <v>445</v>
      </c>
    </row>
    <row r="29" spans="1:12" x14ac:dyDescent="0.2">
      <c r="A29">
        <f t="shared" si="0"/>
        <v>28</v>
      </c>
      <c r="B29" t="s">
        <v>819</v>
      </c>
      <c r="C29">
        <v>3</v>
      </c>
      <c r="D29">
        <v>27</v>
      </c>
      <c r="E29" s="2" t="str">
        <f t="shared" si="1"/>
        <v>045, dio 049</v>
      </c>
      <c r="F29" t="str">
        <f>REPT("  ",Aop!$C29)&amp;VLOOKUP($A29,$A$2:$L$403,ID_Jezik+6,1)</f>
        <v xml:space="preserve">      6. Finansijska sredstva raspoloživa za prodaju</v>
      </c>
      <c r="G29" t="s">
        <v>676</v>
      </c>
      <c r="H29" t="s">
        <v>1114</v>
      </c>
      <c r="I29" t="s">
        <v>565</v>
      </c>
      <c r="J29" s="104" t="s">
        <v>675</v>
      </c>
      <c r="K29" s="104" t="s">
        <v>1425</v>
      </c>
      <c r="L29" s="104" t="s">
        <v>446</v>
      </c>
    </row>
    <row r="30" spans="1:12" x14ac:dyDescent="0.2">
      <c r="A30">
        <f t="shared" si="0"/>
        <v>29</v>
      </c>
      <c r="B30" t="s">
        <v>819</v>
      </c>
      <c r="C30">
        <v>3</v>
      </c>
      <c r="D30">
        <v>28</v>
      </c>
      <c r="E30" s="2" t="str">
        <f t="shared" si="1"/>
        <v>046, dio 049</v>
      </c>
      <c r="F30" t="str">
        <f>REPT("  ",Aop!$C30)&amp;VLOOKUP($A30,$A$2:$L$403,ID_Jezik+6,1)</f>
        <v xml:space="preserve">      7. Finansijska sredstva koja se drže do roka dospijeća</v>
      </c>
      <c r="G30" t="s">
        <v>678</v>
      </c>
      <c r="H30" t="s">
        <v>1115</v>
      </c>
      <c r="I30" t="s">
        <v>117</v>
      </c>
      <c r="J30" s="104" t="s">
        <v>677</v>
      </c>
      <c r="K30" s="104" t="s">
        <v>1426</v>
      </c>
      <c r="L30" s="104" t="s">
        <v>447</v>
      </c>
    </row>
    <row r="31" spans="1:12" x14ac:dyDescent="0.2">
      <c r="A31">
        <f t="shared" si="0"/>
        <v>30</v>
      </c>
      <c r="B31" t="s">
        <v>819</v>
      </c>
      <c r="C31">
        <v>3</v>
      </c>
      <c r="D31">
        <v>29</v>
      </c>
      <c r="E31" s="2" t="str">
        <f t="shared" si="1"/>
        <v>048, dio 049</v>
      </c>
      <c r="F31" t="str">
        <f>REPT("  ",Aop!$C31)&amp;VLOOKUP($A31,$A$2:$L$403,ID_Jezik+6,1)</f>
        <v xml:space="preserve">      8. Ostali dugoročni finansijski plasmani</v>
      </c>
      <c r="G31" t="s">
        <v>680</v>
      </c>
      <c r="H31" t="s">
        <v>1116</v>
      </c>
      <c r="I31" t="s">
        <v>566</v>
      </c>
      <c r="J31" s="104" t="s">
        <v>679</v>
      </c>
      <c r="K31" s="104" t="s">
        <v>1427</v>
      </c>
      <c r="L31" s="104" t="s">
        <v>448</v>
      </c>
    </row>
    <row r="32" spans="1:12" x14ac:dyDescent="0.2">
      <c r="A32">
        <f t="shared" si="0"/>
        <v>31</v>
      </c>
      <c r="B32" t="s">
        <v>819</v>
      </c>
      <c r="C32">
        <v>2</v>
      </c>
      <c r="D32">
        <v>30</v>
      </c>
      <c r="E32" s="2" t="str">
        <f t="shared" si="1"/>
        <v>050</v>
      </c>
      <c r="F32" t="str">
        <f>REPT("  ",Aop!$C32)&amp;VLOOKUP($A32,$A$2:$L$403,ID_Jezik+6,1)</f>
        <v xml:space="preserve">    V  ODLOŽENA PORESKA SREDSTVA</v>
      </c>
      <c r="G32" t="s">
        <v>186</v>
      </c>
      <c r="H32" t="s">
        <v>1415</v>
      </c>
      <c r="I32" t="s">
        <v>641</v>
      </c>
      <c r="J32" s="104" t="s">
        <v>1534</v>
      </c>
      <c r="K32" s="104" t="s">
        <v>1534</v>
      </c>
      <c r="L32" s="104" t="s">
        <v>1534</v>
      </c>
    </row>
    <row r="33" spans="1:12" x14ac:dyDescent="0.2">
      <c r="A33">
        <f t="shared" si="0"/>
        <v>32</v>
      </c>
      <c r="B33" t="s">
        <v>819</v>
      </c>
      <c r="C33">
        <v>1</v>
      </c>
      <c r="D33">
        <v>31</v>
      </c>
      <c r="E33" s="2">
        <f t="shared" si="1"/>
        <v>0</v>
      </c>
      <c r="F33" t="str">
        <f>REPT("  ",Aop!$C33)&amp;VLOOKUP($A33,$A$2:$L$403,ID_Jezik+6,1)</f>
        <v xml:space="preserve">  B. TEKUĆA IMOVINA (032+039+060)</v>
      </c>
      <c r="G33" t="s">
        <v>681</v>
      </c>
      <c r="H33" t="s">
        <v>1117</v>
      </c>
      <c r="I33" t="s">
        <v>451</v>
      </c>
      <c r="J33" s="104"/>
      <c r="K33" s="104"/>
      <c r="L33" s="104"/>
    </row>
    <row r="34" spans="1:12" x14ac:dyDescent="0.2">
      <c r="A34">
        <f t="shared" si="0"/>
        <v>33</v>
      </c>
      <c r="B34" t="s">
        <v>819</v>
      </c>
      <c r="C34">
        <v>2</v>
      </c>
      <c r="D34">
        <v>32</v>
      </c>
      <c r="E34" s="2" t="str">
        <f t="shared" si="1"/>
        <v>10 do 15</v>
      </c>
      <c r="F34" t="str">
        <f>REPT("  ",Aop!$C34)&amp;VLOOKUP($A34,$A$2:$L$403,ID_Jezik+6,1)</f>
        <v xml:space="preserve">    I  ZALIHE, STALNA SREDSTVA I SREDSTVA OBUSTAVLJENOG POSLOVANJA NAMIJENJENA PRODAJI (033 do 038)</v>
      </c>
      <c r="G34" t="s">
        <v>97</v>
      </c>
      <c r="H34" t="s">
        <v>1118</v>
      </c>
      <c r="I34" t="s">
        <v>304</v>
      </c>
      <c r="J34" s="104" t="s">
        <v>621</v>
      </c>
      <c r="K34" s="104" t="s">
        <v>1428</v>
      </c>
      <c r="L34" s="104" t="s">
        <v>533</v>
      </c>
    </row>
    <row r="35" spans="1:12" x14ac:dyDescent="0.2">
      <c r="A35">
        <f t="shared" si="0"/>
        <v>34</v>
      </c>
      <c r="B35" t="s">
        <v>819</v>
      </c>
      <c r="C35">
        <v>3</v>
      </c>
      <c r="D35">
        <v>33</v>
      </c>
      <c r="E35" s="2" t="str">
        <f t="shared" si="1"/>
        <v>100 do 109</v>
      </c>
      <c r="F35" t="str">
        <f>REPT("  ",Aop!$C35)&amp;VLOOKUP($A35,$A$2:$L$403,ID_Jezik+6,1)</f>
        <v xml:space="preserve">      1. Zalihe materijala</v>
      </c>
      <c r="G35" t="s">
        <v>683</v>
      </c>
      <c r="H35" t="s">
        <v>1119</v>
      </c>
      <c r="I35" t="s">
        <v>537</v>
      </c>
      <c r="J35" s="104" t="s">
        <v>682</v>
      </c>
      <c r="K35" s="104" t="s">
        <v>1429</v>
      </c>
      <c r="L35" s="104" t="s">
        <v>534</v>
      </c>
    </row>
    <row r="36" spans="1:12" x14ac:dyDescent="0.2">
      <c r="A36">
        <f t="shared" si="0"/>
        <v>35</v>
      </c>
      <c r="B36" t="s">
        <v>819</v>
      </c>
      <c r="C36">
        <v>3</v>
      </c>
      <c r="D36">
        <v>34</v>
      </c>
      <c r="E36" s="2" t="str">
        <f t="shared" si="1"/>
        <v>110 do 112</v>
      </c>
      <c r="F36" t="str">
        <f>REPT("  ",Aop!$C36)&amp;VLOOKUP($A36,$A$2:$L$403,ID_Jezik+6,1)</f>
        <v xml:space="preserve">      2. Zalihe nedovršene proizvodnje, poluproizvoda i nedovršenih usluga</v>
      </c>
      <c r="G36" t="s">
        <v>685</v>
      </c>
      <c r="H36" t="s">
        <v>1120</v>
      </c>
      <c r="I36" t="s">
        <v>322</v>
      </c>
      <c r="J36" s="104" t="s">
        <v>684</v>
      </c>
      <c r="K36" s="104" t="s">
        <v>1430</v>
      </c>
      <c r="L36" s="104" t="s">
        <v>535</v>
      </c>
    </row>
    <row r="37" spans="1:12" x14ac:dyDescent="0.2">
      <c r="A37">
        <f t="shared" si="0"/>
        <v>36</v>
      </c>
      <c r="B37" t="s">
        <v>819</v>
      </c>
      <c r="C37">
        <v>3</v>
      </c>
      <c r="D37">
        <v>35</v>
      </c>
      <c r="E37" s="2">
        <f t="shared" si="1"/>
        <v>120</v>
      </c>
      <c r="F37" t="str">
        <f>REPT("  ",Aop!$C37)&amp;VLOOKUP($A37,$A$2:$L$403,ID_Jezik+6,1)</f>
        <v xml:space="preserve">      3. Zalihe gotovih proizvoda</v>
      </c>
      <c r="G37" t="s">
        <v>686</v>
      </c>
      <c r="H37" t="s">
        <v>1121</v>
      </c>
      <c r="I37" t="s">
        <v>538</v>
      </c>
      <c r="J37" s="104">
        <v>120</v>
      </c>
      <c r="K37" s="104">
        <v>120</v>
      </c>
      <c r="L37" s="104">
        <v>120</v>
      </c>
    </row>
    <row r="38" spans="1:12" x14ac:dyDescent="0.2">
      <c r="A38">
        <f t="shared" si="0"/>
        <v>37</v>
      </c>
      <c r="B38" t="s">
        <v>819</v>
      </c>
      <c r="C38">
        <v>3</v>
      </c>
      <c r="D38">
        <v>36</v>
      </c>
      <c r="E38" s="2" t="str">
        <f t="shared" si="1"/>
        <v>130 do 139</v>
      </c>
      <c r="F38" t="str">
        <f>REPT("  ",Aop!$C38)&amp;VLOOKUP($A38,$A$2:$L$403,ID_Jezik+6,1)</f>
        <v xml:space="preserve">      4. Zalihe robe</v>
      </c>
      <c r="G38" t="s">
        <v>688</v>
      </c>
      <c r="H38" t="s">
        <v>1122</v>
      </c>
      <c r="I38" t="s">
        <v>539</v>
      </c>
      <c r="J38" s="104" t="s">
        <v>687</v>
      </c>
      <c r="K38" s="104" t="s">
        <v>1431</v>
      </c>
      <c r="L38" s="104" t="s">
        <v>536</v>
      </c>
    </row>
    <row r="39" spans="1:12" x14ac:dyDescent="0.2">
      <c r="A39">
        <f t="shared" si="0"/>
        <v>38</v>
      </c>
      <c r="B39" t="s">
        <v>819</v>
      </c>
      <c r="C39">
        <v>3</v>
      </c>
      <c r="D39">
        <v>37</v>
      </c>
      <c r="E39" s="2" t="str">
        <f t="shared" si="1"/>
        <v>140 do 149</v>
      </c>
      <c r="F39" t="str">
        <f>REPT("  ",Aop!$C39)&amp;VLOOKUP($A39,$A$2:$L$403,ID_Jezik+6,1)</f>
        <v xml:space="preserve">      5. Stalna sredstva i sredstva obustavljenog poslovanja namijenjena prodaji</v>
      </c>
      <c r="G39" t="s">
        <v>690</v>
      </c>
      <c r="H39" t="s">
        <v>1123</v>
      </c>
      <c r="I39" t="s">
        <v>307</v>
      </c>
      <c r="J39" s="104" t="s">
        <v>689</v>
      </c>
      <c r="K39" s="104" t="s">
        <v>1432</v>
      </c>
      <c r="L39" s="104" t="s">
        <v>540</v>
      </c>
    </row>
    <row r="40" spans="1:12" x14ac:dyDescent="0.2">
      <c r="A40">
        <f t="shared" si="0"/>
        <v>39</v>
      </c>
      <c r="B40" t="s">
        <v>819</v>
      </c>
      <c r="C40">
        <v>3</v>
      </c>
      <c r="D40">
        <v>38</v>
      </c>
      <c r="E40" s="2" t="str">
        <f t="shared" si="1"/>
        <v>150 do 159</v>
      </c>
      <c r="F40" t="str">
        <f>REPT("  ",Aop!$C40)&amp;VLOOKUP($A40,$A$2:$L$403,ID_Jezik+6,1)</f>
        <v xml:space="preserve">      6. Dati avansi</v>
      </c>
      <c r="G40" t="s">
        <v>622</v>
      </c>
      <c r="H40" t="s">
        <v>1124</v>
      </c>
      <c r="I40" t="s">
        <v>137</v>
      </c>
      <c r="J40" s="104" t="s">
        <v>691</v>
      </c>
      <c r="K40" s="104" t="s">
        <v>1433</v>
      </c>
      <c r="L40" s="104" t="s">
        <v>541</v>
      </c>
    </row>
    <row r="41" spans="1:12" x14ac:dyDescent="0.2">
      <c r="A41">
        <f t="shared" si="0"/>
        <v>40</v>
      </c>
      <c r="B41" t="s">
        <v>819</v>
      </c>
      <c r="C41">
        <v>2</v>
      </c>
      <c r="D41">
        <v>39</v>
      </c>
      <c r="E41" s="2">
        <f t="shared" si="1"/>
        <v>0</v>
      </c>
      <c r="F41" t="str">
        <f>REPT("  ",Aop!$C41)&amp;VLOOKUP($A41,$A$2:$L$403,ID_Jezik+6,1)</f>
        <v xml:space="preserve">    II  KRATKOROČNA POTRAŽIVANJA, PLASMANI I GOTOVINA (040+046+055+058+059)</v>
      </c>
      <c r="G41" t="s">
        <v>692</v>
      </c>
      <c r="H41" t="s">
        <v>1125</v>
      </c>
      <c r="I41" t="s">
        <v>542</v>
      </c>
      <c r="J41" s="104"/>
      <c r="K41" s="104"/>
      <c r="L41" s="104"/>
    </row>
    <row r="42" spans="1:12" x14ac:dyDescent="0.2">
      <c r="A42">
        <f t="shared" si="0"/>
        <v>41</v>
      </c>
      <c r="B42" t="s">
        <v>819</v>
      </c>
      <c r="C42">
        <v>3</v>
      </c>
      <c r="D42">
        <v>40</v>
      </c>
      <c r="E42" s="2" t="str">
        <f t="shared" si="1"/>
        <v>20, 21, 22</v>
      </c>
      <c r="F42" t="str">
        <f>REPT("  ",Aop!$C42)&amp;VLOOKUP($A42,$A$2:$L$403,ID_Jezik+6,1)</f>
        <v xml:space="preserve">      1. Kratkoročna potraživanja (041 do 045)</v>
      </c>
      <c r="G42" t="s">
        <v>694</v>
      </c>
      <c r="H42" t="s">
        <v>1126</v>
      </c>
      <c r="I42" t="s">
        <v>452</v>
      </c>
      <c r="J42" s="104" t="s">
        <v>693</v>
      </c>
      <c r="K42" s="104" t="s">
        <v>693</v>
      </c>
      <c r="L42" s="104" t="s">
        <v>693</v>
      </c>
    </row>
    <row r="43" spans="1:12" x14ac:dyDescent="0.2">
      <c r="A43">
        <f t="shared" si="0"/>
        <v>42</v>
      </c>
      <c r="B43" t="s">
        <v>819</v>
      </c>
      <c r="C43">
        <v>4</v>
      </c>
      <c r="D43">
        <v>41</v>
      </c>
      <c r="E43" s="2" t="str">
        <f t="shared" si="1"/>
        <v>200, dio 209</v>
      </c>
      <c r="F43" t="str">
        <f>REPT("  ",Aop!$C43)&amp;VLOOKUP($A43,$A$2:$L$403,ID_Jezik+6,1)</f>
        <v xml:space="preserve">        a) Kupci–povezana pravna lica</v>
      </c>
      <c r="G43" t="s">
        <v>696</v>
      </c>
      <c r="H43" t="s">
        <v>1127</v>
      </c>
      <c r="I43" t="s">
        <v>642</v>
      </c>
      <c r="J43" s="104" t="s">
        <v>695</v>
      </c>
      <c r="K43" s="104" t="s">
        <v>1434</v>
      </c>
      <c r="L43" s="104" t="s">
        <v>138</v>
      </c>
    </row>
    <row r="44" spans="1:12" x14ac:dyDescent="0.2">
      <c r="A44">
        <f t="shared" si="0"/>
        <v>43</v>
      </c>
      <c r="B44" t="s">
        <v>819</v>
      </c>
      <c r="C44">
        <v>4</v>
      </c>
      <c r="D44">
        <v>42</v>
      </c>
      <c r="E44" s="2" t="str">
        <f t="shared" si="1"/>
        <v>201, dio 209</v>
      </c>
      <c r="F44" t="str">
        <f>REPT("  ",Aop!$C44)&amp;VLOOKUP($A44,$A$2:$L$403,ID_Jezik+6,1)</f>
        <v xml:space="preserve">        b) Kupci u zemlji</v>
      </c>
      <c r="G44" t="s">
        <v>698</v>
      </c>
      <c r="H44" t="s">
        <v>1128</v>
      </c>
      <c r="I44" t="s">
        <v>118</v>
      </c>
      <c r="J44" s="104" t="s">
        <v>697</v>
      </c>
      <c r="K44" s="104" t="s">
        <v>1435</v>
      </c>
      <c r="L44" s="104" t="s">
        <v>139</v>
      </c>
    </row>
    <row r="45" spans="1:12" x14ac:dyDescent="0.2">
      <c r="A45">
        <f t="shared" si="0"/>
        <v>44</v>
      </c>
      <c r="B45" t="s">
        <v>819</v>
      </c>
      <c r="C45">
        <v>4</v>
      </c>
      <c r="D45">
        <v>43</v>
      </c>
      <c r="E45" s="2" t="str">
        <f t="shared" si="1"/>
        <v>202, dio 209</v>
      </c>
      <c r="F45" t="str">
        <f>REPT("  ",Aop!$C45)&amp;VLOOKUP($A45,$A$2:$L$403,ID_Jezik+6,1)</f>
        <v xml:space="preserve">        v) Kupci u inostranstvu</v>
      </c>
      <c r="G45" t="s">
        <v>700</v>
      </c>
      <c r="H45" t="s">
        <v>1129</v>
      </c>
      <c r="I45" t="s">
        <v>119</v>
      </c>
      <c r="J45" s="104" t="s">
        <v>699</v>
      </c>
      <c r="K45" s="104" t="s">
        <v>1436</v>
      </c>
      <c r="L45" s="104" t="s">
        <v>140</v>
      </c>
    </row>
    <row r="46" spans="1:12" x14ac:dyDescent="0.2">
      <c r="A46">
        <f t="shared" si="0"/>
        <v>45</v>
      </c>
      <c r="B46" t="s">
        <v>819</v>
      </c>
      <c r="C46">
        <v>4</v>
      </c>
      <c r="D46">
        <v>44</v>
      </c>
      <c r="E46" s="2" t="str">
        <f t="shared" si="1"/>
        <v>210 do 219</v>
      </c>
      <c r="F46" t="str">
        <f>REPT("  ",Aop!$C46)&amp;VLOOKUP($A46,$A$2:$L$403,ID_Jezik+6,1)</f>
        <v xml:space="preserve">        g) Potraživanja iz specifičnih poslova</v>
      </c>
      <c r="G46" t="s">
        <v>702</v>
      </c>
      <c r="H46" t="s">
        <v>1130</v>
      </c>
      <c r="I46" t="s">
        <v>453</v>
      </c>
      <c r="J46" s="104" t="s">
        <v>701</v>
      </c>
      <c r="K46" s="104" t="s">
        <v>1437</v>
      </c>
      <c r="L46" s="104" t="s">
        <v>152</v>
      </c>
    </row>
    <row r="47" spans="1:12" x14ac:dyDescent="0.2">
      <c r="A47">
        <f t="shared" si="0"/>
        <v>46</v>
      </c>
      <c r="B47" t="s">
        <v>819</v>
      </c>
      <c r="C47">
        <v>4</v>
      </c>
      <c r="D47">
        <v>45</v>
      </c>
      <c r="E47" s="2" t="str">
        <f t="shared" si="1"/>
        <v>220 do 229</v>
      </c>
      <c r="F47" t="str">
        <f>REPT("  ",Aop!$C47)&amp;VLOOKUP($A47,$A$2:$L$403,ID_Jezik+6,1)</f>
        <v xml:space="preserve">        d) Druga kratkoročna potraživanja</v>
      </c>
      <c r="G47" t="s">
        <v>713</v>
      </c>
      <c r="H47" t="s">
        <v>1131</v>
      </c>
      <c r="I47" t="s">
        <v>543</v>
      </c>
      <c r="J47" s="104" t="s">
        <v>703</v>
      </c>
      <c r="K47" s="104" t="s">
        <v>1438</v>
      </c>
      <c r="L47" s="104" t="s">
        <v>153</v>
      </c>
    </row>
    <row r="48" spans="1:12" x14ac:dyDescent="0.2">
      <c r="A48">
        <f t="shared" si="0"/>
        <v>47</v>
      </c>
      <c r="B48" t="s">
        <v>819</v>
      </c>
      <c r="C48">
        <v>3</v>
      </c>
      <c r="D48">
        <v>46</v>
      </c>
      <c r="E48" s="2">
        <f t="shared" si="1"/>
        <v>23</v>
      </c>
      <c r="F48" t="str">
        <f>REPT("  ",Aop!$C48)&amp;VLOOKUP($A48,$A$2:$L$403,ID_Jezik+6,1)</f>
        <v xml:space="preserve">      2. Kratkoročni finansijski plasmani (047 do 054)</v>
      </c>
      <c r="G48" t="s">
        <v>714</v>
      </c>
      <c r="H48" t="s">
        <v>1132</v>
      </c>
      <c r="I48" t="s">
        <v>544</v>
      </c>
      <c r="J48" s="104">
        <v>23</v>
      </c>
      <c r="K48" s="104">
        <v>23</v>
      </c>
      <c r="L48" s="104">
        <v>23</v>
      </c>
    </row>
    <row r="49" spans="1:12" x14ac:dyDescent="0.2">
      <c r="A49">
        <f t="shared" si="0"/>
        <v>48</v>
      </c>
      <c r="B49" t="s">
        <v>819</v>
      </c>
      <c r="C49">
        <v>4</v>
      </c>
      <c r="D49">
        <v>47</v>
      </c>
      <c r="E49" s="2" t="str">
        <f t="shared" si="1"/>
        <v>230, dio 239</v>
      </c>
      <c r="F49" t="str">
        <f>REPT("  ",Aop!$C49)&amp;VLOOKUP($A49,$A$2:$L$403,ID_Jezik+6,1)</f>
        <v xml:space="preserve">        a) Kratkoročni krediti povezanim pravnim licima</v>
      </c>
      <c r="G49" t="s">
        <v>715</v>
      </c>
      <c r="H49" t="s">
        <v>1133</v>
      </c>
      <c r="I49" t="s">
        <v>545</v>
      </c>
      <c r="J49" s="104" t="s">
        <v>704</v>
      </c>
      <c r="K49" s="104" t="s">
        <v>1439</v>
      </c>
      <c r="L49" s="104" t="s">
        <v>141</v>
      </c>
    </row>
    <row r="50" spans="1:12" x14ac:dyDescent="0.2">
      <c r="A50">
        <f t="shared" si="0"/>
        <v>49</v>
      </c>
      <c r="B50" t="s">
        <v>819</v>
      </c>
      <c r="C50">
        <v>4</v>
      </c>
      <c r="D50">
        <v>48</v>
      </c>
      <c r="E50" s="2" t="str">
        <f t="shared" si="1"/>
        <v>231, dio 239</v>
      </c>
      <c r="F50" t="str">
        <f>REPT("  ",Aop!$C50)&amp;VLOOKUP($A50,$A$2:$L$403,ID_Jezik+6,1)</f>
        <v xml:space="preserve">        b) Kratkoročni krediti u zemlji</v>
      </c>
      <c r="G50" t="s">
        <v>716</v>
      </c>
      <c r="H50" t="s">
        <v>1134</v>
      </c>
      <c r="I50" t="s">
        <v>546</v>
      </c>
      <c r="J50" s="104" t="s">
        <v>705</v>
      </c>
      <c r="K50" s="104" t="s">
        <v>1440</v>
      </c>
      <c r="L50" s="104" t="s">
        <v>142</v>
      </c>
    </row>
    <row r="51" spans="1:12" x14ac:dyDescent="0.2">
      <c r="A51">
        <f t="shared" si="0"/>
        <v>50</v>
      </c>
      <c r="B51" t="s">
        <v>819</v>
      </c>
      <c r="C51">
        <v>4</v>
      </c>
      <c r="D51">
        <v>49</v>
      </c>
      <c r="E51" s="2" t="str">
        <f t="shared" si="1"/>
        <v>232, dio 239</v>
      </c>
      <c r="F51" t="str">
        <f>REPT("  ",Aop!$C51)&amp;VLOOKUP($A51,$A$2:$L$403,ID_Jezik+6,1)</f>
        <v xml:space="preserve">        v) Kratkoročni krediti u inostranstvu</v>
      </c>
      <c r="G51" t="s">
        <v>717</v>
      </c>
      <c r="H51" t="s">
        <v>1135</v>
      </c>
      <c r="I51" t="s">
        <v>324</v>
      </c>
      <c r="J51" s="104" t="s">
        <v>706</v>
      </c>
      <c r="K51" s="104" t="s">
        <v>1441</v>
      </c>
      <c r="L51" s="104" t="s">
        <v>143</v>
      </c>
    </row>
    <row r="52" spans="1:12" x14ac:dyDescent="0.2">
      <c r="A52">
        <f t="shared" si="0"/>
        <v>51</v>
      </c>
      <c r="B52" t="s">
        <v>819</v>
      </c>
      <c r="C52">
        <v>4</v>
      </c>
      <c r="D52">
        <v>50</v>
      </c>
      <c r="E52" s="2" t="str">
        <f t="shared" si="1"/>
        <v>233 i 234</v>
      </c>
      <c r="F52" t="str">
        <f>REPT("  ",Aop!$C52)&amp;VLOOKUP($A52,$A$2:$L$403,ID_Jezik+6,1)</f>
        <v xml:space="preserve">        g) Dio dugoročnih finansijskih plasmana koji dospijeva za naplatu u periodu do godinu dana</v>
      </c>
      <c r="G52" t="s">
        <v>718</v>
      </c>
      <c r="H52" t="s">
        <v>1136</v>
      </c>
      <c r="I52" t="s">
        <v>547</v>
      </c>
      <c r="J52" s="104" t="s">
        <v>707</v>
      </c>
      <c r="K52" s="104" t="s">
        <v>1442</v>
      </c>
      <c r="L52" s="104" t="s">
        <v>548</v>
      </c>
    </row>
    <row r="53" spans="1:12" x14ac:dyDescent="0.2">
      <c r="A53">
        <f t="shared" si="0"/>
        <v>52</v>
      </c>
      <c r="B53" t="s">
        <v>819</v>
      </c>
      <c r="C53">
        <v>4</v>
      </c>
      <c r="D53">
        <v>51</v>
      </c>
      <c r="E53" s="2" t="str">
        <f t="shared" si="1"/>
        <v>235, dio 239</v>
      </c>
      <c r="F53" t="str">
        <f>REPT("  ",Aop!$C53)&amp;VLOOKUP($A53,$A$2:$L$403,ID_Jezik+6,1)</f>
        <v xml:space="preserve">        d) Finansijska sredstva po fer vrijednosti kroz bilans uspjeha namijenjena trgovanju</v>
      </c>
      <c r="G53" t="s">
        <v>110</v>
      </c>
      <c r="H53" t="s">
        <v>1137</v>
      </c>
      <c r="I53" t="s">
        <v>549</v>
      </c>
      <c r="J53" s="104" t="s">
        <v>708</v>
      </c>
      <c r="K53" s="104" t="s">
        <v>1443</v>
      </c>
      <c r="L53" s="104" t="s">
        <v>144</v>
      </c>
    </row>
    <row r="54" spans="1:12" x14ac:dyDescent="0.2">
      <c r="A54">
        <f t="shared" si="0"/>
        <v>53</v>
      </c>
      <c r="B54" t="s">
        <v>819</v>
      </c>
      <c r="C54">
        <v>4</v>
      </c>
      <c r="D54">
        <v>52</v>
      </c>
      <c r="E54" s="2" t="str">
        <f t="shared" si="1"/>
        <v>236, dio 239</v>
      </c>
      <c r="F54" t="str">
        <f>REPT("  ",Aop!$C54)&amp;VLOOKUP($A54,$A$2:$L$403,ID_Jezik+6,1)</f>
        <v xml:space="preserve">        đ) Finansijska sredstva označena po fer vrijednosti kroz bilans uspjeha</v>
      </c>
      <c r="G54" t="s">
        <v>719</v>
      </c>
      <c r="H54" t="s">
        <v>1138</v>
      </c>
      <c r="I54" t="s">
        <v>308</v>
      </c>
      <c r="J54" s="104" t="s">
        <v>709</v>
      </c>
      <c r="K54" s="104" t="s">
        <v>1444</v>
      </c>
      <c r="L54" s="104" t="s">
        <v>145</v>
      </c>
    </row>
    <row r="55" spans="1:12" x14ac:dyDescent="0.2">
      <c r="A55">
        <f t="shared" si="0"/>
        <v>54</v>
      </c>
      <c r="B55" t="s">
        <v>819</v>
      </c>
      <c r="C55">
        <v>4</v>
      </c>
      <c r="D55">
        <v>53</v>
      </c>
      <c r="E55" s="2">
        <f t="shared" si="1"/>
        <v>237</v>
      </c>
      <c r="F55" t="str">
        <f>REPT("  ",Aop!$C55)&amp;VLOOKUP($A55,$A$2:$L$403,ID_Jezik+6,1)</f>
        <v xml:space="preserve">        e) Okupljene sopstvene akcije i otkupljeni sopstveni udjeli namijenjeni prodaji ili poništavanju</v>
      </c>
      <c r="G55" t="s">
        <v>187</v>
      </c>
      <c r="H55" t="s">
        <v>1139</v>
      </c>
      <c r="I55" t="s">
        <v>325</v>
      </c>
      <c r="J55" s="104">
        <v>237</v>
      </c>
      <c r="K55" s="104">
        <v>237</v>
      </c>
      <c r="L55" s="104">
        <v>237</v>
      </c>
    </row>
    <row r="56" spans="1:12" x14ac:dyDescent="0.2">
      <c r="A56">
        <f t="shared" si="0"/>
        <v>55</v>
      </c>
      <c r="B56" t="s">
        <v>819</v>
      </c>
      <c r="C56">
        <v>4</v>
      </c>
      <c r="D56">
        <v>54</v>
      </c>
      <c r="E56" s="2" t="str">
        <f t="shared" si="1"/>
        <v>238, dio 239</v>
      </c>
      <c r="F56" t="str">
        <f>REPT("  ",Aop!$C56)&amp;VLOOKUP($A56,$A$2:$L$403,ID_Jezik+6,1)</f>
        <v xml:space="preserve">        ž) Ostali kratkoročni plasmani</v>
      </c>
      <c r="G56" t="s">
        <v>720</v>
      </c>
      <c r="H56" t="s">
        <v>1140</v>
      </c>
      <c r="I56" t="s">
        <v>454</v>
      </c>
      <c r="J56" s="104" t="s">
        <v>710</v>
      </c>
      <c r="K56" s="104" t="s">
        <v>1445</v>
      </c>
      <c r="L56" s="104" t="s">
        <v>146</v>
      </c>
    </row>
    <row r="57" spans="1:12" x14ac:dyDescent="0.2">
      <c r="A57">
        <f t="shared" si="0"/>
        <v>56</v>
      </c>
      <c r="B57" t="s">
        <v>819</v>
      </c>
      <c r="C57">
        <v>3</v>
      </c>
      <c r="D57">
        <v>55</v>
      </c>
      <c r="E57" s="2">
        <f t="shared" si="1"/>
        <v>24</v>
      </c>
      <c r="F57" t="str">
        <f>REPT("  ",Aop!$C57)&amp;VLOOKUP($A57,$A$2:$L$403,ID_Jezik+6,1)</f>
        <v xml:space="preserve">      3. Gotovinski ekvivalenti i gotovina (056+057)</v>
      </c>
      <c r="G57" t="s">
        <v>721</v>
      </c>
      <c r="H57" t="s">
        <v>1141</v>
      </c>
      <c r="I57" t="s">
        <v>294</v>
      </c>
      <c r="J57" s="104">
        <v>24</v>
      </c>
      <c r="K57" s="104">
        <v>24</v>
      </c>
      <c r="L57" s="104">
        <v>24</v>
      </c>
    </row>
    <row r="58" spans="1:12" x14ac:dyDescent="0.2">
      <c r="A58">
        <f t="shared" si="0"/>
        <v>57</v>
      </c>
      <c r="B58" t="s">
        <v>819</v>
      </c>
      <c r="C58">
        <v>4</v>
      </c>
      <c r="D58">
        <v>56</v>
      </c>
      <c r="E58" s="2">
        <f t="shared" si="1"/>
        <v>240</v>
      </c>
      <c r="F58" t="str">
        <f>REPT("  ",Aop!$C58)&amp;VLOOKUP($A58,$A$2:$L$403,ID_Jezik+6,1)</f>
        <v xml:space="preserve">        a) Gotovinski ekvivalenti - hartije od vrijednosti</v>
      </c>
      <c r="G58" t="s">
        <v>729</v>
      </c>
      <c r="H58" t="s">
        <v>1142</v>
      </c>
      <c r="I58" t="s">
        <v>550</v>
      </c>
      <c r="J58" s="104">
        <v>240</v>
      </c>
      <c r="K58" s="104">
        <v>240</v>
      </c>
      <c r="L58" s="104">
        <v>240</v>
      </c>
    </row>
    <row r="59" spans="1:12" x14ac:dyDescent="0.2">
      <c r="A59">
        <f t="shared" si="0"/>
        <v>58</v>
      </c>
      <c r="B59" t="s">
        <v>819</v>
      </c>
      <c r="C59">
        <v>4</v>
      </c>
      <c r="D59">
        <v>57</v>
      </c>
      <c r="E59" s="2" t="str">
        <f t="shared" si="1"/>
        <v>241 do 249</v>
      </c>
      <c r="F59" t="str">
        <f>REPT("  ",Aop!$C59)&amp;VLOOKUP($A59,$A$2:$L$403,ID_Jezik+6,1)</f>
        <v xml:space="preserve">        b) Gotovina</v>
      </c>
      <c r="G59" t="s">
        <v>722</v>
      </c>
      <c r="H59" t="s">
        <v>1143</v>
      </c>
      <c r="I59" t="s">
        <v>455</v>
      </c>
      <c r="J59" s="104" t="s">
        <v>711</v>
      </c>
      <c r="K59" s="104" t="s">
        <v>1446</v>
      </c>
      <c r="L59" s="104" t="s">
        <v>147</v>
      </c>
    </row>
    <row r="60" spans="1:12" x14ac:dyDescent="0.2">
      <c r="A60">
        <f t="shared" si="0"/>
        <v>59</v>
      </c>
      <c r="B60" t="s">
        <v>819</v>
      </c>
      <c r="C60">
        <v>3</v>
      </c>
      <c r="D60">
        <v>58</v>
      </c>
      <c r="E60" s="2" t="str">
        <f t="shared" si="1"/>
        <v>270 do 279</v>
      </c>
      <c r="F60" t="str">
        <f>REPT("  ",Aop!$C60)&amp;VLOOKUP($A60,$A$2:$L$403,ID_Jezik+6,1)</f>
        <v xml:space="preserve">      4. Porez na dodatu vrijednost</v>
      </c>
      <c r="G60" t="s">
        <v>723</v>
      </c>
      <c r="H60" t="s">
        <v>1144</v>
      </c>
      <c r="I60" t="s">
        <v>551</v>
      </c>
      <c r="J60" s="104" t="s">
        <v>148</v>
      </c>
      <c r="K60" s="104" t="s">
        <v>1447</v>
      </c>
      <c r="L60" s="104" t="s">
        <v>149</v>
      </c>
    </row>
    <row r="61" spans="1:12" x14ac:dyDescent="0.2">
      <c r="A61">
        <f t="shared" si="0"/>
        <v>60</v>
      </c>
      <c r="B61" t="s">
        <v>819</v>
      </c>
      <c r="C61">
        <v>3</v>
      </c>
      <c r="D61">
        <v>59</v>
      </c>
      <c r="E61" s="2" t="str">
        <f t="shared" si="1"/>
        <v>280 do 289, osim 288</v>
      </c>
      <c r="F61" t="str">
        <f>REPT("  ",Aop!$C61)&amp;VLOOKUP($A61,$A$2:$L$403,ID_Jezik+6,1)</f>
        <v xml:space="preserve">      5. Aktivna vremenska razgraničenja</v>
      </c>
      <c r="G61" t="s">
        <v>724</v>
      </c>
      <c r="H61" t="s">
        <v>1145</v>
      </c>
      <c r="I61" t="s">
        <v>120</v>
      </c>
      <c r="J61" s="104" t="s">
        <v>712</v>
      </c>
      <c r="K61" s="104" t="s">
        <v>1448</v>
      </c>
      <c r="L61" s="104" t="s">
        <v>150</v>
      </c>
    </row>
    <row r="62" spans="1:12" x14ac:dyDescent="0.2">
      <c r="A62">
        <f t="shared" si="0"/>
        <v>61</v>
      </c>
      <c r="B62" t="s">
        <v>819</v>
      </c>
      <c r="C62">
        <v>2</v>
      </c>
      <c r="D62">
        <v>60</v>
      </c>
      <c r="E62" s="2">
        <f t="shared" si="1"/>
        <v>288</v>
      </c>
      <c r="F62" t="str">
        <f>REPT("  ",Aop!$C62)&amp;VLOOKUP($A62,$A$2:$L$403,ID_Jezik+6,1)</f>
        <v xml:space="preserve">    III  ODLOŽENA PORESKA SREDSTVA</v>
      </c>
      <c r="G62" t="s">
        <v>725</v>
      </c>
      <c r="H62" t="s">
        <v>1146</v>
      </c>
      <c r="I62" t="s">
        <v>328</v>
      </c>
      <c r="J62" s="104">
        <v>288</v>
      </c>
      <c r="K62" s="104">
        <v>288</v>
      </c>
      <c r="L62" s="104">
        <v>288</v>
      </c>
    </row>
    <row r="63" spans="1:12" x14ac:dyDescent="0.2">
      <c r="A63">
        <f t="shared" si="0"/>
        <v>62</v>
      </c>
      <c r="B63" t="s">
        <v>819</v>
      </c>
      <c r="C63">
        <v>1</v>
      </c>
      <c r="D63">
        <v>61</v>
      </c>
      <c r="E63" s="2">
        <f t="shared" si="1"/>
        <v>29</v>
      </c>
      <c r="F63" t="str">
        <f>REPT("  ",Aop!$C63)&amp;VLOOKUP($A63,$A$2:$L$403,ID_Jezik+6,1)</f>
        <v xml:space="preserve">  V. GUBITAK IZNAD VISINE KAPITALA</v>
      </c>
      <c r="G63" t="s">
        <v>726</v>
      </c>
      <c r="H63" t="s">
        <v>1147</v>
      </c>
      <c r="I63" t="s">
        <v>224</v>
      </c>
      <c r="J63" s="104">
        <v>29</v>
      </c>
      <c r="K63" s="104">
        <v>29</v>
      </c>
      <c r="L63" s="104">
        <v>29</v>
      </c>
    </row>
    <row r="64" spans="1:12" x14ac:dyDescent="0.2">
      <c r="A64">
        <f t="shared" si="0"/>
        <v>63</v>
      </c>
      <c r="B64" t="s">
        <v>819</v>
      </c>
      <c r="C64">
        <v>1</v>
      </c>
      <c r="D64">
        <v>62</v>
      </c>
      <c r="E64" s="2">
        <f t="shared" si="1"/>
        <v>0</v>
      </c>
      <c r="F64" t="str">
        <f>REPT("  ",Aop!$C64)&amp;VLOOKUP($A64,$A$2:$L$403,ID_Jezik+6,1)</f>
        <v xml:space="preserve">  G. POSLOVNA AKTIVA (001+031+061)</v>
      </c>
      <c r="G64" t="s">
        <v>727</v>
      </c>
      <c r="H64" t="s">
        <v>1148</v>
      </c>
      <c r="I64" t="s">
        <v>225</v>
      </c>
      <c r="J64" s="104"/>
      <c r="K64" s="104"/>
      <c r="L64" s="104"/>
    </row>
    <row r="65" spans="1:12" x14ac:dyDescent="0.2">
      <c r="A65">
        <f t="shared" si="0"/>
        <v>64</v>
      </c>
      <c r="B65" t="s">
        <v>819</v>
      </c>
      <c r="C65">
        <v>1</v>
      </c>
      <c r="D65">
        <v>63</v>
      </c>
      <c r="E65" s="2" t="str">
        <f t="shared" si="1"/>
        <v>880 do 888</v>
      </c>
      <c r="F65" t="str">
        <f>REPT("  ",Aop!$C65)&amp;VLOOKUP($A65,$A$2:$L$403,ID_Jezik+6,1)</f>
        <v xml:space="preserve">  D. VANBILANSNA AKTIVA</v>
      </c>
      <c r="G65" t="s">
        <v>730</v>
      </c>
      <c r="H65" t="s">
        <v>1149</v>
      </c>
      <c r="I65" t="s">
        <v>226</v>
      </c>
      <c r="J65" s="104" t="s">
        <v>728</v>
      </c>
      <c r="K65" s="104" t="s">
        <v>1449</v>
      </c>
      <c r="L65" s="104" t="s">
        <v>151</v>
      </c>
    </row>
    <row r="66" spans="1:12" x14ac:dyDescent="0.2">
      <c r="A66">
        <f t="shared" ref="A66:A129" si="2">ROW()-ROW($A$1)</f>
        <v>65</v>
      </c>
      <c r="B66" t="s">
        <v>819</v>
      </c>
      <c r="C66">
        <v>1</v>
      </c>
      <c r="D66">
        <v>64</v>
      </c>
      <c r="E66" s="2">
        <f t="shared" ref="E66:E129" si="3">VLOOKUP($A66,$A$2:$L$403,ID_Jezik+9,1)</f>
        <v>0</v>
      </c>
      <c r="F66" t="str">
        <f>REPT("  ",Aop!$C66)&amp;VLOOKUP($A66,$A$2:$L$403,ID_Jezik+6,1)</f>
        <v xml:space="preserve">  Đ. UKUPNA AKTIVA (062+063)</v>
      </c>
      <c r="G66" t="s">
        <v>731</v>
      </c>
      <c r="H66" t="s">
        <v>1150</v>
      </c>
      <c r="I66" t="s">
        <v>227</v>
      </c>
      <c r="J66" s="104"/>
      <c r="K66" s="104"/>
      <c r="L66" s="104"/>
    </row>
    <row r="67" spans="1:12" x14ac:dyDescent="0.2">
      <c r="A67">
        <f t="shared" si="2"/>
        <v>66</v>
      </c>
      <c r="B67" t="s">
        <v>819</v>
      </c>
      <c r="C67">
        <v>0</v>
      </c>
      <c r="E67" s="2">
        <f t="shared" si="3"/>
        <v>0</v>
      </c>
      <c r="F67" t="str">
        <f>REPT("  ",Aop!$C67)&amp;VLOOKUP($A67,$A$2:$L$403,ID_Jezik+6,1)</f>
        <v>PASIVA</v>
      </c>
      <c r="G67" t="s">
        <v>631</v>
      </c>
      <c r="H67" t="s">
        <v>1151</v>
      </c>
      <c r="I67" t="s">
        <v>643</v>
      </c>
      <c r="J67" s="104"/>
      <c r="K67" s="104"/>
      <c r="L67" s="104"/>
    </row>
    <row r="68" spans="1:12" x14ac:dyDescent="0.2">
      <c r="A68">
        <f t="shared" si="2"/>
        <v>67</v>
      </c>
      <c r="B68" t="s">
        <v>819</v>
      </c>
      <c r="C68">
        <v>1</v>
      </c>
      <c r="D68">
        <v>101</v>
      </c>
      <c r="E68" s="2">
        <f t="shared" si="3"/>
        <v>0</v>
      </c>
      <c r="F68" t="str">
        <f>REPT("  ",Aop!$C68)&amp;VLOOKUP($A68,$A$2:$L$403,ID_Jezik+6,1)</f>
        <v xml:space="preserve">  A. KAPITAL (102-109+110+111+114+115-116+117-122)</v>
      </c>
      <c r="G68" t="s">
        <v>732</v>
      </c>
      <c r="H68" t="s">
        <v>1152</v>
      </c>
      <c r="I68" t="s">
        <v>456</v>
      </c>
      <c r="J68" s="104"/>
      <c r="K68" s="104"/>
      <c r="L68" s="104"/>
    </row>
    <row r="69" spans="1:12" x14ac:dyDescent="0.2">
      <c r="A69">
        <f t="shared" si="2"/>
        <v>68</v>
      </c>
      <c r="B69" t="s">
        <v>819</v>
      </c>
      <c r="C69">
        <v>2</v>
      </c>
      <c r="D69">
        <v>102</v>
      </c>
      <c r="E69" s="2">
        <f t="shared" si="3"/>
        <v>30</v>
      </c>
      <c r="F69" t="str">
        <f>REPT("  ",Aop!$C69)&amp;VLOOKUP($A69,$A$2:$L$403,ID_Jezik+6,1)</f>
        <v xml:space="preserve">    I  OSNOVNI KAPITAL (103 do 108)</v>
      </c>
      <c r="G69" t="s">
        <v>733</v>
      </c>
      <c r="H69" t="s">
        <v>1153</v>
      </c>
      <c r="I69" t="s">
        <v>457</v>
      </c>
      <c r="J69" s="104">
        <v>30</v>
      </c>
      <c r="K69" s="104">
        <v>30</v>
      </c>
      <c r="L69" s="104">
        <v>30</v>
      </c>
    </row>
    <row r="70" spans="1:12" x14ac:dyDescent="0.2">
      <c r="A70">
        <f t="shared" si="2"/>
        <v>69</v>
      </c>
      <c r="B70" t="s">
        <v>819</v>
      </c>
      <c r="C70">
        <v>3</v>
      </c>
      <c r="D70">
        <v>103</v>
      </c>
      <c r="E70" s="2">
        <f t="shared" si="3"/>
        <v>300</v>
      </c>
      <c r="F70" t="str">
        <f>REPT("  ",Aop!$C70)&amp;VLOOKUP($A70,$A$2:$L$403,ID_Jezik+6,1)</f>
        <v xml:space="preserve">      1. Akcijski kapital</v>
      </c>
      <c r="G70" t="s">
        <v>734</v>
      </c>
      <c r="H70" t="s">
        <v>1154</v>
      </c>
      <c r="I70" t="s">
        <v>552</v>
      </c>
      <c r="J70" s="104">
        <v>300</v>
      </c>
      <c r="K70" s="104">
        <v>300</v>
      </c>
      <c r="L70" s="104">
        <v>300</v>
      </c>
    </row>
    <row r="71" spans="1:12" x14ac:dyDescent="0.2">
      <c r="A71">
        <f t="shared" si="2"/>
        <v>70</v>
      </c>
      <c r="B71" t="s">
        <v>819</v>
      </c>
      <c r="C71">
        <v>3</v>
      </c>
      <c r="D71">
        <v>104</v>
      </c>
      <c r="E71" s="2">
        <f t="shared" si="3"/>
        <v>302</v>
      </c>
      <c r="F71" t="str">
        <f>REPT("  ",Aop!$C71)&amp;VLOOKUP($A71,$A$2:$L$403,ID_Jezik+6,1)</f>
        <v xml:space="preserve">      2. Udjeli društva sa ograničenom odgovornošću</v>
      </c>
      <c r="G71" t="s">
        <v>773</v>
      </c>
      <c r="H71" t="s">
        <v>1155</v>
      </c>
      <c r="I71" t="s">
        <v>326</v>
      </c>
      <c r="J71" s="104">
        <v>302</v>
      </c>
      <c r="K71" s="104">
        <v>302</v>
      </c>
      <c r="L71" s="104">
        <v>302</v>
      </c>
    </row>
    <row r="72" spans="1:12" x14ac:dyDescent="0.2">
      <c r="A72">
        <f t="shared" si="2"/>
        <v>71</v>
      </c>
      <c r="B72" t="s">
        <v>819</v>
      </c>
      <c r="C72">
        <v>3</v>
      </c>
      <c r="D72">
        <v>105</v>
      </c>
      <c r="E72" s="2">
        <f t="shared" si="3"/>
        <v>303</v>
      </c>
      <c r="F72" t="str">
        <f>REPT("  ",Aop!$C72)&amp;VLOOKUP($A72,$A$2:$L$403,ID_Jezik+6,1)</f>
        <v xml:space="preserve">      3. Zadružni udjeli</v>
      </c>
      <c r="G72" t="s">
        <v>735</v>
      </c>
      <c r="H72" t="s">
        <v>1156</v>
      </c>
      <c r="I72" t="s">
        <v>327</v>
      </c>
      <c r="J72" s="104">
        <v>303</v>
      </c>
      <c r="K72" s="104">
        <v>303</v>
      </c>
      <c r="L72" s="104">
        <v>303</v>
      </c>
    </row>
    <row r="73" spans="1:12" x14ac:dyDescent="0.2">
      <c r="A73">
        <f t="shared" si="2"/>
        <v>72</v>
      </c>
      <c r="B73" t="s">
        <v>819</v>
      </c>
      <c r="C73">
        <v>3</v>
      </c>
      <c r="D73">
        <v>106</v>
      </c>
      <c r="E73" s="2">
        <f t="shared" si="3"/>
        <v>304</v>
      </c>
      <c r="F73" t="str">
        <f>REPT("  ",Aop!$C73)&amp;VLOOKUP($A73,$A$2:$L$403,ID_Jezik+6,1)</f>
        <v xml:space="preserve">      4. Ulozi</v>
      </c>
      <c r="G73" t="s">
        <v>623</v>
      </c>
      <c r="H73" t="s">
        <v>1157</v>
      </c>
      <c r="I73" t="s">
        <v>329</v>
      </c>
      <c r="J73" s="104">
        <v>304</v>
      </c>
      <c r="K73" s="104">
        <v>304</v>
      </c>
      <c r="L73" s="104">
        <v>304</v>
      </c>
    </row>
    <row r="74" spans="1:12" x14ac:dyDescent="0.2">
      <c r="A74">
        <f t="shared" si="2"/>
        <v>73</v>
      </c>
      <c r="B74" t="s">
        <v>819</v>
      </c>
      <c r="C74">
        <v>3</v>
      </c>
      <c r="D74">
        <v>107</v>
      </c>
      <c r="E74" s="2">
        <f t="shared" si="3"/>
        <v>305</v>
      </c>
      <c r="F74" t="str">
        <f>REPT("  ",Aop!$C74)&amp;VLOOKUP($A74,$A$2:$L$403,ID_Jezik+6,1)</f>
        <v xml:space="preserve">      5. Državni kapital</v>
      </c>
      <c r="G74" t="s">
        <v>624</v>
      </c>
      <c r="H74" t="s">
        <v>1158</v>
      </c>
      <c r="I74" t="s">
        <v>553</v>
      </c>
      <c r="J74" s="104">
        <v>305</v>
      </c>
      <c r="K74" s="104">
        <v>305</v>
      </c>
      <c r="L74" s="104">
        <v>305</v>
      </c>
    </row>
    <row r="75" spans="1:12" x14ac:dyDescent="0.2">
      <c r="A75">
        <f t="shared" si="2"/>
        <v>74</v>
      </c>
      <c r="B75" t="s">
        <v>819</v>
      </c>
      <c r="C75">
        <v>3</v>
      </c>
      <c r="D75">
        <v>108</v>
      </c>
      <c r="E75" s="2">
        <f t="shared" si="3"/>
        <v>306</v>
      </c>
      <c r="F75" t="str">
        <f>REPT("  ",Aop!$C75)&amp;VLOOKUP($A75,$A$2:$L$403,ID_Jezik+6,1)</f>
        <v xml:space="preserve">      6. Ostali osnovni kapital</v>
      </c>
      <c r="G75" t="s">
        <v>736</v>
      </c>
      <c r="H75" t="s">
        <v>1159</v>
      </c>
      <c r="I75" t="s">
        <v>458</v>
      </c>
      <c r="J75" s="104">
        <v>306</v>
      </c>
      <c r="K75" s="104">
        <v>306</v>
      </c>
      <c r="L75" s="104">
        <v>306</v>
      </c>
    </row>
    <row r="76" spans="1:12" x14ac:dyDescent="0.2">
      <c r="A76">
        <f t="shared" si="2"/>
        <v>75</v>
      </c>
      <c r="B76" t="s">
        <v>819</v>
      </c>
      <c r="C76">
        <v>2</v>
      </c>
      <c r="D76">
        <v>109</v>
      </c>
      <c r="E76" s="2">
        <f t="shared" si="3"/>
        <v>31</v>
      </c>
      <c r="F76" t="str">
        <f>REPT("  ",Aop!$C76)&amp;VLOOKUP($A76,$A$2:$L$403,ID_Jezik+6,1)</f>
        <v xml:space="preserve">    II  UPISANI NEUPLAĆENI KAPITAL</v>
      </c>
      <c r="G76" t="s">
        <v>98</v>
      </c>
      <c r="H76" t="s">
        <v>1160</v>
      </c>
      <c r="I76" t="s">
        <v>554</v>
      </c>
      <c r="J76" s="104">
        <v>31</v>
      </c>
      <c r="K76" s="104">
        <v>31</v>
      </c>
      <c r="L76" s="104">
        <v>31</v>
      </c>
    </row>
    <row r="77" spans="1:12" x14ac:dyDescent="0.2">
      <c r="A77">
        <f t="shared" si="2"/>
        <v>76</v>
      </c>
      <c r="B77" t="s">
        <v>819</v>
      </c>
      <c r="C77">
        <v>2</v>
      </c>
      <c r="D77">
        <v>110</v>
      </c>
      <c r="E77" s="2">
        <f t="shared" si="3"/>
        <v>320</v>
      </c>
      <c r="F77" t="str">
        <f>REPT("  ",Aop!$C77)&amp;VLOOKUP($A77,$A$2:$L$403,ID_Jezik+6,1)</f>
        <v xml:space="preserve">    III  EMISIONA PREMIJA</v>
      </c>
      <c r="G77" t="s">
        <v>99</v>
      </c>
      <c r="H77" t="s">
        <v>1161</v>
      </c>
      <c r="I77" t="s">
        <v>459</v>
      </c>
      <c r="J77" s="104">
        <v>320</v>
      </c>
      <c r="K77" s="104">
        <v>320</v>
      </c>
      <c r="L77" s="104">
        <v>320</v>
      </c>
    </row>
    <row r="78" spans="1:12" x14ac:dyDescent="0.2">
      <c r="A78">
        <f t="shared" si="2"/>
        <v>77</v>
      </c>
      <c r="B78" t="s">
        <v>819</v>
      </c>
      <c r="C78">
        <v>2</v>
      </c>
      <c r="D78">
        <v>111</v>
      </c>
      <c r="E78" s="2" t="str">
        <f t="shared" si="3"/>
        <v>dio 32</v>
      </c>
      <c r="F78" t="str">
        <f>REPT("  ",Aop!$C78)&amp;VLOOKUP($A78,$A$2:$L$403,ID_Jezik+6,1)</f>
        <v xml:space="preserve">    IV  REZERVE (112+113)</v>
      </c>
      <c r="G78" t="s">
        <v>100</v>
      </c>
      <c r="H78" t="s">
        <v>1162</v>
      </c>
      <c r="I78" t="s">
        <v>555</v>
      </c>
      <c r="J78" s="104" t="s">
        <v>757</v>
      </c>
      <c r="K78" s="104" t="s">
        <v>1450</v>
      </c>
      <c r="L78" s="104" t="s">
        <v>462</v>
      </c>
    </row>
    <row r="79" spans="1:12" x14ac:dyDescent="0.2">
      <c r="A79">
        <f t="shared" si="2"/>
        <v>78</v>
      </c>
      <c r="B79" t="s">
        <v>819</v>
      </c>
      <c r="C79">
        <v>3</v>
      </c>
      <c r="D79">
        <v>112</v>
      </c>
      <c r="E79" s="2">
        <f t="shared" si="3"/>
        <v>321</v>
      </c>
      <c r="F79" t="str">
        <f>REPT("  ",Aop!$C79)&amp;VLOOKUP($A79,$A$2:$L$403,ID_Jezik+6,1)</f>
        <v xml:space="preserve">      1. Zakonske rezerve</v>
      </c>
      <c r="G79" t="s">
        <v>625</v>
      </c>
      <c r="H79" t="s">
        <v>1163</v>
      </c>
      <c r="I79" t="s">
        <v>644</v>
      </c>
      <c r="J79" s="104">
        <v>321</v>
      </c>
      <c r="K79" s="104">
        <v>321</v>
      </c>
      <c r="L79" s="104">
        <v>321</v>
      </c>
    </row>
    <row r="80" spans="1:12" x14ac:dyDescent="0.2">
      <c r="A80">
        <f t="shared" si="2"/>
        <v>79</v>
      </c>
      <c r="B80" t="s">
        <v>819</v>
      </c>
      <c r="C80">
        <v>3</v>
      </c>
      <c r="D80">
        <v>113</v>
      </c>
      <c r="E80" s="2">
        <f t="shared" si="3"/>
        <v>322</v>
      </c>
      <c r="F80" t="str">
        <f>REPT("  ",Aop!$C80)&amp;VLOOKUP($A80,$A$2:$L$403,ID_Jezik+6,1)</f>
        <v xml:space="preserve">      2. Statutarne rezerve</v>
      </c>
      <c r="G80" t="s">
        <v>737</v>
      </c>
      <c r="H80" t="s">
        <v>1164</v>
      </c>
      <c r="I80" t="s">
        <v>460</v>
      </c>
      <c r="J80" s="104">
        <v>322</v>
      </c>
      <c r="K80" s="104">
        <v>322</v>
      </c>
      <c r="L80" s="104">
        <v>322</v>
      </c>
    </row>
    <row r="81" spans="1:12" x14ac:dyDescent="0.2">
      <c r="A81">
        <f t="shared" si="2"/>
        <v>80</v>
      </c>
      <c r="B81" t="s">
        <v>819</v>
      </c>
      <c r="C81">
        <v>2</v>
      </c>
      <c r="D81">
        <v>114</v>
      </c>
      <c r="E81" s="2" t="str">
        <f t="shared" si="3"/>
        <v>330, 331 i 334</v>
      </c>
      <c r="F81" t="str">
        <f>REPT("  ",Aop!$C81)&amp;VLOOKUP($A81,$A$2:$L$403,ID_Jezik+6,1)</f>
        <v xml:space="preserve">    V  REVALORIZACIONE REZERVE</v>
      </c>
      <c r="G81" t="s">
        <v>738</v>
      </c>
      <c r="H81" t="s">
        <v>1165</v>
      </c>
      <c r="I81" t="s">
        <v>556</v>
      </c>
      <c r="J81" s="104" t="s">
        <v>758</v>
      </c>
      <c r="K81" s="104" t="s">
        <v>1451</v>
      </c>
      <c r="L81" s="104" t="s">
        <v>461</v>
      </c>
    </row>
    <row r="82" spans="1:12" x14ac:dyDescent="0.2">
      <c r="A82">
        <f t="shared" si="2"/>
        <v>81</v>
      </c>
      <c r="B82" t="s">
        <v>819</v>
      </c>
      <c r="C82">
        <v>2</v>
      </c>
      <c r="D82">
        <v>115</v>
      </c>
      <c r="E82" s="2">
        <f t="shared" si="3"/>
        <v>332</v>
      </c>
      <c r="F82" t="str">
        <f>REPT("  ",Aop!$C82)&amp;VLOOKUP($A82,$A$2:$L$403,ID_Jezik+6,1)</f>
        <v xml:space="preserve">    VI  NEREALIZOVANI DOBICI PO OSNOVU FINANSIJSKIH SREDSTAVA RASPOLOŽIVIH ZA PRODAJU</v>
      </c>
      <c r="G82" t="s">
        <v>739</v>
      </c>
      <c r="H82" t="s">
        <v>1166</v>
      </c>
      <c r="I82" t="s">
        <v>557</v>
      </c>
      <c r="J82" s="104">
        <v>332</v>
      </c>
      <c r="K82" s="104">
        <v>332</v>
      </c>
      <c r="L82" s="104">
        <v>332</v>
      </c>
    </row>
    <row r="83" spans="1:12" x14ac:dyDescent="0.2">
      <c r="A83">
        <f t="shared" si="2"/>
        <v>82</v>
      </c>
      <c r="B83" t="s">
        <v>819</v>
      </c>
      <c r="C83">
        <v>2</v>
      </c>
      <c r="D83">
        <v>116</v>
      </c>
      <c r="E83" s="2">
        <f t="shared" si="3"/>
        <v>333</v>
      </c>
      <c r="F83" t="str">
        <f>REPT("  ",Aop!$C83)&amp;VLOOKUP($A83,$A$2:$L$403,ID_Jezik+6,1)</f>
        <v xml:space="preserve">    VII  NEREALIZOVANI GUBICI PO OSNOVU FINANSIJSKIH SREDSTAVA RASPOLOŽIVIH ZA PRODAJU</v>
      </c>
      <c r="G83" t="s">
        <v>109</v>
      </c>
      <c r="H83" t="s">
        <v>1167</v>
      </c>
      <c r="I83" t="s">
        <v>558</v>
      </c>
      <c r="J83" s="104">
        <v>333</v>
      </c>
      <c r="K83" s="104">
        <v>333</v>
      </c>
      <c r="L83" s="104">
        <v>333</v>
      </c>
    </row>
    <row r="84" spans="1:12" x14ac:dyDescent="0.2">
      <c r="A84">
        <f t="shared" si="2"/>
        <v>83</v>
      </c>
      <c r="B84" t="s">
        <v>819</v>
      </c>
      <c r="C84">
        <v>2</v>
      </c>
      <c r="D84">
        <v>117</v>
      </c>
      <c r="E84" s="2">
        <f t="shared" si="3"/>
        <v>34</v>
      </c>
      <c r="F84" t="str">
        <f>REPT("  ",Aop!$C84)&amp;VLOOKUP($A84,$A$2:$L$403,ID_Jezik+6,1)</f>
        <v xml:space="preserve">    VIII  NERASPOREĐENI DOBITAK (118 do 121)</v>
      </c>
      <c r="G84" t="s">
        <v>774</v>
      </c>
      <c r="H84" t="s">
        <v>1168</v>
      </c>
      <c r="I84" t="s">
        <v>261</v>
      </c>
      <c r="J84" s="104">
        <v>34</v>
      </c>
      <c r="K84" s="104">
        <v>34</v>
      </c>
      <c r="L84" s="104">
        <v>34</v>
      </c>
    </row>
    <row r="85" spans="1:12" x14ac:dyDescent="0.2">
      <c r="A85">
        <f t="shared" si="2"/>
        <v>84</v>
      </c>
      <c r="B85" t="s">
        <v>819</v>
      </c>
      <c r="C85">
        <v>3</v>
      </c>
      <c r="D85">
        <v>118</v>
      </c>
      <c r="E85" s="2">
        <f t="shared" si="3"/>
        <v>340</v>
      </c>
      <c r="F85" t="str">
        <f>REPT("  ",Aop!$C85)&amp;VLOOKUP($A85,$A$2:$L$403,ID_Jezik+6,1)</f>
        <v xml:space="preserve">      1. Neraspoređeni dobitak ranijih godina</v>
      </c>
      <c r="G85" t="s">
        <v>0</v>
      </c>
      <c r="H85" t="s">
        <v>1169</v>
      </c>
      <c r="I85" t="s">
        <v>330</v>
      </c>
      <c r="J85" s="104">
        <v>340</v>
      </c>
      <c r="K85" s="104">
        <v>340</v>
      </c>
      <c r="L85" s="104">
        <v>340</v>
      </c>
    </row>
    <row r="86" spans="1:12" x14ac:dyDescent="0.2">
      <c r="A86">
        <f t="shared" si="2"/>
        <v>85</v>
      </c>
      <c r="B86" t="s">
        <v>819</v>
      </c>
      <c r="C86">
        <v>3</v>
      </c>
      <c r="D86">
        <v>119</v>
      </c>
      <c r="E86" s="2">
        <f t="shared" si="3"/>
        <v>341</v>
      </c>
      <c r="F86" t="str">
        <f>REPT("  ",Aop!$C86)&amp;VLOOKUP($A86,$A$2:$L$403,ID_Jezik+6,1)</f>
        <v xml:space="preserve">      2. Neraspoređeni dobitak tekuće godine</v>
      </c>
      <c r="G86" t="s">
        <v>626</v>
      </c>
      <c r="H86" t="s">
        <v>1170</v>
      </c>
      <c r="I86" t="s">
        <v>559</v>
      </c>
      <c r="J86" s="104">
        <v>341</v>
      </c>
      <c r="K86" s="104">
        <v>341</v>
      </c>
      <c r="L86" s="104">
        <v>341</v>
      </c>
    </row>
    <row r="87" spans="1:12" x14ac:dyDescent="0.2">
      <c r="A87">
        <f t="shared" si="2"/>
        <v>86</v>
      </c>
      <c r="B87" t="s">
        <v>819</v>
      </c>
      <c r="C87">
        <v>3</v>
      </c>
      <c r="D87">
        <v>120</v>
      </c>
      <c r="E87" s="2">
        <f t="shared" si="3"/>
        <v>342</v>
      </c>
      <c r="F87" t="str">
        <f>REPT("  ",Aop!$C87)&amp;VLOOKUP($A87,$A$2:$L$403,ID_Jezik+6,1)</f>
        <v xml:space="preserve">      3. Neraspoređeni višak prihoda nad rashodima</v>
      </c>
      <c r="G87" t="s">
        <v>1</v>
      </c>
      <c r="H87" t="s">
        <v>1171</v>
      </c>
      <c r="I87" t="s">
        <v>492</v>
      </c>
      <c r="J87" s="104">
        <v>342</v>
      </c>
      <c r="K87" s="104">
        <v>342</v>
      </c>
      <c r="L87" s="104">
        <v>342</v>
      </c>
    </row>
    <row r="88" spans="1:12" x14ac:dyDescent="0.2">
      <c r="A88">
        <f t="shared" si="2"/>
        <v>87</v>
      </c>
      <c r="B88" t="s">
        <v>819</v>
      </c>
      <c r="C88">
        <v>3</v>
      </c>
      <c r="D88">
        <v>121</v>
      </c>
      <c r="E88" s="2">
        <f t="shared" si="3"/>
        <v>343</v>
      </c>
      <c r="F88" t="str">
        <f>REPT("  ",Aop!$C88)&amp;VLOOKUP($A88,$A$2:$L$403,ID_Jezik+6,1)</f>
        <v xml:space="preserve">      4. Neto prihod od samostalne djelatnosti</v>
      </c>
      <c r="G88" t="s">
        <v>740</v>
      </c>
      <c r="H88" t="s">
        <v>1172</v>
      </c>
      <c r="I88" t="s">
        <v>331</v>
      </c>
      <c r="J88" s="104">
        <v>343</v>
      </c>
      <c r="K88" s="104">
        <v>343</v>
      </c>
      <c r="L88" s="104">
        <v>343</v>
      </c>
    </row>
    <row r="89" spans="1:12" x14ac:dyDescent="0.2">
      <c r="A89">
        <f t="shared" si="2"/>
        <v>88</v>
      </c>
      <c r="B89" t="s">
        <v>819</v>
      </c>
      <c r="C89">
        <v>2</v>
      </c>
      <c r="D89">
        <v>122</v>
      </c>
      <c r="E89" s="2">
        <f t="shared" si="3"/>
        <v>35</v>
      </c>
      <c r="F89" t="str">
        <f>REPT("  ",Aop!$C89)&amp;VLOOKUP($A89,$A$2:$L$403,ID_Jezik+6,1)</f>
        <v xml:space="preserve">    IX  GUBITAK DO VISINE KAPITALA (123+124)</v>
      </c>
      <c r="G89" t="s">
        <v>101</v>
      </c>
      <c r="H89" t="s">
        <v>1173</v>
      </c>
      <c r="I89" t="s">
        <v>463</v>
      </c>
      <c r="J89" s="104">
        <v>35</v>
      </c>
      <c r="K89" s="104">
        <v>35</v>
      </c>
      <c r="L89" s="104">
        <v>35</v>
      </c>
    </row>
    <row r="90" spans="1:12" x14ac:dyDescent="0.2">
      <c r="A90">
        <f t="shared" si="2"/>
        <v>89</v>
      </c>
      <c r="B90" t="s">
        <v>819</v>
      </c>
      <c r="C90">
        <v>3</v>
      </c>
      <c r="D90">
        <v>123</v>
      </c>
      <c r="E90" s="2">
        <f t="shared" si="3"/>
        <v>350</v>
      </c>
      <c r="F90" t="str">
        <f>REPT("  ",Aop!$C90)&amp;VLOOKUP($A90,$A$2:$L$403,ID_Jezik+6,1)</f>
        <v xml:space="preserve">      1. Gubitak ranijih godina</v>
      </c>
      <c r="G90" t="s">
        <v>741</v>
      </c>
      <c r="H90" t="s">
        <v>1174</v>
      </c>
      <c r="I90" t="s">
        <v>309</v>
      </c>
      <c r="J90" s="104">
        <v>350</v>
      </c>
      <c r="K90" s="104">
        <v>350</v>
      </c>
      <c r="L90" s="104">
        <v>350</v>
      </c>
    </row>
    <row r="91" spans="1:12" x14ac:dyDescent="0.2">
      <c r="A91">
        <f t="shared" si="2"/>
        <v>90</v>
      </c>
      <c r="B91" t="s">
        <v>819</v>
      </c>
      <c r="C91">
        <v>3</v>
      </c>
      <c r="D91">
        <v>124</v>
      </c>
      <c r="E91" s="2">
        <f t="shared" si="3"/>
        <v>351</v>
      </c>
      <c r="F91" t="str">
        <f>REPT("  ",Aop!$C91)&amp;VLOOKUP($A91,$A$2:$L$403,ID_Jezik+6,1)</f>
        <v xml:space="preserve">      2. Gubitak tekuće godine</v>
      </c>
      <c r="G91" t="s">
        <v>627</v>
      </c>
      <c r="H91" t="s">
        <v>1175</v>
      </c>
      <c r="I91" t="s">
        <v>310</v>
      </c>
      <c r="J91" s="104">
        <v>351</v>
      </c>
      <c r="K91" s="104">
        <v>351</v>
      </c>
      <c r="L91" s="104">
        <v>351</v>
      </c>
    </row>
    <row r="92" spans="1:12" x14ac:dyDescent="0.2">
      <c r="A92">
        <f t="shared" si="2"/>
        <v>91</v>
      </c>
      <c r="B92" t="s">
        <v>819</v>
      </c>
      <c r="C92">
        <v>1</v>
      </c>
      <c r="D92">
        <v>125</v>
      </c>
      <c r="E92" s="2">
        <f t="shared" si="3"/>
        <v>40</v>
      </c>
      <c r="F92" t="str">
        <f>REPT("  ",Aop!$C92)&amp;VLOOKUP($A92,$A$2:$L$403,ID_Jezik+6,1)</f>
        <v xml:space="preserve">  B. DUGOROČNA REZERVISANJA (126 do 131)</v>
      </c>
      <c r="G92" t="s">
        <v>2</v>
      </c>
      <c r="H92" t="s">
        <v>1176</v>
      </c>
      <c r="I92" t="s">
        <v>464</v>
      </c>
      <c r="J92" s="104">
        <v>40</v>
      </c>
      <c r="K92" s="104">
        <v>40</v>
      </c>
      <c r="L92" s="104">
        <v>40</v>
      </c>
    </row>
    <row r="93" spans="1:12" x14ac:dyDescent="0.2">
      <c r="A93">
        <f t="shared" si="2"/>
        <v>92</v>
      </c>
      <c r="B93" t="s">
        <v>819</v>
      </c>
      <c r="C93">
        <v>2</v>
      </c>
      <c r="D93">
        <v>126</v>
      </c>
      <c r="E93" s="2">
        <f t="shared" si="3"/>
        <v>400</v>
      </c>
      <c r="F93" t="str">
        <f>REPT("  ",Aop!$C93)&amp;VLOOKUP($A93,$A$2:$L$403,ID_Jezik+6,1)</f>
        <v xml:space="preserve">    1. Rezervisanja za troškove u garantnom roku</v>
      </c>
      <c r="G93" t="s">
        <v>742</v>
      </c>
      <c r="H93" t="s">
        <v>1177</v>
      </c>
      <c r="I93" t="s">
        <v>121</v>
      </c>
      <c r="J93" s="104">
        <v>400</v>
      </c>
      <c r="K93" s="104">
        <v>400</v>
      </c>
      <c r="L93" s="104">
        <v>400</v>
      </c>
    </row>
    <row r="94" spans="1:12" x14ac:dyDescent="0.2">
      <c r="A94">
        <f t="shared" si="2"/>
        <v>93</v>
      </c>
      <c r="B94" t="s">
        <v>819</v>
      </c>
      <c r="C94">
        <v>2</v>
      </c>
      <c r="D94">
        <v>127</v>
      </c>
      <c r="E94" s="2">
        <f t="shared" si="3"/>
        <v>401</v>
      </c>
      <c r="F94" t="str">
        <f>REPT("  ",Aop!$C94)&amp;VLOOKUP($A94,$A$2:$L$403,ID_Jezik+6,1)</f>
        <v xml:space="preserve">    2. Rezervisanja za troškove obnavljanja prirodnih bogatstava</v>
      </c>
      <c r="G94" t="s">
        <v>743</v>
      </c>
      <c r="H94" t="s">
        <v>1178</v>
      </c>
      <c r="I94" t="s">
        <v>122</v>
      </c>
      <c r="J94" s="104">
        <v>401</v>
      </c>
      <c r="K94" s="104">
        <v>401</v>
      </c>
      <c r="L94" s="104">
        <v>401</v>
      </c>
    </row>
    <row r="95" spans="1:12" x14ac:dyDescent="0.2">
      <c r="A95">
        <f t="shared" si="2"/>
        <v>94</v>
      </c>
      <c r="B95" t="s">
        <v>819</v>
      </c>
      <c r="C95">
        <v>2</v>
      </c>
      <c r="D95">
        <v>128</v>
      </c>
      <c r="E95" s="2">
        <f t="shared" si="3"/>
        <v>402</v>
      </c>
      <c r="F95" t="str">
        <f>REPT("  ",Aop!$C95)&amp;VLOOKUP($A95,$A$2:$L$403,ID_Jezik+6,1)</f>
        <v xml:space="preserve">    3. Rezervisanja za zadržane kaucije i depozite</v>
      </c>
      <c r="G95" t="s">
        <v>744</v>
      </c>
      <c r="H95" t="s">
        <v>1179</v>
      </c>
      <c r="I95" t="s">
        <v>192</v>
      </c>
      <c r="J95" s="104">
        <v>402</v>
      </c>
      <c r="K95" s="104">
        <v>402</v>
      </c>
      <c r="L95" s="104">
        <v>402</v>
      </c>
    </row>
    <row r="96" spans="1:12" x14ac:dyDescent="0.2">
      <c r="A96">
        <f t="shared" si="2"/>
        <v>95</v>
      </c>
      <c r="B96" t="s">
        <v>819</v>
      </c>
      <c r="C96">
        <v>2</v>
      </c>
      <c r="D96">
        <v>129</v>
      </c>
      <c r="E96" s="2">
        <f t="shared" si="3"/>
        <v>403</v>
      </c>
      <c r="F96" t="str">
        <f>REPT("  ",Aop!$C96)&amp;VLOOKUP($A96,$A$2:$L$403,ID_Jezik+6,1)</f>
        <v xml:space="preserve">    4. Rezervisanja za troškove restrukturiranja</v>
      </c>
      <c r="G96" t="s">
        <v>745</v>
      </c>
      <c r="H96" t="s">
        <v>1180</v>
      </c>
      <c r="I96" t="s">
        <v>123</v>
      </c>
      <c r="J96" s="104">
        <v>403</v>
      </c>
      <c r="K96" s="104">
        <v>403</v>
      </c>
      <c r="L96" s="104">
        <v>403</v>
      </c>
    </row>
    <row r="97" spans="1:12" x14ac:dyDescent="0.2">
      <c r="A97">
        <f t="shared" si="2"/>
        <v>96</v>
      </c>
      <c r="B97" t="s">
        <v>819</v>
      </c>
      <c r="C97">
        <v>2</v>
      </c>
      <c r="D97">
        <v>130</v>
      </c>
      <c r="E97" s="2">
        <f t="shared" si="3"/>
        <v>404</v>
      </c>
      <c r="F97" t="str">
        <f>REPT("  ",Aop!$C97)&amp;VLOOKUP($A97,$A$2:$L$403,ID_Jezik+6,1)</f>
        <v xml:space="preserve">    5. Rezervisanja za naknade i beneficije zaposlenih</v>
      </c>
      <c r="G97" t="s">
        <v>746</v>
      </c>
      <c r="H97" t="s">
        <v>1181</v>
      </c>
      <c r="I97" t="s">
        <v>485</v>
      </c>
      <c r="J97" s="104">
        <v>404</v>
      </c>
      <c r="K97" s="104">
        <v>404</v>
      </c>
      <c r="L97" s="104">
        <v>404</v>
      </c>
    </row>
    <row r="98" spans="1:12" x14ac:dyDescent="0.2">
      <c r="A98">
        <f t="shared" si="2"/>
        <v>97</v>
      </c>
      <c r="B98" t="s">
        <v>819</v>
      </c>
      <c r="C98">
        <v>2</v>
      </c>
      <c r="D98">
        <v>131</v>
      </c>
      <c r="E98" s="2">
        <f t="shared" si="3"/>
        <v>405</v>
      </c>
      <c r="F98" t="str">
        <f>REPT("  ",Aop!$C98)&amp;VLOOKUP($A98,$A$2:$L$403,ID_Jezik+6,1)</f>
        <v xml:space="preserve">    6. Ostala dugoročna rezervisanja</v>
      </c>
      <c r="G98" t="s">
        <v>3</v>
      </c>
      <c r="H98" t="s">
        <v>1182</v>
      </c>
      <c r="I98" t="s">
        <v>465</v>
      </c>
      <c r="J98" s="104">
        <v>405</v>
      </c>
      <c r="K98" s="104">
        <v>405</v>
      </c>
      <c r="L98" s="104">
        <v>405</v>
      </c>
    </row>
    <row r="99" spans="1:12" x14ac:dyDescent="0.2">
      <c r="A99">
        <f t="shared" si="2"/>
        <v>98</v>
      </c>
      <c r="B99" t="s">
        <v>819</v>
      </c>
      <c r="C99">
        <v>1</v>
      </c>
      <c r="D99">
        <v>132</v>
      </c>
      <c r="E99" s="2">
        <f t="shared" si="3"/>
        <v>0</v>
      </c>
      <c r="F99" t="str">
        <f>REPT("  ",Aop!$C99)&amp;VLOOKUP($A99,$A$2:$L$403,ID_Jezik+6,1)</f>
        <v xml:space="preserve">  V. OBAVEZE (133+142)</v>
      </c>
      <c r="G99" t="s">
        <v>747</v>
      </c>
      <c r="H99" t="s">
        <v>1183</v>
      </c>
      <c r="I99" t="s">
        <v>228</v>
      </c>
      <c r="J99" s="104"/>
      <c r="K99" s="104"/>
      <c r="L99" s="104"/>
    </row>
    <row r="100" spans="1:12" x14ac:dyDescent="0.2">
      <c r="A100">
        <f t="shared" si="2"/>
        <v>99</v>
      </c>
      <c r="B100" t="s">
        <v>819</v>
      </c>
      <c r="C100">
        <v>2</v>
      </c>
      <c r="D100">
        <v>133</v>
      </c>
      <c r="E100" s="2" t="str">
        <f t="shared" si="3"/>
        <v>41, osim 418</v>
      </c>
      <c r="F100" t="str">
        <f>REPT("  ",Aop!$C100)&amp;VLOOKUP($A100,$A$2:$L$403,ID_Jezik+6,1)</f>
        <v xml:space="preserve">    I  DUGOROČNE OBAVEZE (134 do 141)</v>
      </c>
      <c r="G100" t="s">
        <v>93</v>
      </c>
      <c r="H100" t="s">
        <v>1184</v>
      </c>
      <c r="I100" t="s">
        <v>466</v>
      </c>
      <c r="J100" s="104" t="s">
        <v>759</v>
      </c>
      <c r="K100" s="104" t="s">
        <v>1452</v>
      </c>
      <c r="L100" s="104" t="s">
        <v>165</v>
      </c>
    </row>
    <row r="101" spans="1:12" x14ac:dyDescent="0.2">
      <c r="A101">
        <f t="shared" si="2"/>
        <v>100</v>
      </c>
      <c r="B101" t="s">
        <v>819</v>
      </c>
      <c r="C101">
        <v>3</v>
      </c>
      <c r="D101">
        <v>134</v>
      </c>
      <c r="E101" s="2">
        <f t="shared" si="3"/>
        <v>410</v>
      </c>
      <c r="F101" t="str">
        <f>REPT("  ",Aop!$C101)&amp;VLOOKUP($A101,$A$2:$L$403,ID_Jezik+6,1)</f>
        <v xml:space="preserve">      1. Obaveze koje se mogu konvertovati u kapital</v>
      </c>
      <c r="G101" t="s">
        <v>628</v>
      </c>
      <c r="H101" t="s">
        <v>1185</v>
      </c>
      <c r="I101" t="s">
        <v>645</v>
      </c>
      <c r="J101" s="104">
        <v>410</v>
      </c>
      <c r="K101" s="104">
        <v>410</v>
      </c>
      <c r="L101" s="104">
        <v>410</v>
      </c>
    </row>
    <row r="102" spans="1:12" x14ac:dyDescent="0.2">
      <c r="A102">
        <f t="shared" si="2"/>
        <v>101</v>
      </c>
      <c r="B102" t="s">
        <v>819</v>
      </c>
      <c r="C102">
        <v>3</v>
      </c>
      <c r="D102">
        <v>135</v>
      </c>
      <c r="E102" s="2">
        <f t="shared" si="3"/>
        <v>411</v>
      </c>
      <c r="F102" t="str">
        <f>REPT("  ",Aop!$C102)&amp;VLOOKUP($A102,$A$2:$L$403,ID_Jezik+6,1)</f>
        <v xml:space="preserve">      2. Obaveze prema povezanim pravnim licima</v>
      </c>
      <c r="G102" t="s">
        <v>629</v>
      </c>
      <c r="H102" t="s">
        <v>1186</v>
      </c>
      <c r="I102" t="s">
        <v>646</v>
      </c>
      <c r="J102" s="104">
        <v>411</v>
      </c>
      <c r="K102" s="104">
        <v>411</v>
      </c>
      <c r="L102" s="104">
        <v>411</v>
      </c>
    </row>
    <row r="103" spans="1:12" x14ac:dyDescent="0.2">
      <c r="A103">
        <f t="shared" si="2"/>
        <v>102</v>
      </c>
      <c r="B103" t="s">
        <v>819</v>
      </c>
      <c r="C103">
        <v>3</v>
      </c>
      <c r="D103">
        <v>136</v>
      </c>
      <c r="E103" s="2">
        <f t="shared" si="3"/>
        <v>412</v>
      </c>
      <c r="F103" t="str">
        <f>REPT("  ",Aop!$C103)&amp;VLOOKUP($A103,$A$2:$L$403,ID_Jezik+6,1)</f>
        <v xml:space="preserve">      3. Obaveze po emitovanim dugoročnim hartijama od vrijednosti</v>
      </c>
      <c r="G103" t="s">
        <v>4</v>
      </c>
      <c r="H103" t="s">
        <v>1187</v>
      </c>
      <c r="I103" t="s">
        <v>124</v>
      </c>
      <c r="J103" s="104">
        <v>412</v>
      </c>
      <c r="K103" s="104">
        <v>412</v>
      </c>
      <c r="L103" s="104">
        <v>412</v>
      </c>
    </row>
    <row r="104" spans="1:12" x14ac:dyDescent="0.2">
      <c r="A104">
        <f t="shared" si="2"/>
        <v>103</v>
      </c>
      <c r="B104" t="s">
        <v>819</v>
      </c>
      <c r="C104">
        <v>3</v>
      </c>
      <c r="D104">
        <v>137</v>
      </c>
      <c r="E104" s="2" t="str">
        <f t="shared" si="3"/>
        <v>413 i 414</v>
      </c>
      <c r="F104" t="str">
        <f>REPT("  ",Aop!$C104)&amp;VLOOKUP($A104,$A$2:$L$403,ID_Jezik+6,1)</f>
        <v xml:space="preserve">      4. Dugoročni krediti</v>
      </c>
      <c r="G104" t="s">
        <v>630</v>
      </c>
      <c r="H104" t="s">
        <v>1188</v>
      </c>
      <c r="I104" t="s">
        <v>125</v>
      </c>
      <c r="J104" s="104" t="s">
        <v>760</v>
      </c>
      <c r="K104" s="104" t="s">
        <v>1453</v>
      </c>
      <c r="L104" s="104" t="s">
        <v>161</v>
      </c>
    </row>
    <row r="105" spans="1:12" x14ac:dyDescent="0.2">
      <c r="A105">
        <f t="shared" si="2"/>
        <v>104</v>
      </c>
      <c r="B105" t="s">
        <v>819</v>
      </c>
      <c r="C105">
        <v>3</v>
      </c>
      <c r="D105">
        <v>138</v>
      </c>
      <c r="E105" s="2" t="str">
        <f t="shared" si="3"/>
        <v>415 i 416</v>
      </c>
      <c r="F105" t="str">
        <f>REPT("  ",Aop!$C105)&amp;VLOOKUP($A105,$A$2:$L$403,ID_Jezik+6,1)</f>
        <v xml:space="preserve">      5. Dugoročne obaveze po finansijskom lizingu</v>
      </c>
      <c r="G105" t="s">
        <v>5</v>
      </c>
      <c r="H105" t="s">
        <v>1189</v>
      </c>
      <c r="I105" t="s">
        <v>126</v>
      </c>
      <c r="J105" s="104" t="s">
        <v>761</v>
      </c>
      <c r="K105" s="104" t="s">
        <v>1454</v>
      </c>
      <c r="L105" s="104" t="s">
        <v>162</v>
      </c>
    </row>
    <row r="106" spans="1:12" x14ac:dyDescent="0.2">
      <c r="A106">
        <f t="shared" si="2"/>
        <v>105</v>
      </c>
      <c r="B106" t="s">
        <v>819</v>
      </c>
      <c r="C106">
        <v>3</v>
      </c>
      <c r="D106">
        <v>139</v>
      </c>
      <c r="E106" s="2">
        <f t="shared" si="3"/>
        <v>417</v>
      </c>
      <c r="F106" t="str">
        <f>REPT("  ",Aop!$C106)&amp;VLOOKUP($A106,$A$2:$L$403,ID_Jezik+6,1)</f>
        <v xml:space="preserve">      6. Dugoročne obaveze po fer vrijednosti kroz bilans uspjeha</v>
      </c>
      <c r="G106" t="s">
        <v>6</v>
      </c>
      <c r="H106" t="s">
        <v>1190</v>
      </c>
      <c r="I106" t="s">
        <v>127</v>
      </c>
      <c r="J106" s="104">
        <v>417</v>
      </c>
      <c r="K106" s="104">
        <v>417</v>
      </c>
      <c r="L106" s="104">
        <v>417</v>
      </c>
    </row>
    <row r="107" spans="1:12" x14ac:dyDescent="0.2">
      <c r="A107">
        <f t="shared" si="2"/>
        <v>106</v>
      </c>
      <c r="B107" t="s">
        <v>819</v>
      </c>
      <c r="C107">
        <v>3</v>
      </c>
      <c r="D107">
        <v>140</v>
      </c>
      <c r="E107" s="2">
        <f t="shared" si="3"/>
        <v>418</v>
      </c>
      <c r="F107" t="str">
        <f>REPT("  ",Aop!$C107)&amp;VLOOKUP($A107,$A$2:$L$403,ID_Jezik+6,1)</f>
        <v xml:space="preserve">      7. Odložene poreske obaveze</v>
      </c>
      <c r="G107" t="s">
        <v>748</v>
      </c>
      <c r="H107" t="s">
        <v>1191</v>
      </c>
      <c r="I107" t="s">
        <v>490</v>
      </c>
      <c r="J107" s="104">
        <v>418</v>
      </c>
      <c r="K107" s="104">
        <v>418</v>
      </c>
      <c r="L107" s="104">
        <v>418</v>
      </c>
    </row>
    <row r="108" spans="1:12" x14ac:dyDescent="0.2">
      <c r="A108">
        <f t="shared" si="2"/>
        <v>107</v>
      </c>
      <c r="B108" t="s">
        <v>819</v>
      </c>
      <c r="C108">
        <v>3</v>
      </c>
      <c r="D108">
        <v>141</v>
      </c>
      <c r="E108" s="2">
        <f t="shared" si="3"/>
        <v>419</v>
      </c>
      <c r="F108" t="str">
        <f>REPT("  ",Aop!$C108)&amp;VLOOKUP($A108,$A$2:$L$403,ID_Jezik+6,1)</f>
        <v xml:space="preserve">      8. Ostale dugoročne obaveze</v>
      </c>
      <c r="G108" t="s">
        <v>7</v>
      </c>
      <c r="H108" t="s">
        <v>1192</v>
      </c>
      <c r="I108" t="s">
        <v>467</v>
      </c>
      <c r="J108" s="104">
        <v>419</v>
      </c>
      <c r="K108" s="104">
        <v>419</v>
      </c>
      <c r="L108" s="104">
        <v>419</v>
      </c>
    </row>
    <row r="109" spans="1:12" x14ac:dyDescent="0.2">
      <c r="A109">
        <f t="shared" si="2"/>
        <v>108</v>
      </c>
      <c r="B109" t="s">
        <v>819</v>
      </c>
      <c r="C109">
        <v>2</v>
      </c>
      <c r="D109">
        <v>142</v>
      </c>
      <c r="E109" s="2" t="str">
        <f t="shared" si="3"/>
        <v>42 do 48</v>
      </c>
      <c r="F109" t="str">
        <f>REPT("  ",Aop!$C109)&amp;VLOOKUP($A109,$A$2:$L$403,ID_Jezik+6,1)</f>
        <v xml:space="preserve">    II  KRATKOROČNE OBAVEZE (143+148+153+154+155+156+157+158+159+160)</v>
      </c>
      <c r="G109" t="s">
        <v>102</v>
      </c>
      <c r="H109" t="s">
        <v>1193</v>
      </c>
      <c r="I109" t="s">
        <v>468</v>
      </c>
      <c r="J109" s="104" t="s">
        <v>762</v>
      </c>
      <c r="K109" s="104" t="s">
        <v>1455</v>
      </c>
      <c r="L109" s="104" t="s">
        <v>154</v>
      </c>
    </row>
    <row r="110" spans="1:12" x14ac:dyDescent="0.2">
      <c r="A110">
        <f t="shared" si="2"/>
        <v>109</v>
      </c>
      <c r="B110" t="s">
        <v>819</v>
      </c>
      <c r="C110">
        <v>3</v>
      </c>
      <c r="D110">
        <v>143</v>
      </c>
      <c r="E110" s="2">
        <f t="shared" si="3"/>
        <v>42</v>
      </c>
      <c r="F110" t="str">
        <f>REPT("  ",Aop!$C110)&amp;VLOOKUP($A110,$A$2:$L$403,ID_Jezik+6,1)</f>
        <v xml:space="preserve">      1. Kratkoročne finansijske obaveze (144 do 147)</v>
      </c>
      <c r="G110" t="s">
        <v>8</v>
      </c>
      <c r="H110" t="s">
        <v>1194</v>
      </c>
      <c r="I110" t="s">
        <v>262</v>
      </c>
      <c r="J110" s="104">
        <v>42</v>
      </c>
      <c r="K110" s="104">
        <v>42</v>
      </c>
      <c r="L110" s="104">
        <v>42</v>
      </c>
    </row>
    <row r="111" spans="1:12" x14ac:dyDescent="0.2">
      <c r="A111">
        <f t="shared" si="2"/>
        <v>110</v>
      </c>
      <c r="B111" t="s">
        <v>819</v>
      </c>
      <c r="C111">
        <v>4</v>
      </c>
      <c r="D111">
        <v>144</v>
      </c>
      <c r="E111" s="2" t="str">
        <f t="shared" si="3"/>
        <v>420 do 423</v>
      </c>
      <c r="F111" t="str">
        <f>REPT("  ",Aop!$C111)&amp;VLOOKUP($A111,$A$2:$L$403,ID_Jezik+6,1)</f>
        <v xml:space="preserve">        a) Kratkoročni krediti i obaveze po emitovanim kratkoročnim hartijama od vrijednosti</v>
      </c>
      <c r="G111" t="s">
        <v>9</v>
      </c>
      <c r="H111" t="s">
        <v>1195</v>
      </c>
      <c r="I111" t="s">
        <v>128</v>
      </c>
      <c r="J111" s="104" t="s">
        <v>763</v>
      </c>
      <c r="K111" s="104" t="s">
        <v>1456</v>
      </c>
      <c r="L111" s="104" t="s">
        <v>155</v>
      </c>
    </row>
    <row r="112" spans="1:12" x14ac:dyDescent="0.2">
      <c r="A112">
        <f t="shared" si="2"/>
        <v>111</v>
      </c>
      <c r="B112" t="s">
        <v>819</v>
      </c>
      <c r="C112">
        <v>4</v>
      </c>
      <c r="D112">
        <v>145</v>
      </c>
      <c r="E112" s="2" t="str">
        <f t="shared" si="3"/>
        <v>424 i 425</v>
      </c>
      <c r="F112" t="str">
        <f>REPT("  ",Aop!$C112)&amp;VLOOKUP($A112,$A$2:$L$403,ID_Jezik+6,1)</f>
        <v xml:space="preserve">        b) Dio dugoročnih finansijskih obaveza koji za plaćanje dospijeva u periodu do godinu dana</v>
      </c>
      <c r="G112" t="s">
        <v>106</v>
      </c>
      <c r="H112" t="s">
        <v>1196</v>
      </c>
      <c r="I112" t="s">
        <v>129</v>
      </c>
      <c r="J112" s="104" t="s">
        <v>764</v>
      </c>
      <c r="K112" s="104" t="s">
        <v>1457</v>
      </c>
      <c r="L112" s="104" t="s">
        <v>163</v>
      </c>
    </row>
    <row r="113" spans="1:12" x14ac:dyDescent="0.2">
      <c r="A113">
        <f t="shared" si="2"/>
        <v>112</v>
      </c>
      <c r="B113" t="s">
        <v>819</v>
      </c>
      <c r="C113">
        <v>4</v>
      </c>
      <c r="D113">
        <v>146</v>
      </c>
      <c r="E113" s="2">
        <f t="shared" si="3"/>
        <v>426</v>
      </c>
      <c r="F113" t="str">
        <f>REPT("  ",Aop!$C113)&amp;VLOOKUP($A113,$A$2:$L$403,ID_Jezik+6,1)</f>
        <v xml:space="preserve">        v) Kratkoročne obaveze po fer vrijednosti kroz bilans uspjeha</v>
      </c>
      <c r="G113" t="s">
        <v>10</v>
      </c>
      <c r="H113" t="s">
        <v>1197</v>
      </c>
      <c r="I113" t="s">
        <v>130</v>
      </c>
      <c r="J113" s="104">
        <v>426</v>
      </c>
      <c r="K113" s="104">
        <v>426</v>
      </c>
      <c r="L113" s="104">
        <v>426</v>
      </c>
    </row>
    <row r="114" spans="1:12" x14ac:dyDescent="0.2">
      <c r="A114">
        <f t="shared" si="2"/>
        <v>113</v>
      </c>
      <c r="B114" t="s">
        <v>819</v>
      </c>
      <c r="C114">
        <v>4</v>
      </c>
      <c r="D114">
        <v>147</v>
      </c>
      <c r="E114" s="2">
        <f t="shared" si="3"/>
        <v>429</v>
      </c>
      <c r="F114" t="str">
        <f>REPT("  ",Aop!$C114)&amp;VLOOKUP($A114,$A$2:$L$403,ID_Jezik+6,1)</f>
        <v xml:space="preserve">        g) Ostale kratkoročne finansijske obaveze</v>
      </c>
      <c r="G114" t="s">
        <v>11</v>
      </c>
      <c r="H114" t="s">
        <v>1198</v>
      </c>
      <c r="I114" t="s">
        <v>469</v>
      </c>
      <c r="J114" s="104">
        <v>429</v>
      </c>
      <c r="K114" s="104">
        <v>429</v>
      </c>
      <c r="L114" s="104">
        <v>429</v>
      </c>
    </row>
    <row r="115" spans="1:12" x14ac:dyDescent="0.2">
      <c r="A115">
        <f t="shared" si="2"/>
        <v>114</v>
      </c>
      <c r="B115" t="s">
        <v>819</v>
      </c>
      <c r="C115">
        <v>3</v>
      </c>
      <c r="D115">
        <v>148</v>
      </c>
      <c r="E115" s="2">
        <f t="shared" si="3"/>
        <v>43</v>
      </c>
      <c r="F115" t="str">
        <f>REPT("  ",Aop!$C115)&amp;VLOOKUP($A115,$A$2:$L$403,ID_Jezik+6,1)</f>
        <v xml:space="preserve">      2. Obaveze iz poslovanja (149 do 152)</v>
      </c>
      <c r="G115" t="s">
        <v>749</v>
      </c>
      <c r="H115" t="s">
        <v>1199</v>
      </c>
      <c r="I115" t="s">
        <v>263</v>
      </c>
      <c r="J115" s="104">
        <v>43</v>
      </c>
      <c r="K115" s="104">
        <v>43</v>
      </c>
      <c r="L115" s="104">
        <v>43</v>
      </c>
    </row>
    <row r="116" spans="1:12" x14ac:dyDescent="0.2">
      <c r="A116">
        <f t="shared" si="2"/>
        <v>115</v>
      </c>
      <c r="B116" t="s">
        <v>819</v>
      </c>
      <c r="C116">
        <v>4</v>
      </c>
      <c r="D116">
        <v>149</v>
      </c>
      <c r="E116" s="2">
        <f t="shared" si="3"/>
        <v>430</v>
      </c>
      <c r="F116" t="str">
        <f>REPT("  ",Aop!$C116)&amp;VLOOKUP($A116,$A$2:$L$403,ID_Jezik+6,1)</f>
        <v xml:space="preserve">        a) Primljeni avansi, depoziti i kaucije</v>
      </c>
      <c r="G116" t="s">
        <v>750</v>
      </c>
      <c r="H116" t="s">
        <v>1200</v>
      </c>
      <c r="I116" t="s">
        <v>135</v>
      </c>
      <c r="J116" s="104">
        <v>430</v>
      </c>
      <c r="K116" s="104">
        <v>430</v>
      </c>
      <c r="L116" s="104">
        <v>430</v>
      </c>
    </row>
    <row r="117" spans="1:12" x14ac:dyDescent="0.2">
      <c r="A117">
        <f t="shared" si="2"/>
        <v>116</v>
      </c>
      <c r="B117" t="s">
        <v>819</v>
      </c>
      <c r="C117">
        <v>4</v>
      </c>
      <c r="D117">
        <v>150</v>
      </c>
      <c r="E117" s="2">
        <f t="shared" si="3"/>
        <v>431</v>
      </c>
      <c r="F117" t="str">
        <f>REPT("  ",Aop!$C117)&amp;VLOOKUP($A117,$A$2:$L$403,ID_Jezik+6,1)</f>
        <v xml:space="preserve">        b) Dobavljači - povezana pravna lica</v>
      </c>
      <c r="G117" t="s">
        <v>188</v>
      </c>
      <c r="H117" t="s">
        <v>1201</v>
      </c>
      <c r="I117" t="s">
        <v>471</v>
      </c>
      <c r="J117" s="104">
        <v>431</v>
      </c>
      <c r="K117" s="104">
        <v>431</v>
      </c>
      <c r="L117" s="104">
        <v>431</v>
      </c>
    </row>
    <row r="118" spans="1:12" x14ac:dyDescent="0.2">
      <c r="A118">
        <f t="shared" si="2"/>
        <v>117</v>
      </c>
      <c r="B118" t="s">
        <v>819</v>
      </c>
      <c r="C118">
        <v>4</v>
      </c>
      <c r="D118">
        <v>151</v>
      </c>
      <c r="E118" s="2" t="str">
        <f t="shared" si="3"/>
        <v>432 i 433</v>
      </c>
      <c r="F118" t="str">
        <f>REPT("  ",Aop!$C118)&amp;VLOOKUP($A118,$A$2:$L$403,ID_Jezik+6,1)</f>
        <v xml:space="preserve">        v) Ostali dobavljači</v>
      </c>
      <c r="G118" t="s">
        <v>12</v>
      </c>
      <c r="H118" t="s">
        <v>1202</v>
      </c>
      <c r="I118" t="s">
        <v>470</v>
      </c>
      <c r="J118" s="104" t="s">
        <v>765</v>
      </c>
      <c r="K118" s="104" t="s">
        <v>1458</v>
      </c>
      <c r="L118" s="104" t="s">
        <v>164</v>
      </c>
    </row>
    <row r="119" spans="1:12" x14ac:dyDescent="0.2">
      <c r="A119">
        <f t="shared" si="2"/>
        <v>118</v>
      </c>
      <c r="B119" t="s">
        <v>819</v>
      </c>
      <c r="C119">
        <v>4</v>
      </c>
      <c r="D119">
        <v>152</v>
      </c>
      <c r="E119" s="2">
        <f t="shared" si="3"/>
        <v>439</v>
      </c>
      <c r="F119" t="str">
        <f>REPT("  ",Aop!$C119)&amp;VLOOKUP($A119,$A$2:$L$403,ID_Jezik+6,1)</f>
        <v xml:space="preserve">        g) Ostale obaveze iz poslovanja</v>
      </c>
      <c r="G119" t="s">
        <v>751</v>
      </c>
      <c r="H119" t="s">
        <v>1203</v>
      </c>
      <c r="I119" t="s">
        <v>133</v>
      </c>
      <c r="J119" s="104">
        <v>439</v>
      </c>
      <c r="K119" s="104">
        <v>439</v>
      </c>
      <c r="L119" s="104">
        <v>439</v>
      </c>
    </row>
    <row r="120" spans="1:12" x14ac:dyDescent="0.2">
      <c r="A120">
        <f t="shared" si="2"/>
        <v>119</v>
      </c>
      <c r="B120" t="s">
        <v>819</v>
      </c>
      <c r="C120">
        <v>3</v>
      </c>
      <c r="D120">
        <v>153</v>
      </c>
      <c r="E120" s="2" t="str">
        <f t="shared" si="3"/>
        <v>440 do 449</v>
      </c>
      <c r="F120" t="str">
        <f>REPT("  ",Aop!$C120)&amp;VLOOKUP($A120,$A$2:$L$403,ID_Jezik+6,1)</f>
        <v xml:space="preserve">      3. Obaveze iz specifičnih poslova</v>
      </c>
      <c r="G120" t="s">
        <v>16</v>
      </c>
      <c r="H120" t="s">
        <v>1204</v>
      </c>
      <c r="I120" t="s">
        <v>472</v>
      </c>
      <c r="J120" s="104" t="s">
        <v>766</v>
      </c>
      <c r="K120" s="104" t="s">
        <v>1459</v>
      </c>
      <c r="L120" s="104" t="s">
        <v>156</v>
      </c>
    </row>
    <row r="121" spans="1:12" x14ac:dyDescent="0.2">
      <c r="A121">
        <f t="shared" si="2"/>
        <v>120</v>
      </c>
      <c r="B121" t="s">
        <v>819</v>
      </c>
      <c r="C121">
        <v>3</v>
      </c>
      <c r="D121">
        <v>154</v>
      </c>
      <c r="E121" s="2" t="str">
        <f t="shared" si="3"/>
        <v>450 do 458</v>
      </c>
      <c r="F121" t="str">
        <f>REPT("  ",Aop!$C121)&amp;VLOOKUP($A121,$A$2:$L$403,ID_Jezik+6,1)</f>
        <v xml:space="preserve">      4. Obaveze za zarade i naknade zarada</v>
      </c>
      <c r="G121" t="s">
        <v>752</v>
      </c>
      <c r="H121" t="s">
        <v>1205</v>
      </c>
      <c r="I121" t="s">
        <v>486</v>
      </c>
      <c r="J121" s="104" t="s">
        <v>767</v>
      </c>
      <c r="K121" s="104" t="s">
        <v>1460</v>
      </c>
      <c r="L121" s="104" t="s">
        <v>157</v>
      </c>
    </row>
    <row r="122" spans="1:12" x14ac:dyDescent="0.2">
      <c r="A122">
        <f t="shared" si="2"/>
        <v>121</v>
      </c>
      <c r="B122" t="s">
        <v>819</v>
      </c>
      <c r="C122">
        <v>3</v>
      </c>
      <c r="D122">
        <v>155</v>
      </c>
      <c r="E122" s="2" t="str">
        <f t="shared" si="3"/>
        <v>460 do 469</v>
      </c>
      <c r="F122" t="str">
        <f>REPT("  ",Aop!$C122)&amp;VLOOKUP($A122,$A$2:$L$403,ID_Jezik+6,1)</f>
        <v xml:space="preserve">      5. Druge obaveze</v>
      </c>
      <c r="G122" t="s">
        <v>753</v>
      </c>
      <c r="H122" t="s">
        <v>1206</v>
      </c>
      <c r="I122" t="s">
        <v>473</v>
      </c>
      <c r="J122" s="104" t="s">
        <v>768</v>
      </c>
      <c r="K122" s="104" t="s">
        <v>1461</v>
      </c>
      <c r="L122" s="104" t="s">
        <v>158</v>
      </c>
    </row>
    <row r="123" spans="1:12" x14ac:dyDescent="0.2">
      <c r="A123">
        <f t="shared" si="2"/>
        <v>122</v>
      </c>
      <c r="B123" t="s">
        <v>819</v>
      </c>
      <c r="C123">
        <v>3</v>
      </c>
      <c r="D123">
        <v>156</v>
      </c>
      <c r="E123" s="2" t="str">
        <f t="shared" si="3"/>
        <v>470 do 479</v>
      </c>
      <c r="F123" t="str">
        <f>REPT("  ",Aop!$C123)&amp;VLOOKUP($A123,$A$2:$L$403,ID_Jezik+6,1)</f>
        <v xml:space="preserve">      6. Porez na dodatu vrijednost</v>
      </c>
      <c r="G123" t="s">
        <v>754</v>
      </c>
      <c r="H123" t="s">
        <v>1207</v>
      </c>
      <c r="I123" t="s">
        <v>487</v>
      </c>
      <c r="J123" s="104" t="s">
        <v>769</v>
      </c>
      <c r="K123" s="104" t="s">
        <v>1462</v>
      </c>
      <c r="L123" s="104" t="s">
        <v>159</v>
      </c>
    </row>
    <row r="124" spans="1:12" x14ac:dyDescent="0.2">
      <c r="A124">
        <f t="shared" si="2"/>
        <v>123</v>
      </c>
      <c r="B124" t="s">
        <v>819</v>
      </c>
      <c r="C124">
        <v>3</v>
      </c>
      <c r="D124">
        <v>157</v>
      </c>
      <c r="E124" s="2" t="str">
        <f t="shared" si="3"/>
        <v>48 osim 481</v>
      </c>
      <c r="F124" t="str">
        <f>REPT("  ",Aop!$C124)&amp;VLOOKUP($A124,$A$2:$L$403,ID_Jezik+6,1)</f>
        <v xml:space="preserve">      7. Obaveze za ostale poreze, doprinose i druge dažbine</v>
      </c>
      <c r="G124" t="s">
        <v>755</v>
      </c>
      <c r="H124" t="s">
        <v>1208</v>
      </c>
      <c r="I124" t="s">
        <v>488</v>
      </c>
      <c r="J124" s="104" t="s">
        <v>770</v>
      </c>
      <c r="K124" s="104" t="s">
        <v>1463</v>
      </c>
      <c r="L124" s="104" t="s">
        <v>166</v>
      </c>
    </row>
    <row r="125" spans="1:12" x14ac:dyDescent="0.2">
      <c r="A125">
        <f t="shared" si="2"/>
        <v>124</v>
      </c>
      <c r="B125" t="s">
        <v>819</v>
      </c>
      <c r="C125">
        <v>3</v>
      </c>
      <c r="D125">
        <v>158</v>
      </c>
      <c r="E125" s="2">
        <f t="shared" si="3"/>
        <v>481</v>
      </c>
      <c r="F125" t="str">
        <f>REPT("  ",Aop!$C125)&amp;VLOOKUP($A125,$A$2:$L$403,ID_Jezik+6,1)</f>
        <v xml:space="preserve">      8. Obaveze za porez na dobitak</v>
      </c>
      <c r="G125" t="s">
        <v>756</v>
      </c>
      <c r="H125" t="s">
        <v>1209</v>
      </c>
      <c r="I125" t="s">
        <v>134</v>
      </c>
      <c r="J125" s="104">
        <v>481</v>
      </c>
      <c r="K125" s="104">
        <v>481</v>
      </c>
      <c r="L125" s="104">
        <v>481</v>
      </c>
    </row>
    <row r="126" spans="1:12" x14ac:dyDescent="0.2">
      <c r="A126">
        <f t="shared" si="2"/>
        <v>125</v>
      </c>
      <c r="B126" t="s">
        <v>819</v>
      </c>
      <c r="C126">
        <v>3</v>
      </c>
      <c r="D126">
        <v>159</v>
      </c>
      <c r="E126" s="2" t="str">
        <f t="shared" si="3"/>
        <v>49, osim 495</v>
      </c>
      <c r="F126" t="str">
        <f>REPT("  ",Aop!$C126)&amp;VLOOKUP($A126,$A$2:$L$403,ID_Jezik+6,1)</f>
        <v xml:space="preserve">      9. Pasivna vremenska razgraničenja</v>
      </c>
      <c r="G126" t="s">
        <v>18</v>
      </c>
      <c r="H126" t="s">
        <v>1210</v>
      </c>
      <c r="I126" t="s">
        <v>489</v>
      </c>
      <c r="J126" s="104" t="s">
        <v>771</v>
      </c>
      <c r="K126" s="104" t="s">
        <v>1464</v>
      </c>
      <c r="L126" s="104" t="s">
        <v>167</v>
      </c>
    </row>
    <row r="127" spans="1:12" x14ac:dyDescent="0.2">
      <c r="A127">
        <f t="shared" si="2"/>
        <v>126</v>
      </c>
      <c r="B127" t="s">
        <v>819</v>
      </c>
      <c r="C127">
        <v>3</v>
      </c>
      <c r="D127">
        <v>160</v>
      </c>
      <c r="E127" s="2">
        <f t="shared" si="3"/>
        <v>495</v>
      </c>
      <c r="F127" t="str">
        <f>REPT("  ",Aop!$C127)&amp;VLOOKUP($A127,$A$2:$L$403,ID_Jezik+6,1)</f>
        <v xml:space="preserve">      10. Odložene poreske obaveze</v>
      </c>
      <c r="G127" t="s">
        <v>13</v>
      </c>
      <c r="H127" t="s">
        <v>1211</v>
      </c>
      <c r="I127" t="s">
        <v>491</v>
      </c>
      <c r="J127" s="104">
        <v>495</v>
      </c>
      <c r="K127" s="104">
        <v>495</v>
      </c>
      <c r="L127" s="104">
        <v>495</v>
      </c>
    </row>
    <row r="128" spans="1:12" x14ac:dyDescent="0.2">
      <c r="A128">
        <f t="shared" si="2"/>
        <v>127</v>
      </c>
      <c r="B128" t="s">
        <v>819</v>
      </c>
      <c r="C128">
        <v>1</v>
      </c>
      <c r="D128">
        <v>161</v>
      </c>
      <c r="E128" s="2">
        <f t="shared" si="3"/>
        <v>0</v>
      </c>
      <c r="F128" t="str">
        <f>REPT("  ",Aop!$C128)&amp;VLOOKUP($A128,$A$2:$L$403,ID_Jezik+6,1)</f>
        <v xml:space="preserve">  G. POSLOVNA PASIVA (101+125+132)</v>
      </c>
      <c r="G128" t="s">
        <v>14</v>
      </c>
      <c r="H128" t="s">
        <v>1212</v>
      </c>
      <c r="I128" t="s">
        <v>229</v>
      </c>
      <c r="J128" s="104"/>
      <c r="K128" s="104"/>
      <c r="L128" s="104"/>
    </row>
    <row r="129" spans="1:12" x14ac:dyDescent="0.2">
      <c r="A129">
        <f t="shared" si="2"/>
        <v>128</v>
      </c>
      <c r="B129" t="s">
        <v>819</v>
      </c>
      <c r="C129">
        <v>1</v>
      </c>
      <c r="D129">
        <v>162</v>
      </c>
      <c r="E129" s="2" t="str">
        <f t="shared" si="3"/>
        <v>890 do 898</v>
      </c>
      <c r="F129" t="str">
        <f>REPT("  ",Aop!$C129)&amp;VLOOKUP($A129,$A$2:$L$403,ID_Jezik+6,1)</f>
        <v xml:space="preserve">  D. VANBILANSNA PASIVA</v>
      </c>
      <c r="G129" t="s">
        <v>15</v>
      </c>
      <c r="H129" t="s">
        <v>1213</v>
      </c>
      <c r="I129" t="s">
        <v>230</v>
      </c>
      <c r="J129" s="104" t="s">
        <v>772</v>
      </c>
      <c r="K129" s="104" t="s">
        <v>1465</v>
      </c>
      <c r="L129" s="104" t="s">
        <v>160</v>
      </c>
    </row>
    <row r="130" spans="1:12" x14ac:dyDescent="0.2">
      <c r="A130">
        <f t="shared" ref="A130:A193" si="4">ROW()-ROW($A$1)</f>
        <v>129</v>
      </c>
      <c r="B130" t="s">
        <v>819</v>
      </c>
      <c r="C130">
        <v>1</v>
      </c>
      <c r="D130">
        <v>163</v>
      </c>
      <c r="E130" s="2">
        <f t="shared" ref="E130:E193" si="5">VLOOKUP($A130,$A$2:$L$403,ID_Jezik+9,1)</f>
        <v>0</v>
      </c>
      <c r="F130" t="str">
        <f>REPT("  ",Aop!$C130)&amp;VLOOKUP($A130,$A$2:$L$403,ID_Jezik+6,1)</f>
        <v xml:space="preserve">  Đ. UKUPNA PASIVA (161+162)</v>
      </c>
      <c r="G130" t="s">
        <v>17</v>
      </c>
      <c r="H130" t="s">
        <v>1214</v>
      </c>
      <c r="I130" t="s">
        <v>231</v>
      </c>
      <c r="J130" s="104"/>
      <c r="K130" s="104"/>
      <c r="L130" s="104"/>
    </row>
    <row r="131" spans="1:12" x14ac:dyDescent="0.2">
      <c r="A131">
        <f t="shared" si="4"/>
        <v>130</v>
      </c>
      <c r="B131" t="s">
        <v>966</v>
      </c>
      <c r="C131">
        <v>0</v>
      </c>
      <c r="E131" s="2">
        <f t="shared" si="5"/>
        <v>0</v>
      </c>
      <c r="F131" t="str">
        <f>REPT("  ",Aop!$C131)&amp;VLOOKUP($A131,$A$2:$L$403,ID_Jezik+6,1)</f>
        <v>A. POSLOVNI PRIHODI I RASHODI</v>
      </c>
      <c r="G131" t="s">
        <v>19</v>
      </c>
      <c r="H131" t="s">
        <v>1215</v>
      </c>
      <c r="I131" t="s">
        <v>474</v>
      </c>
      <c r="J131" s="104"/>
      <c r="K131" s="104"/>
      <c r="L131" s="104"/>
    </row>
    <row r="132" spans="1:12" x14ac:dyDescent="0.2">
      <c r="A132">
        <f t="shared" si="4"/>
        <v>131</v>
      </c>
      <c r="B132" t="s">
        <v>966</v>
      </c>
      <c r="C132">
        <v>2</v>
      </c>
      <c r="D132">
        <v>201</v>
      </c>
      <c r="E132" s="2">
        <f t="shared" si="5"/>
        <v>0</v>
      </c>
      <c r="F132" t="str">
        <f>REPT("  ",Aop!$C132)&amp;VLOOKUP($A132,$A$2:$L$403,ID_Jezik+6,1)</f>
        <v xml:space="preserve">    I  POSLOVNI PRIHODI (202+206+210+211-212+213-214+215)</v>
      </c>
      <c r="G132" t="s">
        <v>189</v>
      </c>
      <c r="H132" t="s">
        <v>1216</v>
      </c>
      <c r="I132" t="s">
        <v>193</v>
      </c>
      <c r="J132" s="104"/>
      <c r="K132" s="104"/>
      <c r="L132" s="104"/>
    </row>
    <row r="133" spans="1:12" x14ac:dyDescent="0.2">
      <c r="A133">
        <f t="shared" si="4"/>
        <v>132</v>
      </c>
      <c r="B133" t="s">
        <v>966</v>
      </c>
      <c r="C133">
        <v>3</v>
      </c>
      <c r="D133">
        <v>202</v>
      </c>
      <c r="E133" s="2">
        <f t="shared" si="5"/>
        <v>60</v>
      </c>
      <c r="F133" t="str">
        <f>REPT("  ",Aop!$C133)&amp;VLOOKUP($A133,$A$2:$L$403,ID_Jezik+6,1)</f>
        <v xml:space="preserve">      1. Prihodi od prodaje robe (203 do 205)</v>
      </c>
      <c r="G133" t="s">
        <v>601</v>
      </c>
      <c r="H133" t="s">
        <v>1217</v>
      </c>
      <c r="I133" t="s">
        <v>475</v>
      </c>
      <c r="J133" s="104">
        <v>60</v>
      </c>
      <c r="K133" s="104">
        <v>60</v>
      </c>
      <c r="L133" s="104">
        <v>60</v>
      </c>
    </row>
    <row r="134" spans="1:12" x14ac:dyDescent="0.2">
      <c r="A134">
        <f t="shared" si="4"/>
        <v>133</v>
      </c>
      <c r="B134" t="s">
        <v>966</v>
      </c>
      <c r="C134">
        <v>4</v>
      </c>
      <c r="D134">
        <v>203</v>
      </c>
      <c r="E134" s="2">
        <f t="shared" si="5"/>
        <v>600</v>
      </c>
      <c r="F134" t="str">
        <f>REPT("  ",Aop!$C134)&amp;VLOOKUP($A134,$A$2:$L$403,ID_Jezik+6,1)</f>
        <v xml:space="preserve">        a) Prihodi od prodaje robe povezanim pravnim licima</v>
      </c>
      <c r="G134" t="s">
        <v>602</v>
      </c>
      <c r="H134" t="s">
        <v>1218</v>
      </c>
      <c r="I134" t="s">
        <v>476</v>
      </c>
      <c r="J134" s="104">
        <v>600</v>
      </c>
      <c r="K134" s="104">
        <v>600</v>
      </c>
      <c r="L134" s="104">
        <v>600</v>
      </c>
    </row>
    <row r="135" spans="1:12" x14ac:dyDescent="0.2">
      <c r="A135">
        <f t="shared" si="4"/>
        <v>134</v>
      </c>
      <c r="B135" t="s">
        <v>966</v>
      </c>
      <c r="C135">
        <v>4</v>
      </c>
      <c r="D135">
        <v>204</v>
      </c>
      <c r="E135" s="2">
        <f t="shared" si="5"/>
        <v>601</v>
      </c>
      <c r="F135" t="str">
        <f>REPT("  ",Aop!$C135)&amp;VLOOKUP($A135,$A$2:$L$403,ID_Jezik+6,1)</f>
        <v xml:space="preserve">        b) Prihodi od prodaje robe na domaćem tržištu</v>
      </c>
      <c r="G135" t="s">
        <v>603</v>
      </c>
      <c r="H135" t="s">
        <v>1219</v>
      </c>
      <c r="I135" t="s">
        <v>570</v>
      </c>
      <c r="J135" s="104">
        <v>601</v>
      </c>
      <c r="K135" s="104">
        <v>601</v>
      </c>
      <c r="L135" s="104">
        <v>601</v>
      </c>
    </row>
    <row r="136" spans="1:12" x14ac:dyDescent="0.2">
      <c r="A136">
        <f t="shared" si="4"/>
        <v>135</v>
      </c>
      <c r="B136" t="s">
        <v>966</v>
      </c>
      <c r="C136">
        <v>4</v>
      </c>
      <c r="D136">
        <v>205</v>
      </c>
      <c r="E136" s="2">
        <f t="shared" si="5"/>
        <v>602</v>
      </c>
      <c r="F136" t="str">
        <f>REPT("  ",Aop!$C136)&amp;VLOOKUP($A136,$A$2:$L$403,ID_Jezik+6,1)</f>
        <v xml:space="preserve">        v) Prihodi od prodaje robe na inostranom tržištu</v>
      </c>
      <c r="G136" t="s">
        <v>604</v>
      </c>
      <c r="H136" t="s">
        <v>1220</v>
      </c>
      <c r="I136" t="s">
        <v>495</v>
      </c>
      <c r="J136" s="104">
        <v>602</v>
      </c>
      <c r="K136" s="104">
        <v>602</v>
      </c>
      <c r="L136" s="104">
        <v>602</v>
      </c>
    </row>
    <row r="137" spans="1:12" x14ac:dyDescent="0.2">
      <c r="A137">
        <f t="shared" si="4"/>
        <v>136</v>
      </c>
      <c r="B137" t="s">
        <v>966</v>
      </c>
      <c r="C137">
        <v>3</v>
      </c>
      <c r="D137">
        <v>206</v>
      </c>
      <c r="E137" s="2">
        <f t="shared" si="5"/>
        <v>61</v>
      </c>
      <c r="F137" t="str">
        <f>REPT("  ",Aop!$C137)&amp;VLOOKUP($A137,$A$2:$L$403,ID_Jezik+6,1)</f>
        <v xml:space="preserve">      2. Prihodi od prodaje učinaka (207 do 209)</v>
      </c>
      <c r="G137" t="s">
        <v>34</v>
      </c>
      <c r="H137" t="s">
        <v>1221</v>
      </c>
      <c r="I137" t="s">
        <v>493</v>
      </c>
      <c r="J137" s="104">
        <v>61</v>
      </c>
      <c r="K137" s="104">
        <v>61</v>
      </c>
      <c r="L137" s="104">
        <v>61</v>
      </c>
    </row>
    <row r="138" spans="1:12" x14ac:dyDescent="0.2">
      <c r="A138">
        <f t="shared" si="4"/>
        <v>137</v>
      </c>
      <c r="B138" t="s">
        <v>966</v>
      </c>
      <c r="C138">
        <v>4</v>
      </c>
      <c r="D138">
        <v>207</v>
      </c>
      <c r="E138" s="2">
        <f t="shared" si="5"/>
        <v>610</v>
      </c>
      <c r="F138" t="str">
        <f>REPT("  ",Aop!$C138)&amp;VLOOKUP($A138,$A$2:$L$403,ID_Jezik+6,1)</f>
        <v xml:space="preserve">        a) Prihodi od prodaje učinaka povezanim pravnim licima</v>
      </c>
      <c r="G138" t="s">
        <v>35</v>
      </c>
      <c r="H138" t="s">
        <v>1222</v>
      </c>
      <c r="I138" t="s">
        <v>496</v>
      </c>
      <c r="J138" s="104">
        <v>610</v>
      </c>
      <c r="K138" s="104">
        <v>610</v>
      </c>
      <c r="L138" s="104">
        <v>610</v>
      </c>
    </row>
    <row r="139" spans="1:12" x14ac:dyDescent="0.2">
      <c r="A139">
        <f t="shared" si="4"/>
        <v>138</v>
      </c>
      <c r="B139" t="s">
        <v>966</v>
      </c>
      <c r="C139">
        <v>4</v>
      </c>
      <c r="D139">
        <v>208</v>
      </c>
      <c r="E139" s="2">
        <f t="shared" si="5"/>
        <v>611</v>
      </c>
      <c r="F139" t="str">
        <f>REPT("  ",Aop!$C139)&amp;VLOOKUP($A139,$A$2:$L$403,ID_Jezik+6,1)</f>
        <v xml:space="preserve">        b) Prihodi od prodaje učinaka na domaćem tržištu</v>
      </c>
      <c r="G139" t="s">
        <v>36</v>
      </c>
      <c r="H139" t="s">
        <v>1223</v>
      </c>
      <c r="I139" t="s">
        <v>311</v>
      </c>
      <c r="J139" s="104">
        <v>611</v>
      </c>
      <c r="K139" s="104">
        <v>611</v>
      </c>
      <c r="L139" s="104">
        <v>611</v>
      </c>
    </row>
    <row r="140" spans="1:12" x14ac:dyDescent="0.2">
      <c r="A140">
        <f t="shared" si="4"/>
        <v>139</v>
      </c>
      <c r="B140" t="s">
        <v>966</v>
      </c>
      <c r="C140">
        <v>4</v>
      </c>
      <c r="D140">
        <v>209</v>
      </c>
      <c r="E140" s="2">
        <f t="shared" si="5"/>
        <v>612</v>
      </c>
      <c r="F140" t="str">
        <f>REPT("  ",Aop!$C140)&amp;VLOOKUP($A140,$A$2:$L$403,ID_Jezik+6,1)</f>
        <v xml:space="preserve">        v) Prihodi od prodaje učinaka na inostranom tržištu</v>
      </c>
      <c r="G140" t="s">
        <v>39</v>
      </c>
      <c r="H140" t="s">
        <v>1224</v>
      </c>
      <c r="I140" t="s">
        <v>494</v>
      </c>
      <c r="J140" s="104">
        <v>612</v>
      </c>
      <c r="K140" s="104">
        <v>612</v>
      </c>
      <c r="L140" s="104">
        <v>612</v>
      </c>
    </row>
    <row r="141" spans="1:12" x14ac:dyDescent="0.2">
      <c r="A141">
        <f t="shared" si="4"/>
        <v>140</v>
      </c>
      <c r="B141" t="s">
        <v>966</v>
      </c>
      <c r="C141">
        <v>3</v>
      </c>
      <c r="D141">
        <v>210</v>
      </c>
      <c r="E141" s="2">
        <f t="shared" si="5"/>
        <v>62</v>
      </c>
      <c r="F141" t="str">
        <f>REPT("  ",Aop!$C141)&amp;VLOOKUP($A141,$A$2:$L$403,ID_Jezik+6,1)</f>
        <v xml:space="preserve">      3. Prihodi od aktiviranja ili potrošnje robe i učinaka</v>
      </c>
      <c r="G141" t="s">
        <v>113</v>
      </c>
      <c r="H141" t="s">
        <v>1225</v>
      </c>
      <c r="I141" t="s">
        <v>497</v>
      </c>
      <c r="J141" s="104">
        <v>62</v>
      </c>
      <c r="K141" s="104">
        <v>62</v>
      </c>
      <c r="L141" s="104">
        <v>62</v>
      </c>
    </row>
    <row r="142" spans="1:12" x14ac:dyDescent="0.2">
      <c r="A142">
        <f t="shared" si="4"/>
        <v>141</v>
      </c>
      <c r="B142" t="s">
        <v>966</v>
      </c>
      <c r="C142">
        <v>3</v>
      </c>
      <c r="D142">
        <v>211</v>
      </c>
      <c r="E142" s="2">
        <f t="shared" si="5"/>
        <v>630</v>
      </c>
      <c r="F142" t="str">
        <f>REPT("  ",Aop!$C142)&amp;VLOOKUP($A142,$A$2:$L$403,ID_Jezik+6,1)</f>
        <v xml:space="preserve">      4. Povećanje vrijednosti zaliha učinaka</v>
      </c>
      <c r="G142" t="s">
        <v>37</v>
      </c>
      <c r="H142" t="s">
        <v>1226</v>
      </c>
      <c r="I142" t="s">
        <v>498</v>
      </c>
      <c r="J142" s="104">
        <v>630</v>
      </c>
      <c r="K142" s="104">
        <v>630</v>
      </c>
      <c r="L142" s="104">
        <v>630</v>
      </c>
    </row>
    <row r="143" spans="1:12" x14ac:dyDescent="0.2">
      <c r="A143">
        <f t="shared" si="4"/>
        <v>142</v>
      </c>
      <c r="B143" t="s">
        <v>966</v>
      </c>
      <c r="C143">
        <v>3</v>
      </c>
      <c r="D143">
        <v>212</v>
      </c>
      <c r="E143" s="2">
        <f t="shared" si="5"/>
        <v>631</v>
      </c>
      <c r="F143" t="str">
        <f>REPT("  ",Aop!$C143)&amp;VLOOKUP($A143,$A$2:$L$403,ID_Jezik+6,1)</f>
        <v xml:space="preserve">      5. Smanjenje vrijednosti zaliha učinaka</v>
      </c>
      <c r="G143" t="s">
        <v>38</v>
      </c>
      <c r="H143" t="s">
        <v>1227</v>
      </c>
      <c r="I143" t="s">
        <v>499</v>
      </c>
      <c r="J143" s="104">
        <v>631</v>
      </c>
      <c r="K143" s="104">
        <v>631</v>
      </c>
      <c r="L143" s="104">
        <v>631</v>
      </c>
    </row>
    <row r="144" spans="1:12" x14ac:dyDescent="0.2">
      <c r="A144">
        <f t="shared" si="4"/>
        <v>143</v>
      </c>
      <c r="B144" t="s">
        <v>966</v>
      </c>
      <c r="C144">
        <v>3</v>
      </c>
      <c r="D144">
        <v>213</v>
      </c>
      <c r="E144" s="2" t="str">
        <f t="shared" si="5"/>
        <v>640 i 641</v>
      </c>
      <c r="F144" t="str">
        <f>REPT("  ",Aop!$C144)&amp;VLOOKUP($A144,$A$2:$L$403,ID_Jezik+6,1)</f>
        <v xml:space="preserve">      6. Povećanje vrijednosti investicionih nekretnina i bioloških sredstava koja se ne amortizuju</v>
      </c>
      <c r="G144" t="s">
        <v>40</v>
      </c>
      <c r="H144" t="s">
        <v>1228</v>
      </c>
      <c r="I144" t="s">
        <v>194</v>
      </c>
      <c r="J144" s="104" t="s">
        <v>20</v>
      </c>
      <c r="K144" s="104" t="s">
        <v>1466</v>
      </c>
      <c r="L144" s="104" t="s">
        <v>168</v>
      </c>
    </row>
    <row r="145" spans="1:12" x14ac:dyDescent="0.2">
      <c r="A145">
        <f t="shared" si="4"/>
        <v>144</v>
      </c>
      <c r="B145" t="s">
        <v>966</v>
      </c>
      <c r="C145">
        <v>3</v>
      </c>
      <c r="D145">
        <v>214</v>
      </c>
      <c r="E145" s="2" t="str">
        <f t="shared" si="5"/>
        <v>642 i 643</v>
      </c>
      <c r="F145" t="str">
        <f>REPT("  ",Aop!$C145)&amp;VLOOKUP($A145,$A$2:$L$403,ID_Jezik+6,1)</f>
        <v xml:space="preserve">      7. Smanjenje vrijednosti investicionih nekretnina i bioloških sredstava koja se ne amortizuju</v>
      </c>
      <c r="G145" t="s">
        <v>33</v>
      </c>
      <c r="H145" t="s">
        <v>1229</v>
      </c>
      <c r="I145" t="s">
        <v>431</v>
      </c>
      <c r="J145" s="104" t="s">
        <v>21</v>
      </c>
      <c r="K145" s="104" t="s">
        <v>1467</v>
      </c>
      <c r="L145" s="104" t="s">
        <v>169</v>
      </c>
    </row>
    <row r="146" spans="1:12" x14ac:dyDescent="0.2">
      <c r="A146">
        <f t="shared" si="4"/>
        <v>145</v>
      </c>
      <c r="B146" t="s">
        <v>966</v>
      </c>
      <c r="C146">
        <v>3</v>
      </c>
      <c r="D146">
        <v>215</v>
      </c>
      <c r="E146" s="2" t="str">
        <f t="shared" si="5"/>
        <v>650 do 659</v>
      </c>
      <c r="F146" t="str">
        <f>REPT("  ",Aop!$C146)&amp;VLOOKUP($A146,$A$2:$L$403,ID_Jezik+6,1)</f>
        <v xml:space="preserve">      8. Ostali poslovni prihodi</v>
      </c>
      <c r="G146" t="s">
        <v>23</v>
      </c>
      <c r="H146" t="s">
        <v>1230</v>
      </c>
      <c r="I146" t="s">
        <v>500</v>
      </c>
      <c r="J146" s="104" t="s">
        <v>22</v>
      </c>
      <c r="K146" s="104" t="s">
        <v>1468</v>
      </c>
      <c r="L146" s="104" t="s">
        <v>174</v>
      </c>
    </row>
    <row r="147" spans="1:12" x14ac:dyDescent="0.2">
      <c r="A147">
        <f t="shared" si="4"/>
        <v>146</v>
      </c>
      <c r="B147" t="s">
        <v>966</v>
      </c>
      <c r="C147">
        <v>2</v>
      </c>
      <c r="D147">
        <v>216</v>
      </c>
      <c r="E147" s="2">
        <f t="shared" si="5"/>
        <v>0</v>
      </c>
      <c r="F147" t="str">
        <f>REPT("  ",Aop!$C147)&amp;VLOOKUP($A147,$A$2:$L$403,ID_Jezik+6,1)</f>
        <v xml:space="preserve">    II  POSLOVNI RASHODI (217+218+219+222+223+226+227+228)</v>
      </c>
      <c r="G147" t="s">
        <v>190</v>
      </c>
      <c r="H147" t="s">
        <v>1231</v>
      </c>
      <c r="I147" t="s">
        <v>477</v>
      </c>
      <c r="J147" s="104"/>
      <c r="K147" s="104"/>
      <c r="L147" s="104"/>
    </row>
    <row r="148" spans="1:12" x14ac:dyDescent="0.2">
      <c r="A148">
        <f t="shared" si="4"/>
        <v>147</v>
      </c>
      <c r="B148" t="s">
        <v>966</v>
      </c>
      <c r="C148">
        <v>3</v>
      </c>
      <c r="D148">
        <v>217</v>
      </c>
      <c r="E148" s="2" t="str">
        <f t="shared" si="5"/>
        <v>500 do 502</v>
      </c>
      <c r="F148" t="str">
        <f>REPT("  ",Aop!$C148)&amp;VLOOKUP($A148,$A$2:$L$403,ID_Jezik+6,1)</f>
        <v xml:space="preserve">      1. Nabavna vrijednost prodate robe</v>
      </c>
      <c r="G148" t="s">
        <v>605</v>
      </c>
      <c r="H148" t="s">
        <v>1232</v>
      </c>
      <c r="I148" t="s">
        <v>501</v>
      </c>
      <c r="J148" s="104" t="s">
        <v>24</v>
      </c>
      <c r="K148" s="104" t="s">
        <v>1469</v>
      </c>
      <c r="L148" s="104" t="s">
        <v>175</v>
      </c>
    </row>
    <row r="149" spans="1:12" x14ac:dyDescent="0.2">
      <c r="A149">
        <f t="shared" si="4"/>
        <v>148</v>
      </c>
      <c r="B149" t="s">
        <v>966</v>
      </c>
      <c r="C149">
        <v>3</v>
      </c>
      <c r="D149">
        <v>218</v>
      </c>
      <c r="E149" s="2" t="str">
        <f t="shared" si="5"/>
        <v>510 do 513</v>
      </c>
      <c r="F149" t="str">
        <f>REPT("  ",Aop!$C149)&amp;VLOOKUP($A149,$A$2:$L$403,ID_Jezik+6,1)</f>
        <v xml:space="preserve">      2. Troškovi materijala</v>
      </c>
      <c r="G149" t="s">
        <v>26</v>
      </c>
      <c r="H149" t="s">
        <v>1233</v>
      </c>
      <c r="I149" t="s">
        <v>502</v>
      </c>
      <c r="J149" s="104" t="s">
        <v>25</v>
      </c>
      <c r="K149" s="104" t="s">
        <v>1470</v>
      </c>
      <c r="L149" s="104" t="s">
        <v>176</v>
      </c>
    </row>
    <row r="150" spans="1:12" x14ac:dyDescent="0.2">
      <c r="A150">
        <f t="shared" si="4"/>
        <v>149</v>
      </c>
      <c r="B150" t="s">
        <v>966</v>
      </c>
      <c r="C150">
        <v>3</v>
      </c>
      <c r="D150">
        <v>219</v>
      </c>
      <c r="E150" s="2">
        <f t="shared" si="5"/>
        <v>52</v>
      </c>
      <c r="F150" t="str">
        <f>REPT("  ",Aop!$C150)&amp;VLOOKUP($A150,$A$2:$L$403,ID_Jezik+6,1)</f>
        <v xml:space="preserve">      3. Troškovi zarada, naknada zarada i ostalih ličnih rashoda (220+221)</v>
      </c>
      <c r="G150" t="s">
        <v>41</v>
      </c>
      <c r="H150" t="s">
        <v>1234</v>
      </c>
      <c r="I150" t="s">
        <v>205</v>
      </c>
      <c r="J150" s="104">
        <v>52</v>
      </c>
      <c r="K150" s="104">
        <v>52</v>
      </c>
      <c r="L150" s="104">
        <v>52</v>
      </c>
    </row>
    <row r="151" spans="1:12" x14ac:dyDescent="0.2">
      <c r="A151">
        <f t="shared" si="4"/>
        <v>150</v>
      </c>
      <c r="B151" t="s">
        <v>966</v>
      </c>
      <c r="C151">
        <v>4</v>
      </c>
      <c r="D151">
        <v>220</v>
      </c>
      <c r="E151" s="2" t="str">
        <f t="shared" si="5"/>
        <v>520 i 521</v>
      </c>
      <c r="F151" t="str">
        <f>REPT("  ",Aop!$C151)&amp;VLOOKUP($A151,$A$2:$L$403,ID_Jezik+6,1)</f>
        <v xml:space="preserve">        a) Troškovi bruto zarada i bruto naknada zarada</v>
      </c>
      <c r="G151" t="s">
        <v>606</v>
      </c>
      <c r="H151" t="s">
        <v>1235</v>
      </c>
      <c r="I151" t="s">
        <v>503</v>
      </c>
      <c r="J151" s="104" t="s">
        <v>27</v>
      </c>
      <c r="K151" s="104" t="s">
        <v>1471</v>
      </c>
      <c r="L151" s="104" t="s">
        <v>170</v>
      </c>
    </row>
    <row r="152" spans="1:12" x14ac:dyDescent="0.2">
      <c r="A152">
        <f t="shared" si="4"/>
        <v>151</v>
      </c>
      <c r="B152" t="s">
        <v>966</v>
      </c>
      <c r="C152">
        <v>4</v>
      </c>
      <c r="D152">
        <v>221</v>
      </c>
      <c r="E152" s="2" t="str">
        <f t="shared" si="5"/>
        <v>522 i 529</v>
      </c>
      <c r="F152" t="str">
        <f>REPT("  ",Aop!$C152)&amp;VLOOKUP($A152,$A$2:$L$403,ID_Jezik+6,1)</f>
        <v xml:space="preserve">        b) Ostali lični rashodi</v>
      </c>
      <c r="G152" t="s">
        <v>607</v>
      </c>
      <c r="H152" t="s">
        <v>1236</v>
      </c>
      <c r="I152" t="s">
        <v>504</v>
      </c>
      <c r="J152" s="104" t="s">
        <v>28</v>
      </c>
      <c r="K152" s="104" t="s">
        <v>1472</v>
      </c>
      <c r="L152" s="104" t="s">
        <v>171</v>
      </c>
    </row>
    <row r="153" spans="1:12" x14ac:dyDescent="0.2">
      <c r="A153">
        <f t="shared" si="4"/>
        <v>152</v>
      </c>
      <c r="B153" t="s">
        <v>966</v>
      </c>
      <c r="C153">
        <v>3</v>
      </c>
      <c r="D153">
        <v>222</v>
      </c>
      <c r="E153" s="2" t="str">
        <f t="shared" si="5"/>
        <v>530 do 539</v>
      </c>
      <c r="F153" t="str">
        <f>REPT("  ",Aop!$C153)&amp;VLOOKUP($A153,$A$2:$L$403,ID_Jezik+6,1)</f>
        <v xml:space="preserve">      4. Troškovi proizvodnih usluga</v>
      </c>
      <c r="G153" t="s">
        <v>30</v>
      </c>
      <c r="H153" t="s">
        <v>1237</v>
      </c>
      <c r="I153" t="s">
        <v>332</v>
      </c>
      <c r="J153" s="104" t="s">
        <v>29</v>
      </c>
      <c r="K153" s="104" t="s">
        <v>1473</v>
      </c>
      <c r="L153" s="104" t="s">
        <v>177</v>
      </c>
    </row>
    <row r="154" spans="1:12" x14ac:dyDescent="0.2">
      <c r="A154">
        <f t="shared" si="4"/>
        <v>153</v>
      </c>
      <c r="B154" t="s">
        <v>966</v>
      </c>
      <c r="C154">
        <v>3</v>
      </c>
      <c r="D154">
        <v>223</v>
      </c>
      <c r="E154" s="2">
        <f t="shared" si="5"/>
        <v>54</v>
      </c>
      <c r="F154" t="str">
        <f>REPT("  ",Aop!$C154)&amp;VLOOKUP($A154,$A$2:$L$403,ID_Jezik+6,1)</f>
        <v xml:space="preserve">      5. Troškovi amortizacije i rezervisanja (224+225)</v>
      </c>
      <c r="G154" t="s">
        <v>31</v>
      </c>
      <c r="H154" t="s">
        <v>1238</v>
      </c>
      <c r="I154" t="s">
        <v>505</v>
      </c>
      <c r="J154" s="104">
        <v>54</v>
      </c>
      <c r="K154" s="104">
        <v>54</v>
      </c>
      <c r="L154" s="104">
        <v>54</v>
      </c>
    </row>
    <row r="155" spans="1:12" x14ac:dyDescent="0.2">
      <c r="A155">
        <f t="shared" si="4"/>
        <v>154</v>
      </c>
      <c r="B155" t="s">
        <v>966</v>
      </c>
      <c r="C155">
        <v>4</v>
      </c>
      <c r="D155">
        <v>224</v>
      </c>
      <c r="E155" s="2">
        <f t="shared" si="5"/>
        <v>540</v>
      </c>
      <c r="F155" t="str">
        <f>REPT("  ",Aop!$C155)&amp;VLOOKUP($A155,$A$2:$L$403,ID_Jezik+6,1)</f>
        <v xml:space="preserve">        a) Troškovi amortizacije</v>
      </c>
      <c r="G155" t="s">
        <v>32</v>
      </c>
      <c r="H155" t="s">
        <v>1239</v>
      </c>
      <c r="I155" t="s">
        <v>506</v>
      </c>
      <c r="J155" s="104">
        <v>540</v>
      </c>
      <c r="K155" s="104">
        <v>540</v>
      </c>
      <c r="L155" s="104">
        <v>540</v>
      </c>
    </row>
    <row r="156" spans="1:12" x14ac:dyDescent="0.2">
      <c r="A156">
        <f t="shared" si="4"/>
        <v>155</v>
      </c>
      <c r="B156" t="s">
        <v>966</v>
      </c>
      <c r="C156">
        <v>4</v>
      </c>
      <c r="D156">
        <v>225</v>
      </c>
      <c r="E156" s="2" t="str">
        <f t="shared" si="5"/>
        <v>541 do 549</v>
      </c>
      <c r="F156" t="str">
        <f>REPT("  ",Aop!$C156)&amp;VLOOKUP($A156,$A$2:$L$403,ID_Jezik+6,1)</f>
        <v xml:space="preserve">        b) Troškovi rezervisanja</v>
      </c>
      <c r="G156" t="s">
        <v>43</v>
      </c>
      <c r="H156" t="s">
        <v>1240</v>
      </c>
      <c r="I156" t="s">
        <v>507</v>
      </c>
      <c r="J156" s="104" t="s">
        <v>42</v>
      </c>
      <c r="K156" s="104" t="s">
        <v>1474</v>
      </c>
      <c r="L156" s="104" t="s">
        <v>178</v>
      </c>
    </row>
    <row r="157" spans="1:12" x14ac:dyDescent="0.2">
      <c r="A157">
        <f t="shared" si="4"/>
        <v>156</v>
      </c>
      <c r="B157" t="s">
        <v>966</v>
      </c>
      <c r="C157">
        <v>3</v>
      </c>
      <c r="D157">
        <v>226</v>
      </c>
      <c r="E157" s="2" t="str">
        <f t="shared" si="5"/>
        <v>55 osim 555 i 556</v>
      </c>
      <c r="F157" t="str">
        <f>REPT("  ",Aop!$C157)&amp;VLOOKUP($A157,$A$2:$L$403,ID_Jezik+6,1)</f>
        <v xml:space="preserve">      6. Nematerijalni troškovi (bez poreza i doprinosa)</v>
      </c>
      <c r="G157" t="s">
        <v>47</v>
      </c>
      <c r="H157" t="s">
        <v>1241</v>
      </c>
      <c r="I157" t="s">
        <v>478</v>
      </c>
      <c r="J157" s="104" t="s">
        <v>44</v>
      </c>
      <c r="K157" s="104" t="s">
        <v>1475</v>
      </c>
      <c r="L157" s="104" t="s">
        <v>179</v>
      </c>
    </row>
    <row r="158" spans="1:12" x14ac:dyDescent="0.2">
      <c r="A158">
        <f t="shared" si="4"/>
        <v>157</v>
      </c>
      <c r="B158" t="s">
        <v>966</v>
      </c>
      <c r="C158">
        <v>3</v>
      </c>
      <c r="D158">
        <v>227</v>
      </c>
      <c r="E158" s="2">
        <f t="shared" si="5"/>
        <v>555</v>
      </c>
      <c r="F158" t="str">
        <f>REPT("  ",Aop!$C158)&amp;VLOOKUP($A158,$A$2:$L$403,ID_Jezik+6,1)</f>
        <v xml:space="preserve">      7. Troškovi poreza</v>
      </c>
      <c r="G158" t="s">
        <v>45</v>
      </c>
      <c r="H158" t="s">
        <v>1242</v>
      </c>
      <c r="I158" t="s">
        <v>479</v>
      </c>
      <c r="J158" s="104">
        <v>555</v>
      </c>
      <c r="K158" s="104">
        <v>555</v>
      </c>
      <c r="L158" s="104">
        <v>555</v>
      </c>
    </row>
    <row r="159" spans="1:12" x14ac:dyDescent="0.2">
      <c r="A159">
        <f t="shared" si="4"/>
        <v>158</v>
      </c>
      <c r="B159" t="s">
        <v>966</v>
      </c>
      <c r="C159">
        <v>3</v>
      </c>
      <c r="D159">
        <v>228</v>
      </c>
      <c r="E159" s="2">
        <f t="shared" si="5"/>
        <v>556</v>
      </c>
      <c r="F159" t="str">
        <f>REPT("  ",Aop!$C159)&amp;VLOOKUP($A159,$A$2:$L$403,ID_Jezik+6,1)</f>
        <v xml:space="preserve">      8. Troškovi doprinosa</v>
      </c>
      <c r="G159" t="s">
        <v>46</v>
      </c>
      <c r="H159" t="s">
        <v>1243</v>
      </c>
      <c r="I159" t="s">
        <v>480</v>
      </c>
      <c r="J159" s="104">
        <v>556</v>
      </c>
      <c r="K159" s="104">
        <v>556</v>
      </c>
      <c r="L159" s="104">
        <v>556</v>
      </c>
    </row>
    <row r="160" spans="1:12" x14ac:dyDescent="0.2">
      <c r="A160">
        <f t="shared" si="4"/>
        <v>159</v>
      </c>
      <c r="B160" t="s">
        <v>966</v>
      </c>
      <c r="C160">
        <v>1</v>
      </c>
      <c r="D160">
        <v>229</v>
      </c>
      <c r="E160" s="2">
        <f t="shared" si="5"/>
        <v>0</v>
      </c>
      <c r="F160" t="str">
        <f>REPT("  ",Aop!$C160)&amp;VLOOKUP($A160,$A$2:$L$403,ID_Jezik+6,1)</f>
        <v xml:space="preserve">  B. POSLOVNI DOBITAK (201-216)</v>
      </c>
      <c r="G160" t="s">
        <v>48</v>
      </c>
      <c r="H160" t="s">
        <v>1244</v>
      </c>
      <c r="I160" t="s">
        <v>508</v>
      </c>
      <c r="J160" s="104"/>
      <c r="K160" s="104"/>
      <c r="L160" s="104"/>
    </row>
    <row r="161" spans="1:12" x14ac:dyDescent="0.2">
      <c r="A161">
        <f t="shared" si="4"/>
        <v>160</v>
      </c>
      <c r="B161" t="s">
        <v>966</v>
      </c>
      <c r="C161">
        <v>1</v>
      </c>
      <c r="D161">
        <v>230</v>
      </c>
      <c r="E161" s="2">
        <f t="shared" si="5"/>
        <v>0</v>
      </c>
      <c r="F161" t="str">
        <f>REPT("  ",Aop!$C161)&amp;VLOOKUP($A161,$A$2:$L$403,ID_Jezik+6,1)</f>
        <v xml:space="preserve">  V. POSLOVNI GUBITAK (216-201)</v>
      </c>
      <c r="G161" t="s">
        <v>49</v>
      </c>
      <c r="H161" t="s">
        <v>1245</v>
      </c>
      <c r="I161" t="s">
        <v>210</v>
      </c>
      <c r="J161" s="104"/>
      <c r="K161" s="104"/>
      <c r="L161" s="104"/>
    </row>
    <row r="162" spans="1:12" x14ac:dyDescent="0.2">
      <c r="A162">
        <f t="shared" si="4"/>
        <v>161</v>
      </c>
      <c r="B162" t="s">
        <v>966</v>
      </c>
      <c r="C162">
        <v>0</v>
      </c>
      <c r="E162" s="2">
        <f t="shared" si="5"/>
        <v>0</v>
      </c>
      <c r="F162" t="str">
        <f>REPT("  ",Aop!$C162)&amp;VLOOKUP($A162,$A$2:$L$403,ID_Jezik+6,1)</f>
        <v>G. FINANSIJSKI PRIHODI I RASHODI</v>
      </c>
      <c r="G162" t="s">
        <v>112</v>
      </c>
      <c r="H162" t="s">
        <v>1246</v>
      </c>
      <c r="I162" t="s">
        <v>211</v>
      </c>
      <c r="J162" s="104"/>
      <c r="K162" s="104"/>
      <c r="L162" s="104"/>
    </row>
    <row r="163" spans="1:12" x14ac:dyDescent="0.2">
      <c r="A163">
        <f t="shared" si="4"/>
        <v>162</v>
      </c>
      <c r="B163" t="s">
        <v>966</v>
      </c>
      <c r="C163">
        <v>2</v>
      </c>
      <c r="D163">
        <v>231</v>
      </c>
      <c r="E163" s="2">
        <f t="shared" si="5"/>
        <v>66</v>
      </c>
      <c r="F163" t="str">
        <f>REPT("  ",Aop!$C163)&amp;VLOOKUP($A163,$A$2:$L$403,ID_Jezik+6,1)</f>
        <v xml:space="preserve">    I  FINANSIJSKI PRIHODI (232 do 237)</v>
      </c>
      <c r="G163" t="s">
        <v>50</v>
      </c>
      <c r="H163" t="s">
        <v>1247</v>
      </c>
      <c r="I163" t="s">
        <v>481</v>
      </c>
      <c r="J163" s="104">
        <v>66</v>
      </c>
      <c r="K163" s="104">
        <v>66</v>
      </c>
      <c r="L163" s="104">
        <v>66</v>
      </c>
    </row>
    <row r="164" spans="1:12" x14ac:dyDescent="0.2">
      <c r="A164">
        <f t="shared" si="4"/>
        <v>163</v>
      </c>
      <c r="B164" t="s">
        <v>966</v>
      </c>
      <c r="C164">
        <v>3</v>
      </c>
      <c r="D164">
        <v>232</v>
      </c>
      <c r="E164" s="2">
        <f t="shared" si="5"/>
        <v>660</v>
      </c>
      <c r="F164" t="str">
        <f>REPT("  ",Aop!$C164)&amp;VLOOKUP($A164,$A$2:$L$403,ID_Jezik+6,1)</f>
        <v xml:space="preserve">      1. Finansijski prihodi od povezanih pravnih lica</v>
      </c>
      <c r="G164" t="s">
        <v>609</v>
      </c>
      <c r="H164" t="s">
        <v>1248</v>
      </c>
      <c r="I164" t="s">
        <v>571</v>
      </c>
      <c r="J164" s="104">
        <v>660</v>
      </c>
      <c r="K164" s="104">
        <v>660</v>
      </c>
      <c r="L164" s="104">
        <v>660</v>
      </c>
    </row>
    <row r="165" spans="1:12" x14ac:dyDescent="0.2">
      <c r="A165">
        <f t="shared" si="4"/>
        <v>164</v>
      </c>
      <c r="B165" t="s">
        <v>966</v>
      </c>
      <c r="C165">
        <v>3</v>
      </c>
      <c r="D165">
        <v>233</v>
      </c>
      <c r="E165" s="2">
        <f t="shared" si="5"/>
        <v>661</v>
      </c>
      <c r="F165" t="str">
        <f>REPT("  ",Aop!$C165)&amp;VLOOKUP($A165,$A$2:$L$403,ID_Jezik+6,1)</f>
        <v xml:space="preserve">      2. Prihodi od kamata</v>
      </c>
      <c r="G165" t="s">
        <v>610</v>
      </c>
      <c r="H165" t="s">
        <v>1249</v>
      </c>
      <c r="I165" t="s">
        <v>509</v>
      </c>
      <c r="J165" s="104">
        <v>661</v>
      </c>
      <c r="K165" s="104">
        <v>661</v>
      </c>
      <c r="L165" s="104">
        <v>661</v>
      </c>
    </row>
    <row r="166" spans="1:12" x14ac:dyDescent="0.2">
      <c r="A166">
        <f t="shared" si="4"/>
        <v>165</v>
      </c>
      <c r="B166" t="s">
        <v>966</v>
      </c>
      <c r="C166">
        <v>3</v>
      </c>
      <c r="D166">
        <v>234</v>
      </c>
      <c r="E166" s="2">
        <f t="shared" si="5"/>
        <v>662</v>
      </c>
      <c r="F166" t="str">
        <f>REPT("  ",Aop!$C166)&amp;VLOOKUP($A166,$A$2:$L$403,ID_Jezik+6,1)</f>
        <v xml:space="preserve">      3. Pozitivne kursne razlike</v>
      </c>
      <c r="G166" t="s">
        <v>611</v>
      </c>
      <c r="H166" t="s">
        <v>1250</v>
      </c>
      <c r="I166" t="s">
        <v>510</v>
      </c>
      <c r="J166" s="104">
        <v>662</v>
      </c>
      <c r="K166" s="104">
        <v>662</v>
      </c>
      <c r="L166" s="104">
        <v>662</v>
      </c>
    </row>
    <row r="167" spans="1:12" x14ac:dyDescent="0.2">
      <c r="A167">
        <f t="shared" si="4"/>
        <v>166</v>
      </c>
      <c r="B167" t="s">
        <v>966</v>
      </c>
      <c r="C167">
        <v>3</v>
      </c>
      <c r="D167">
        <v>235</v>
      </c>
      <c r="E167" s="2">
        <f t="shared" si="5"/>
        <v>663</v>
      </c>
      <c r="F167" t="str">
        <f>REPT("  ",Aop!$C167)&amp;VLOOKUP($A167,$A$2:$L$403,ID_Jezik+6,1)</f>
        <v xml:space="preserve">      4. Prihodi od efekata valutne klauzule</v>
      </c>
      <c r="G167" t="s">
        <v>51</v>
      </c>
      <c r="H167" t="s">
        <v>1251</v>
      </c>
      <c r="I167" t="s">
        <v>429</v>
      </c>
      <c r="J167" s="104">
        <v>663</v>
      </c>
      <c r="K167" s="104">
        <v>663</v>
      </c>
      <c r="L167" s="104">
        <v>663</v>
      </c>
    </row>
    <row r="168" spans="1:12" x14ac:dyDescent="0.2">
      <c r="A168">
        <f t="shared" si="4"/>
        <v>167</v>
      </c>
      <c r="B168" t="s">
        <v>966</v>
      </c>
      <c r="C168">
        <v>3</v>
      </c>
      <c r="D168">
        <v>236</v>
      </c>
      <c r="E168" s="2">
        <f t="shared" si="5"/>
        <v>664</v>
      </c>
      <c r="F168" t="str">
        <f>REPT("  ",Aop!$C168)&amp;VLOOKUP($A168,$A$2:$L$403,ID_Jezik+6,1)</f>
        <v xml:space="preserve">      5. Prihodi od učešća u dobitku zajedničkih ulaganja</v>
      </c>
      <c r="G168" t="s">
        <v>56</v>
      </c>
      <c r="H168" t="s">
        <v>1252</v>
      </c>
      <c r="I168" t="s">
        <v>511</v>
      </c>
      <c r="J168" s="104">
        <v>664</v>
      </c>
      <c r="K168" s="104">
        <v>664</v>
      </c>
      <c r="L168" s="104">
        <v>664</v>
      </c>
    </row>
    <row r="169" spans="1:12" x14ac:dyDescent="0.2">
      <c r="A169">
        <f t="shared" si="4"/>
        <v>168</v>
      </c>
      <c r="B169" t="s">
        <v>966</v>
      </c>
      <c r="C169">
        <v>3</v>
      </c>
      <c r="D169">
        <v>237</v>
      </c>
      <c r="E169" s="2">
        <f t="shared" si="5"/>
        <v>669</v>
      </c>
      <c r="F169" t="str">
        <f>REPT("  ",Aop!$C169)&amp;VLOOKUP($A169,$A$2:$L$403,ID_Jezik+6,1)</f>
        <v xml:space="preserve">      6. Ostali finansijski prihodi</v>
      </c>
      <c r="G169" t="s">
        <v>52</v>
      </c>
      <c r="H169" t="s">
        <v>1253</v>
      </c>
      <c r="I169" t="s">
        <v>482</v>
      </c>
      <c r="J169" s="104">
        <v>669</v>
      </c>
      <c r="K169" s="104">
        <v>669</v>
      </c>
      <c r="L169" s="104">
        <v>669</v>
      </c>
    </row>
    <row r="170" spans="1:12" x14ac:dyDescent="0.2">
      <c r="A170">
        <f t="shared" si="4"/>
        <v>169</v>
      </c>
      <c r="B170" t="s">
        <v>966</v>
      </c>
      <c r="C170">
        <v>2</v>
      </c>
      <c r="D170">
        <v>238</v>
      </c>
      <c r="E170" s="2">
        <f t="shared" si="5"/>
        <v>56</v>
      </c>
      <c r="F170" t="str">
        <f>REPT("  ",Aop!$C170)&amp;VLOOKUP($A170,$A$2:$L$403,ID_Jezik+6,1)</f>
        <v xml:space="preserve">    II  FINANSIJSKI RASHODI (239 do 243)</v>
      </c>
      <c r="G170" t="s">
        <v>53</v>
      </c>
      <c r="H170" t="s">
        <v>1254</v>
      </c>
      <c r="I170" t="s">
        <v>512</v>
      </c>
      <c r="J170" s="104">
        <v>56</v>
      </c>
      <c r="K170" s="104">
        <v>56</v>
      </c>
      <c r="L170" s="104">
        <v>56</v>
      </c>
    </row>
    <row r="171" spans="1:12" x14ac:dyDescent="0.2">
      <c r="A171">
        <f t="shared" si="4"/>
        <v>170</v>
      </c>
      <c r="B171" t="s">
        <v>966</v>
      </c>
      <c r="C171">
        <v>3</v>
      </c>
      <c r="D171">
        <v>239</v>
      </c>
      <c r="E171" s="2">
        <f t="shared" si="5"/>
        <v>560</v>
      </c>
      <c r="F171" t="str">
        <f>REPT("  ",Aop!$C171)&amp;VLOOKUP($A171,$A$2:$L$403,ID_Jezik+6,1)</f>
        <v xml:space="preserve">      1. Finansijski rashodi po osnovu odnosa povezanih pravnih lica</v>
      </c>
      <c r="G171" t="s">
        <v>132</v>
      </c>
      <c r="H171" t="s">
        <v>1255</v>
      </c>
      <c r="I171" t="s">
        <v>572</v>
      </c>
      <c r="J171" s="104">
        <v>560</v>
      </c>
      <c r="K171" s="104">
        <v>560</v>
      </c>
      <c r="L171" s="104">
        <v>560</v>
      </c>
    </row>
    <row r="172" spans="1:12" x14ac:dyDescent="0.2">
      <c r="A172">
        <f t="shared" si="4"/>
        <v>171</v>
      </c>
      <c r="B172" t="s">
        <v>966</v>
      </c>
      <c r="C172">
        <v>3</v>
      </c>
      <c r="D172">
        <v>240</v>
      </c>
      <c r="E172" s="2">
        <f t="shared" si="5"/>
        <v>561</v>
      </c>
      <c r="F172" t="str">
        <f>REPT("  ",Aop!$C172)&amp;VLOOKUP($A172,$A$2:$L$403,ID_Jezik+6,1)</f>
        <v xml:space="preserve">      2. Rashodi kamata</v>
      </c>
      <c r="G172" t="s">
        <v>612</v>
      </c>
      <c r="H172" t="s">
        <v>1256</v>
      </c>
      <c r="I172" t="s">
        <v>513</v>
      </c>
      <c r="J172" s="104">
        <v>561</v>
      </c>
      <c r="K172" s="104">
        <v>561</v>
      </c>
      <c r="L172" s="104">
        <v>561</v>
      </c>
    </row>
    <row r="173" spans="1:12" x14ac:dyDescent="0.2">
      <c r="A173">
        <f t="shared" si="4"/>
        <v>172</v>
      </c>
      <c r="B173" t="s">
        <v>966</v>
      </c>
      <c r="C173">
        <v>3</v>
      </c>
      <c r="D173">
        <v>241</v>
      </c>
      <c r="E173" s="2">
        <f t="shared" si="5"/>
        <v>562</v>
      </c>
      <c r="F173" t="str">
        <f>REPT("  ",Aop!$C173)&amp;VLOOKUP($A173,$A$2:$L$403,ID_Jezik+6,1)</f>
        <v xml:space="preserve">      3. Negativne kursne razlike</v>
      </c>
      <c r="G173" t="s">
        <v>613</v>
      </c>
      <c r="H173" t="s">
        <v>1257</v>
      </c>
      <c r="I173" t="s">
        <v>514</v>
      </c>
      <c r="J173" s="104">
        <v>562</v>
      </c>
      <c r="K173" s="104">
        <v>562</v>
      </c>
      <c r="L173" s="104">
        <v>562</v>
      </c>
    </row>
    <row r="174" spans="1:12" x14ac:dyDescent="0.2">
      <c r="A174">
        <f t="shared" si="4"/>
        <v>173</v>
      </c>
      <c r="B174" t="s">
        <v>966</v>
      </c>
      <c r="C174">
        <v>3</v>
      </c>
      <c r="D174">
        <v>242</v>
      </c>
      <c r="E174" s="2">
        <f t="shared" si="5"/>
        <v>563</v>
      </c>
      <c r="F174" t="str">
        <f>REPT("  ",Aop!$C174)&amp;VLOOKUP($A174,$A$2:$L$403,ID_Jezik+6,1)</f>
        <v xml:space="preserve">      4. Rashodi po osnovu valutne klauzule</v>
      </c>
      <c r="G174" t="s">
        <v>54</v>
      </c>
      <c r="H174" t="s">
        <v>1258</v>
      </c>
      <c r="I174" t="s">
        <v>430</v>
      </c>
      <c r="J174" s="104">
        <v>563</v>
      </c>
      <c r="K174" s="104">
        <v>563</v>
      </c>
      <c r="L174" s="104">
        <v>563</v>
      </c>
    </row>
    <row r="175" spans="1:12" x14ac:dyDescent="0.2">
      <c r="A175">
        <f t="shared" si="4"/>
        <v>174</v>
      </c>
      <c r="B175" t="s">
        <v>966</v>
      </c>
      <c r="C175">
        <v>3</v>
      </c>
      <c r="D175">
        <v>243</v>
      </c>
      <c r="E175" s="2">
        <f t="shared" si="5"/>
        <v>564</v>
      </c>
      <c r="F175" t="str">
        <f>REPT("  ",Aop!$C175)&amp;VLOOKUP($A175,$A$2:$L$403,ID_Jezik+6,1)</f>
        <v xml:space="preserve">      5. Ostali finansijski rashodi</v>
      </c>
      <c r="G175" t="s">
        <v>55</v>
      </c>
      <c r="H175" t="s">
        <v>1259</v>
      </c>
      <c r="I175" t="s">
        <v>483</v>
      </c>
      <c r="J175" s="104">
        <v>564</v>
      </c>
      <c r="K175" s="104">
        <v>564</v>
      </c>
      <c r="L175" s="104">
        <v>564</v>
      </c>
    </row>
    <row r="176" spans="1:12" x14ac:dyDescent="0.2">
      <c r="A176">
        <f t="shared" si="4"/>
        <v>175</v>
      </c>
      <c r="B176" t="s">
        <v>966</v>
      </c>
      <c r="C176">
        <v>1</v>
      </c>
      <c r="D176">
        <v>244</v>
      </c>
      <c r="E176" s="2">
        <f t="shared" si="5"/>
        <v>0</v>
      </c>
      <c r="F176" t="str">
        <f>REPT("  ",Aop!$C176)&amp;VLOOKUP($A176,$A$2:$L$403,ID_Jezik+6,1)</f>
        <v xml:space="preserve">  D. DOBITAK REDOVNE AKTIVNOSTI (229+231-238) ili (230+231-238)</v>
      </c>
      <c r="G176" t="s">
        <v>955</v>
      </c>
      <c r="H176" t="s">
        <v>1260</v>
      </c>
      <c r="I176" t="s">
        <v>958</v>
      </c>
      <c r="J176" s="104"/>
      <c r="K176" s="104"/>
      <c r="L176" s="104"/>
    </row>
    <row r="177" spans="1:12" x14ac:dyDescent="0.2">
      <c r="A177">
        <f t="shared" si="4"/>
        <v>176</v>
      </c>
      <c r="B177" t="s">
        <v>966</v>
      </c>
      <c r="C177">
        <v>1</v>
      </c>
      <c r="D177">
        <v>245</v>
      </c>
      <c r="E177" s="2">
        <f t="shared" si="5"/>
        <v>0</v>
      </c>
      <c r="F177" t="str">
        <f>REPT("  ",Aop!$C177)&amp;VLOOKUP($A177,$A$2:$L$403,ID_Jezik+6,1)</f>
        <v xml:space="preserve">  Đ. GUBITAK REDOVNE AKTIVNOSTI (-229-231+238) ili (230-231+238)</v>
      </c>
      <c r="G177" t="s">
        <v>956</v>
      </c>
      <c r="H177" t="s">
        <v>1261</v>
      </c>
      <c r="I177" t="s">
        <v>957</v>
      </c>
      <c r="J177" s="104"/>
      <c r="K177" s="104"/>
      <c r="L177" s="104"/>
    </row>
    <row r="178" spans="1:12" x14ac:dyDescent="0.2">
      <c r="A178">
        <f t="shared" si="4"/>
        <v>177</v>
      </c>
      <c r="B178" t="s">
        <v>966</v>
      </c>
      <c r="C178">
        <v>0</v>
      </c>
      <c r="E178" s="2">
        <f t="shared" si="5"/>
        <v>0</v>
      </c>
      <c r="F178" t="str">
        <f>REPT("  ",Aop!$C178)&amp;VLOOKUP($A178,$A$2:$L$403,ID_Jezik+6,1)</f>
        <v>E. OSTALI PRIHODI I RASHODI</v>
      </c>
      <c r="G178" t="s">
        <v>57</v>
      </c>
      <c r="H178" t="s">
        <v>1262</v>
      </c>
      <c r="I178" t="s">
        <v>212</v>
      </c>
      <c r="J178" s="104"/>
      <c r="K178" s="104"/>
      <c r="L178" s="104"/>
    </row>
    <row r="179" spans="1:12" x14ac:dyDescent="0.2">
      <c r="A179">
        <f t="shared" si="4"/>
        <v>178</v>
      </c>
      <c r="B179" t="s">
        <v>966</v>
      </c>
      <c r="C179">
        <v>2</v>
      </c>
      <c r="D179">
        <v>246</v>
      </c>
      <c r="E179" s="2">
        <f t="shared" si="5"/>
        <v>67</v>
      </c>
      <c r="F179" t="str">
        <f>REPT("  ",Aop!$C179)&amp;VLOOKUP($A179,$A$2:$L$403,ID_Jezik+6,1)</f>
        <v xml:space="preserve">    I  OSTALI PRIHODI (247 do 256)</v>
      </c>
      <c r="G179" t="s">
        <v>105</v>
      </c>
      <c r="H179" t="s">
        <v>1416</v>
      </c>
      <c r="I179" t="s">
        <v>295</v>
      </c>
      <c r="J179" s="104">
        <v>67</v>
      </c>
      <c r="K179" s="104">
        <v>67</v>
      </c>
      <c r="L179" s="104">
        <v>67</v>
      </c>
    </row>
    <row r="180" spans="1:12" x14ac:dyDescent="0.2">
      <c r="A180">
        <f t="shared" si="4"/>
        <v>179</v>
      </c>
      <c r="B180" t="s">
        <v>966</v>
      </c>
      <c r="C180">
        <v>3</v>
      </c>
      <c r="D180">
        <v>247</v>
      </c>
      <c r="E180" s="2">
        <f t="shared" si="5"/>
        <v>670</v>
      </c>
      <c r="F180" t="str">
        <f>REPT("  ",Aop!$C180)&amp;VLOOKUP($A180,$A$2:$L$403,ID_Jezik+6,1)</f>
        <v xml:space="preserve">      1. Dobici po osnovu prodaje nematerijalnih ulaganja, nekretnina, postrojenja i opreme</v>
      </c>
      <c r="G180" t="s">
        <v>61</v>
      </c>
      <c r="H180" t="s">
        <v>1263</v>
      </c>
      <c r="I180" t="s">
        <v>515</v>
      </c>
      <c r="J180" s="104">
        <v>670</v>
      </c>
      <c r="K180" s="104">
        <v>670</v>
      </c>
      <c r="L180" s="104">
        <v>670</v>
      </c>
    </row>
    <row r="181" spans="1:12" x14ac:dyDescent="0.2">
      <c r="A181">
        <f t="shared" si="4"/>
        <v>180</v>
      </c>
      <c r="B181" t="s">
        <v>966</v>
      </c>
      <c r="C181">
        <v>3</v>
      </c>
      <c r="D181">
        <v>248</v>
      </c>
      <c r="E181" s="2">
        <f t="shared" si="5"/>
        <v>671</v>
      </c>
      <c r="F181" t="str">
        <f>REPT("  ",Aop!$C181)&amp;VLOOKUP($A181,$A$2:$L$403,ID_Jezik+6,1)</f>
        <v xml:space="preserve">      2. Dobici po osnovu prodaje investicionih nekretnina</v>
      </c>
      <c r="G181" t="s">
        <v>62</v>
      </c>
      <c r="H181" t="s">
        <v>1264</v>
      </c>
      <c r="I181" t="s">
        <v>530</v>
      </c>
      <c r="J181" s="104">
        <v>671</v>
      </c>
      <c r="K181" s="104">
        <v>671</v>
      </c>
      <c r="L181" s="104">
        <v>671</v>
      </c>
    </row>
    <row r="182" spans="1:12" x14ac:dyDescent="0.2">
      <c r="A182">
        <f t="shared" si="4"/>
        <v>181</v>
      </c>
      <c r="B182" t="s">
        <v>966</v>
      </c>
      <c r="C182">
        <v>3</v>
      </c>
      <c r="D182">
        <v>249</v>
      </c>
      <c r="E182" s="2">
        <f t="shared" si="5"/>
        <v>672</v>
      </c>
      <c r="F182" t="str">
        <f>REPT("  ",Aop!$C182)&amp;VLOOKUP($A182,$A$2:$L$403,ID_Jezik+6,1)</f>
        <v xml:space="preserve">      3. Dobici po osnovu prodaje bioloških sredstava</v>
      </c>
      <c r="G182" t="s">
        <v>63</v>
      </c>
      <c r="H182" t="s">
        <v>1265</v>
      </c>
      <c r="I182" t="s">
        <v>516</v>
      </c>
      <c r="J182" s="104">
        <v>672</v>
      </c>
      <c r="K182" s="104">
        <v>672</v>
      </c>
      <c r="L182" s="104">
        <v>672</v>
      </c>
    </row>
    <row r="183" spans="1:12" x14ac:dyDescent="0.2">
      <c r="A183">
        <f t="shared" si="4"/>
        <v>182</v>
      </c>
      <c r="B183" t="s">
        <v>966</v>
      </c>
      <c r="C183">
        <v>3</v>
      </c>
      <c r="D183">
        <v>250</v>
      </c>
      <c r="E183" s="2">
        <f t="shared" si="5"/>
        <v>673</v>
      </c>
      <c r="F183" t="str">
        <f>REPT("  ",Aop!$C183)&amp;VLOOKUP($A183,$A$2:$L$403,ID_Jezik+6,1)</f>
        <v xml:space="preserve">      4. Dobici po osnovu prodaje sredstava obustavljenog poslovanja</v>
      </c>
      <c r="G183" t="s">
        <v>64</v>
      </c>
      <c r="H183" t="s">
        <v>1266</v>
      </c>
      <c r="I183" t="s">
        <v>305</v>
      </c>
      <c r="J183" s="104">
        <v>673</v>
      </c>
      <c r="K183" s="104">
        <v>673</v>
      </c>
      <c r="L183" s="104">
        <v>673</v>
      </c>
    </row>
    <row r="184" spans="1:12" x14ac:dyDescent="0.2">
      <c r="A184">
        <f t="shared" si="4"/>
        <v>183</v>
      </c>
      <c r="B184" t="s">
        <v>966</v>
      </c>
      <c r="C184">
        <v>3</v>
      </c>
      <c r="D184">
        <v>251</v>
      </c>
      <c r="E184" s="2">
        <f t="shared" si="5"/>
        <v>674</v>
      </c>
      <c r="F184" t="str">
        <f>REPT("  ",Aop!$C184)&amp;VLOOKUP($A184,$A$2:$L$403,ID_Jezik+6,1)</f>
        <v xml:space="preserve">      5. Dobici po osnovu prodaje učešća u kapitalu i dugoročnih HOV</v>
      </c>
      <c r="G184" t="s">
        <v>74</v>
      </c>
      <c r="H184" t="s">
        <v>1267</v>
      </c>
      <c r="I184" t="s">
        <v>517</v>
      </c>
      <c r="J184" s="104">
        <v>674</v>
      </c>
      <c r="K184" s="104">
        <v>674</v>
      </c>
      <c r="L184" s="104">
        <v>674</v>
      </c>
    </row>
    <row r="185" spans="1:12" x14ac:dyDescent="0.2">
      <c r="A185">
        <f t="shared" si="4"/>
        <v>184</v>
      </c>
      <c r="B185" t="s">
        <v>966</v>
      </c>
      <c r="C185">
        <v>3</v>
      </c>
      <c r="D185">
        <v>252</v>
      </c>
      <c r="E185" s="2">
        <f t="shared" si="5"/>
        <v>675</v>
      </c>
      <c r="F185" t="str">
        <f>REPT("  ",Aop!$C185)&amp;VLOOKUP($A185,$A$2:$L$403,ID_Jezik+6,1)</f>
        <v xml:space="preserve">      6. Dobici po osnovu prodaje materijala</v>
      </c>
      <c r="G185" t="s">
        <v>65</v>
      </c>
      <c r="H185" t="s">
        <v>1268</v>
      </c>
      <c r="I185" t="s">
        <v>518</v>
      </c>
      <c r="J185" s="104">
        <v>675</v>
      </c>
      <c r="K185" s="104">
        <v>675</v>
      </c>
      <c r="L185" s="104">
        <v>675</v>
      </c>
    </row>
    <row r="186" spans="1:12" x14ac:dyDescent="0.2">
      <c r="A186">
        <f t="shared" si="4"/>
        <v>185</v>
      </c>
      <c r="B186" t="s">
        <v>966</v>
      </c>
      <c r="C186">
        <v>3</v>
      </c>
      <c r="D186">
        <v>253</v>
      </c>
      <c r="E186" s="2">
        <f t="shared" si="5"/>
        <v>676</v>
      </c>
      <c r="F186" t="str">
        <f>REPT("  ",Aop!$C186)&amp;VLOOKUP($A186,$A$2:$L$403,ID_Jezik+6,1)</f>
        <v xml:space="preserve">      7. Viškovi, izuzimajući viškove zaliha učinaka</v>
      </c>
      <c r="G186" t="s">
        <v>75</v>
      </c>
      <c r="H186" t="s">
        <v>1269</v>
      </c>
      <c r="I186" t="s">
        <v>519</v>
      </c>
      <c r="J186" s="104">
        <v>676</v>
      </c>
      <c r="K186" s="104">
        <v>676</v>
      </c>
      <c r="L186" s="104">
        <v>676</v>
      </c>
    </row>
    <row r="187" spans="1:12" x14ac:dyDescent="0.2">
      <c r="A187">
        <f t="shared" si="4"/>
        <v>186</v>
      </c>
      <c r="B187" t="s">
        <v>966</v>
      </c>
      <c r="C187">
        <v>3</v>
      </c>
      <c r="D187">
        <v>254</v>
      </c>
      <c r="E187" s="2">
        <f t="shared" si="5"/>
        <v>677</v>
      </c>
      <c r="F187" t="str">
        <f>REPT("  ",Aop!$C187)&amp;VLOOKUP($A187,$A$2:$L$403,ID_Jezik+6,1)</f>
        <v xml:space="preserve">      8. Naplaćena otpisana potraživanja</v>
      </c>
      <c r="G187" t="s">
        <v>608</v>
      </c>
      <c r="H187" t="s">
        <v>1270</v>
      </c>
      <c r="I187" t="s">
        <v>312</v>
      </c>
      <c r="J187" s="104">
        <v>677</v>
      </c>
      <c r="K187" s="104">
        <v>677</v>
      </c>
      <c r="L187" s="104">
        <v>677</v>
      </c>
    </row>
    <row r="188" spans="1:12" x14ac:dyDescent="0.2">
      <c r="A188">
        <f t="shared" si="4"/>
        <v>187</v>
      </c>
      <c r="B188" t="s">
        <v>966</v>
      </c>
      <c r="C188">
        <v>3</v>
      </c>
      <c r="D188">
        <v>255</v>
      </c>
      <c r="E188" s="2">
        <f t="shared" si="5"/>
        <v>678</v>
      </c>
      <c r="F188" t="str">
        <f>REPT("  ",Aop!$C188)&amp;VLOOKUP($A188,$A$2:$L$403,ID_Jezik+6,1)</f>
        <v xml:space="preserve">      9. Prihodi po osnovu ugovorene zaštite od rizika, koji ne ispunjavaju uslove da se iskažu u okviru revalorizacionih rezervi</v>
      </c>
      <c r="G188" t="s">
        <v>66</v>
      </c>
      <c r="H188" t="s">
        <v>1271</v>
      </c>
      <c r="I188" t="s">
        <v>432</v>
      </c>
      <c r="J188" s="104">
        <v>678</v>
      </c>
      <c r="K188" s="104">
        <v>678</v>
      </c>
      <c r="L188" s="104">
        <v>678</v>
      </c>
    </row>
    <row r="189" spans="1:12" x14ac:dyDescent="0.2">
      <c r="A189">
        <f t="shared" si="4"/>
        <v>188</v>
      </c>
      <c r="B189" t="s">
        <v>966</v>
      </c>
      <c r="C189">
        <v>3</v>
      </c>
      <c r="D189">
        <v>256</v>
      </c>
      <c r="E189" s="2">
        <f t="shared" si="5"/>
        <v>679</v>
      </c>
      <c r="F189" t="str">
        <f>REPT("  ",Aop!$C189)&amp;VLOOKUP($A189,$A$2:$L$403,ID_Jezik+6,1)</f>
        <v xml:space="preserve">      10. Prihodi od smanjenja obaveza, ukidanja neiskorištenih dugoročnih rezervisanja i ostali nepomenuti prihodi</v>
      </c>
      <c r="G189" t="s">
        <v>76</v>
      </c>
      <c r="H189" t="s">
        <v>1272</v>
      </c>
      <c r="I189" t="s">
        <v>520</v>
      </c>
      <c r="J189" s="104">
        <v>679</v>
      </c>
      <c r="K189" s="104">
        <v>679</v>
      </c>
      <c r="L189" s="104">
        <v>679</v>
      </c>
    </row>
    <row r="190" spans="1:12" x14ac:dyDescent="0.2">
      <c r="A190">
        <f t="shared" si="4"/>
        <v>189</v>
      </c>
      <c r="B190" t="s">
        <v>966</v>
      </c>
      <c r="C190">
        <v>2</v>
      </c>
      <c r="D190">
        <v>257</v>
      </c>
      <c r="E190" s="2">
        <f t="shared" si="5"/>
        <v>57</v>
      </c>
      <c r="F190" t="str">
        <f>REPT("  ",Aop!$C190)&amp;VLOOKUP($A190,$A$2:$L$403,ID_Jezik+6,1)</f>
        <v xml:space="preserve">    II  OSTALI RASHODI (258 do 267)</v>
      </c>
      <c r="G190" t="s">
        <v>58</v>
      </c>
      <c r="H190" t="s">
        <v>1273</v>
      </c>
      <c r="I190" t="s">
        <v>296</v>
      </c>
      <c r="J190" s="104">
        <v>57</v>
      </c>
      <c r="K190" s="104">
        <v>57</v>
      </c>
      <c r="L190" s="104">
        <v>57</v>
      </c>
    </row>
    <row r="191" spans="1:12" x14ac:dyDescent="0.2">
      <c r="A191">
        <f t="shared" si="4"/>
        <v>190</v>
      </c>
      <c r="B191" t="s">
        <v>966</v>
      </c>
      <c r="C191">
        <v>3</v>
      </c>
      <c r="D191">
        <v>258</v>
      </c>
      <c r="E191" s="2">
        <f t="shared" si="5"/>
        <v>570</v>
      </c>
      <c r="F191" t="str">
        <f>REPT("  ",Aop!$C191)&amp;VLOOKUP($A191,$A$2:$L$403,ID_Jezik+6,1)</f>
        <v xml:space="preserve">      1. Gubici po osnovu prodaje i rashodovanja nematerijalnih ulaganja, nekretnina, postrojenja i opreme</v>
      </c>
      <c r="G191" t="s">
        <v>67</v>
      </c>
      <c r="H191" t="s">
        <v>1274</v>
      </c>
      <c r="I191" t="s">
        <v>521</v>
      </c>
      <c r="J191" s="104">
        <v>570</v>
      </c>
      <c r="K191" s="104">
        <v>570</v>
      </c>
      <c r="L191" s="104">
        <v>570</v>
      </c>
    </row>
    <row r="192" spans="1:12" x14ac:dyDescent="0.2">
      <c r="A192">
        <f t="shared" si="4"/>
        <v>191</v>
      </c>
      <c r="B192" t="s">
        <v>966</v>
      </c>
      <c r="C192">
        <v>3</v>
      </c>
      <c r="D192">
        <v>259</v>
      </c>
      <c r="E192" s="2">
        <f t="shared" si="5"/>
        <v>571</v>
      </c>
      <c r="F192" t="str">
        <f>REPT("  ",Aop!$C192)&amp;VLOOKUP($A192,$A$2:$L$403,ID_Jezik+6,1)</f>
        <v xml:space="preserve">      2. Gubici po osnovu prodaje i rashodovanja investicionih nekretnina</v>
      </c>
      <c r="G192" t="s">
        <v>68</v>
      </c>
      <c r="H192" t="s">
        <v>1275</v>
      </c>
      <c r="I192" t="s">
        <v>529</v>
      </c>
      <c r="J192" s="104">
        <v>571</v>
      </c>
      <c r="K192" s="104">
        <v>571</v>
      </c>
      <c r="L192" s="104">
        <v>571</v>
      </c>
    </row>
    <row r="193" spans="1:12" x14ac:dyDescent="0.2">
      <c r="A193">
        <f t="shared" si="4"/>
        <v>192</v>
      </c>
      <c r="B193" t="s">
        <v>966</v>
      </c>
      <c r="C193">
        <v>3</v>
      </c>
      <c r="D193">
        <v>260</v>
      </c>
      <c r="E193" s="2">
        <f t="shared" si="5"/>
        <v>572</v>
      </c>
      <c r="F193" t="str">
        <f>REPT("  ",Aop!$C193)&amp;VLOOKUP($A193,$A$2:$L$403,ID_Jezik+6,1)</f>
        <v xml:space="preserve">      3. Gubici po osnovu prodaje i rashodovanja bioloških sredstava</v>
      </c>
      <c r="G193" t="s">
        <v>69</v>
      </c>
      <c r="H193" t="s">
        <v>1276</v>
      </c>
      <c r="I193" t="s">
        <v>522</v>
      </c>
      <c r="J193" s="104">
        <v>572</v>
      </c>
      <c r="K193" s="104">
        <v>572</v>
      </c>
      <c r="L193" s="104">
        <v>572</v>
      </c>
    </row>
    <row r="194" spans="1:12" x14ac:dyDescent="0.2">
      <c r="A194">
        <f t="shared" ref="A194:A257" si="6">ROW()-ROW($A$1)</f>
        <v>193</v>
      </c>
      <c r="B194" t="s">
        <v>966</v>
      </c>
      <c r="C194">
        <v>3</v>
      </c>
      <c r="D194">
        <v>261</v>
      </c>
      <c r="E194" s="2">
        <f t="shared" ref="E194:E257" si="7">VLOOKUP($A194,$A$2:$L$403,ID_Jezik+9,1)</f>
        <v>573</v>
      </c>
      <c r="F194" t="str">
        <f>REPT("  ",Aop!$C194)&amp;VLOOKUP($A194,$A$2:$L$403,ID_Jezik+6,1)</f>
        <v xml:space="preserve">      4. Gubici po osnovu prodaje sredstava obustavljenog poslovanja</v>
      </c>
      <c r="G194" t="s">
        <v>70</v>
      </c>
      <c r="H194" t="s">
        <v>1277</v>
      </c>
      <c r="I194" t="s">
        <v>306</v>
      </c>
      <c r="J194" s="104">
        <v>573</v>
      </c>
      <c r="K194" s="104">
        <v>573</v>
      </c>
      <c r="L194" s="104">
        <v>573</v>
      </c>
    </row>
    <row r="195" spans="1:12" x14ac:dyDescent="0.2">
      <c r="A195">
        <f t="shared" si="6"/>
        <v>194</v>
      </c>
      <c r="B195" t="s">
        <v>966</v>
      </c>
      <c r="C195">
        <v>3</v>
      </c>
      <c r="D195">
        <v>262</v>
      </c>
      <c r="E195" s="2">
        <f t="shared" si="7"/>
        <v>574</v>
      </c>
      <c r="F195" t="str">
        <f>REPT("  ",Aop!$C195)&amp;VLOOKUP($A195,$A$2:$L$403,ID_Jezik+6,1)</f>
        <v xml:space="preserve">      5. Gubici po osnovu prodaje učešća u kapitalu i dugoročnih HOV</v>
      </c>
      <c r="G195" t="s">
        <v>77</v>
      </c>
      <c r="H195" t="s">
        <v>1278</v>
      </c>
      <c r="I195" t="s">
        <v>523</v>
      </c>
      <c r="J195" s="104">
        <v>574</v>
      </c>
      <c r="K195" s="104">
        <v>574</v>
      </c>
      <c r="L195" s="104">
        <v>574</v>
      </c>
    </row>
    <row r="196" spans="1:12" x14ac:dyDescent="0.2">
      <c r="A196">
        <f t="shared" si="6"/>
        <v>195</v>
      </c>
      <c r="B196" t="s">
        <v>966</v>
      </c>
      <c r="C196">
        <v>3</v>
      </c>
      <c r="D196">
        <v>263</v>
      </c>
      <c r="E196" s="2">
        <f t="shared" si="7"/>
        <v>575</v>
      </c>
      <c r="F196" t="str">
        <f>REPT("  ",Aop!$C196)&amp;VLOOKUP($A196,$A$2:$L$403,ID_Jezik+6,1)</f>
        <v xml:space="preserve">      6. Gubici po osnovu prodatog materijala</v>
      </c>
      <c r="G196" t="s">
        <v>71</v>
      </c>
      <c r="H196" t="s">
        <v>1279</v>
      </c>
      <c r="I196" t="s">
        <v>524</v>
      </c>
      <c r="J196" s="104">
        <v>575</v>
      </c>
      <c r="K196" s="104">
        <v>575</v>
      </c>
      <c r="L196" s="104">
        <v>575</v>
      </c>
    </row>
    <row r="197" spans="1:12" x14ac:dyDescent="0.2">
      <c r="A197">
        <f t="shared" si="6"/>
        <v>196</v>
      </c>
      <c r="B197" t="s">
        <v>966</v>
      </c>
      <c r="C197">
        <v>3</v>
      </c>
      <c r="D197">
        <v>264</v>
      </c>
      <c r="E197" s="2">
        <f t="shared" si="7"/>
        <v>576</v>
      </c>
      <c r="F197" t="str">
        <f>REPT("  ",Aop!$C197)&amp;VLOOKUP($A197,$A$2:$L$403,ID_Jezik+6,1)</f>
        <v xml:space="preserve">      7. Manjkovi, izuzimajući manjkove zaliha učinaka</v>
      </c>
      <c r="G197" t="s">
        <v>78</v>
      </c>
      <c r="H197" t="s">
        <v>1280</v>
      </c>
      <c r="I197" t="s">
        <v>525</v>
      </c>
      <c r="J197" s="104">
        <v>576</v>
      </c>
      <c r="K197" s="104">
        <v>576</v>
      </c>
      <c r="L197" s="104">
        <v>576</v>
      </c>
    </row>
    <row r="198" spans="1:12" x14ac:dyDescent="0.2">
      <c r="A198">
        <f t="shared" si="6"/>
        <v>197</v>
      </c>
      <c r="B198" t="s">
        <v>966</v>
      </c>
      <c r="C198">
        <v>3</v>
      </c>
      <c r="D198">
        <v>265</v>
      </c>
      <c r="E198" s="2">
        <f t="shared" si="7"/>
        <v>577</v>
      </c>
      <c r="F198" t="str">
        <f>REPT("  ",Aop!$C198)&amp;VLOOKUP($A198,$A$2:$L$403,ID_Jezik+6,1)</f>
        <v xml:space="preserve">      8. Rashodi po osnovu zaštite od rizika</v>
      </c>
      <c r="G198" t="s">
        <v>72</v>
      </c>
      <c r="H198" t="s">
        <v>1281</v>
      </c>
      <c r="I198" t="s">
        <v>526</v>
      </c>
      <c r="J198" s="104">
        <v>577</v>
      </c>
      <c r="K198" s="104">
        <v>577</v>
      </c>
      <c r="L198" s="104">
        <v>577</v>
      </c>
    </row>
    <row r="199" spans="1:12" x14ac:dyDescent="0.2">
      <c r="A199">
        <f t="shared" si="6"/>
        <v>198</v>
      </c>
      <c r="B199" t="s">
        <v>966</v>
      </c>
      <c r="C199">
        <v>3</v>
      </c>
      <c r="D199">
        <v>266</v>
      </c>
      <c r="E199" s="2">
        <f t="shared" si="7"/>
        <v>578</v>
      </c>
      <c r="F199" t="str">
        <f>REPT("  ",Aop!$C199)&amp;VLOOKUP($A199,$A$2:$L$403,ID_Jezik+6,1)</f>
        <v xml:space="preserve">      9. Rashodi po osnovu ispravke vrijednosti i otpisa potraživanja</v>
      </c>
      <c r="G199" t="s">
        <v>111</v>
      </c>
      <c r="H199" t="s">
        <v>1282</v>
      </c>
      <c r="I199" t="s">
        <v>527</v>
      </c>
      <c r="J199" s="104">
        <v>578</v>
      </c>
      <c r="K199" s="104">
        <v>578</v>
      </c>
      <c r="L199" s="104">
        <v>578</v>
      </c>
    </row>
    <row r="200" spans="1:12" x14ac:dyDescent="0.2">
      <c r="A200">
        <f t="shared" si="6"/>
        <v>199</v>
      </c>
      <c r="B200" t="s">
        <v>966</v>
      </c>
      <c r="C200">
        <v>3</v>
      </c>
      <c r="D200">
        <v>267</v>
      </c>
      <c r="E200" s="2">
        <f t="shared" si="7"/>
        <v>579</v>
      </c>
      <c r="F200" t="str">
        <f>REPT("  ",Aop!$C200)&amp;VLOOKUP($A200,$A$2:$L$403,ID_Jezik+6,1)</f>
        <v xml:space="preserve">      10. Rashodi po osnovu rashodovanja zaliha materijala i robe i ostali rashodi</v>
      </c>
      <c r="G200" t="s">
        <v>73</v>
      </c>
      <c r="H200" t="s">
        <v>1283</v>
      </c>
      <c r="I200" t="s">
        <v>528</v>
      </c>
      <c r="J200" s="104">
        <v>579</v>
      </c>
      <c r="K200" s="104">
        <v>579</v>
      </c>
      <c r="L200" s="104">
        <v>579</v>
      </c>
    </row>
    <row r="201" spans="1:12" x14ac:dyDescent="0.2">
      <c r="A201">
        <f t="shared" si="6"/>
        <v>200</v>
      </c>
      <c r="B201" t="s">
        <v>966</v>
      </c>
      <c r="C201">
        <v>1</v>
      </c>
      <c r="D201">
        <v>268</v>
      </c>
      <c r="E201" s="2">
        <f t="shared" si="7"/>
        <v>0</v>
      </c>
      <c r="F201" t="str">
        <f>REPT("  ",Aop!$C201)&amp;VLOOKUP($A201,$A$2:$L$403,ID_Jezik+6,1)</f>
        <v xml:space="preserve">  Ž. DOBITAK PO OSNOVU OSTALIH PRIHODA I RASHODA (246-257)</v>
      </c>
      <c r="G201" t="s">
        <v>59</v>
      </c>
      <c r="H201" t="s">
        <v>1284</v>
      </c>
      <c r="I201" t="s">
        <v>214</v>
      </c>
      <c r="J201" s="104"/>
      <c r="K201" s="104"/>
      <c r="L201" s="104"/>
    </row>
    <row r="202" spans="1:12" x14ac:dyDescent="0.2">
      <c r="A202">
        <f t="shared" si="6"/>
        <v>201</v>
      </c>
      <c r="B202" t="s">
        <v>966</v>
      </c>
      <c r="C202">
        <v>1</v>
      </c>
      <c r="D202">
        <v>269</v>
      </c>
      <c r="E202" s="2">
        <f t="shared" si="7"/>
        <v>0</v>
      </c>
      <c r="F202" t="str">
        <f>REPT("  ",Aop!$C202)&amp;VLOOKUP($A202,$A$2:$L$403,ID_Jezik+6,1)</f>
        <v xml:space="preserve">  Z. GUBITAK PO OSNOVU OSTALIH PRIHODA I RASHODA (257-246)</v>
      </c>
      <c r="G202" t="s">
        <v>60</v>
      </c>
      <c r="H202" t="s">
        <v>1285</v>
      </c>
      <c r="I202" t="s">
        <v>213</v>
      </c>
      <c r="J202" s="104"/>
      <c r="K202" s="104"/>
      <c r="L202" s="104"/>
    </row>
    <row r="203" spans="1:12" x14ac:dyDescent="0.2">
      <c r="A203">
        <f t="shared" si="6"/>
        <v>202</v>
      </c>
      <c r="B203" t="s">
        <v>966</v>
      </c>
      <c r="C203">
        <v>0</v>
      </c>
      <c r="E203" s="2">
        <f t="shared" si="7"/>
        <v>0</v>
      </c>
      <c r="F203" t="str">
        <f>REPT("  ",Aop!$C203)&amp;VLOOKUP($A203,$A$2:$L$403,ID_Jezik+6,1)</f>
        <v>I. PRIHODI I RASHODI OD USKLAĐIVANJA VRIJEDNOSTI IMOVINE</v>
      </c>
      <c r="G203" t="s">
        <v>79</v>
      </c>
      <c r="H203" t="s">
        <v>1286</v>
      </c>
      <c r="I203" t="s">
        <v>215</v>
      </c>
      <c r="J203" s="104"/>
      <c r="K203" s="104"/>
      <c r="L203" s="104"/>
    </row>
    <row r="204" spans="1:12" x14ac:dyDescent="0.2">
      <c r="A204">
        <f t="shared" si="6"/>
        <v>203</v>
      </c>
      <c r="B204" t="s">
        <v>966</v>
      </c>
      <c r="C204">
        <v>2</v>
      </c>
      <c r="D204">
        <v>270</v>
      </c>
      <c r="E204" s="2">
        <f t="shared" si="7"/>
        <v>68</v>
      </c>
      <c r="F204" t="str">
        <f>REPT("  ",Aop!$C204)&amp;VLOOKUP($A204,$A$2:$L$403,ID_Jezik+6,1)</f>
        <v xml:space="preserve">    I  PRIHODI OD USKLAĐIVANJA VRIJEDNOSTI IMOVINE (271 do 279)</v>
      </c>
      <c r="G204" t="s">
        <v>191</v>
      </c>
      <c r="H204" t="s">
        <v>1287</v>
      </c>
      <c r="I204" t="s">
        <v>297</v>
      </c>
      <c r="J204" s="104">
        <v>68</v>
      </c>
      <c r="K204" s="104">
        <v>68</v>
      </c>
      <c r="L204" s="104">
        <v>68</v>
      </c>
    </row>
    <row r="205" spans="1:12" x14ac:dyDescent="0.2">
      <c r="A205">
        <f t="shared" si="6"/>
        <v>204</v>
      </c>
      <c r="B205" t="s">
        <v>966</v>
      </c>
      <c r="C205">
        <v>3</v>
      </c>
      <c r="D205">
        <v>271</v>
      </c>
      <c r="E205" s="2">
        <f t="shared" si="7"/>
        <v>680</v>
      </c>
      <c r="F205" t="str">
        <f>REPT("  ",Aop!$C205)&amp;VLOOKUP($A205,$A$2:$L$403,ID_Jezik+6,1)</f>
        <v xml:space="preserve">      1. Prihodi od usklađivanja vrijednosti nematerijalnih ulaganja</v>
      </c>
      <c r="G205" t="s">
        <v>80</v>
      </c>
      <c r="H205" t="s">
        <v>1288</v>
      </c>
      <c r="I205" t="s">
        <v>404</v>
      </c>
      <c r="J205" s="104">
        <v>680</v>
      </c>
      <c r="K205" s="104">
        <v>680</v>
      </c>
      <c r="L205" s="104">
        <v>680</v>
      </c>
    </row>
    <row r="206" spans="1:12" x14ac:dyDescent="0.2">
      <c r="A206">
        <f t="shared" si="6"/>
        <v>205</v>
      </c>
      <c r="B206" t="s">
        <v>966</v>
      </c>
      <c r="C206">
        <v>3</v>
      </c>
      <c r="D206">
        <v>272</v>
      </c>
      <c r="E206" s="2">
        <f t="shared" si="7"/>
        <v>681</v>
      </c>
      <c r="F206" t="str">
        <f>REPT("  ",Aop!$C206)&amp;VLOOKUP($A206,$A$2:$L$403,ID_Jezik+6,1)</f>
        <v xml:space="preserve">      2. Prihodi od usklađivanja vrijednosti nekretnina, postrojenja i opreme</v>
      </c>
      <c r="G206" t="s">
        <v>81</v>
      </c>
      <c r="H206" t="s">
        <v>1289</v>
      </c>
      <c r="I206" t="s">
        <v>405</v>
      </c>
      <c r="J206" s="104">
        <v>681</v>
      </c>
      <c r="K206" s="104">
        <v>681</v>
      </c>
      <c r="L206" s="104">
        <v>681</v>
      </c>
    </row>
    <row r="207" spans="1:12" x14ac:dyDescent="0.2">
      <c r="A207">
        <f t="shared" si="6"/>
        <v>206</v>
      </c>
      <c r="B207" t="s">
        <v>966</v>
      </c>
      <c r="C207">
        <v>3</v>
      </c>
      <c r="D207">
        <v>273</v>
      </c>
      <c r="E207" s="2">
        <f t="shared" si="7"/>
        <v>682</v>
      </c>
      <c r="F207" t="str">
        <f>REPT("  ",Aop!$C207)&amp;VLOOKUP($A207,$A$2:$L$403,ID_Jezik+6,1)</f>
        <v xml:space="preserve">      3. Prihodi od usklađivanja vrijednosti investicionih nekretnina za koje se obračunava amortizacija</v>
      </c>
      <c r="G207" t="s">
        <v>82</v>
      </c>
      <c r="H207" t="s">
        <v>1290</v>
      </c>
      <c r="I207" t="s">
        <v>406</v>
      </c>
      <c r="J207" s="104">
        <v>682</v>
      </c>
      <c r="K207" s="104">
        <v>682</v>
      </c>
      <c r="L207" s="104">
        <v>682</v>
      </c>
    </row>
    <row r="208" spans="1:12" x14ac:dyDescent="0.2">
      <c r="A208">
        <f t="shared" si="6"/>
        <v>207</v>
      </c>
      <c r="B208" t="s">
        <v>966</v>
      </c>
      <c r="C208">
        <v>3</v>
      </c>
      <c r="D208">
        <v>274</v>
      </c>
      <c r="E208" s="2">
        <f t="shared" si="7"/>
        <v>683</v>
      </c>
      <c r="F208" t="str">
        <f>REPT("  ",Aop!$C208)&amp;VLOOKUP($A208,$A$2:$L$403,ID_Jezik+6,1)</f>
        <v xml:space="preserve">      4. Prihodi od usklađivanja vrijednosti bioloških sredstva za koje se obračunava amortizacija</v>
      </c>
      <c r="G208" t="s">
        <v>83</v>
      </c>
      <c r="H208" t="s">
        <v>1291</v>
      </c>
      <c r="I208" t="s">
        <v>407</v>
      </c>
      <c r="J208" s="104">
        <v>683</v>
      </c>
      <c r="K208" s="104">
        <v>683</v>
      </c>
      <c r="L208" s="104">
        <v>683</v>
      </c>
    </row>
    <row r="209" spans="1:12" x14ac:dyDescent="0.2">
      <c r="A209">
        <f t="shared" si="6"/>
        <v>208</v>
      </c>
      <c r="B209" t="s">
        <v>966</v>
      </c>
      <c r="C209">
        <v>3</v>
      </c>
      <c r="D209">
        <v>275</v>
      </c>
      <c r="E209" s="2">
        <f t="shared" si="7"/>
        <v>684</v>
      </c>
      <c r="F209" t="str">
        <f>REPT("  ",Aop!$C209)&amp;VLOOKUP($A209,$A$2:$L$403,ID_Jezik+6,1)</f>
        <v xml:space="preserve">      5. Prihodi od usklađivanja vrijednosti dugoročnih finansijskih plasmana i fin. sredstava raspoloživih za prodaju</v>
      </c>
      <c r="G209" t="s">
        <v>84</v>
      </c>
      <c r="H209" t="s">
        <v>1292</v>
      </c>
      <c r="I209" t="s">
        <v>408</v>
      </c>
      <c r="J209" s="104">
        <v>684</v>
      </c>
      <c r="K209" s="104">
        <v>684</v>
      </c>
      <c r="L209" s="104">
        <v>684</v>
      </c>
    </row>
    <row r="210" spans="1:12" x14ac:dyDescent="0.2">
      <c r="A210">
        <f t="shared" si="6"/>
        <v>209</v>
      </c>
      <c r="B210" t="s">
        <v>966</v>
      </c>
      <c r="C210">
        <v>3</v>
      </c>
      <c r="D210">
        <v>276</v>
      </c>
      <c r="E210" s="2">
        <f t="shared" si="7"/>
        <v>685</v>
      </c>
      <c r="F210" t="str">
        <f>REPT("  ",Aop!$C210)&amp;VLOOKUP($A210,$A$2:$L$403,ID_Jezik+6,1)</f>
        <v xml:space="preserve">      6. Prihodi od usklađivanja vrijednosti zaliha materijala i robe</v>
      </c>
      <c r="G210" t="s">
        <v>85</v>
      </c>
      <c r="H210" t="s">
        <v>1293</v>
      </c>
      <c r="I210" t="s">
        <v>409</v>
      </c>
      <c r="J210" s="104">
        <v>685</v>
      </c>
      <c r="K210" s="104">
        <v>685</v>
      </c>
      <c r="L210" s="104">
        <v>685</v>
      </c>
    </row>
    <row r="211" spans="1:12" x14ac:dyDescent="0.2">
      <c r="A211">
        <f t="shared" si="6"/>
        <v>210</v>
      </c>
      <c r="B211" t="s">
        <v>966</v>
      </c>
      <c r="C211">
        <v>3</v>
      </c>
      <c r="D211">
        <v>277</v>
      </c>
      <c r="E211" s="2">
        <f t="shared" si="7"/>
        <v>686</v>
      </c>
      <c r="F211" t="str">
        <f>REPT("  ",Aop!$C211)&amp;VLOOKUP($A211,$A$2:$L$403,ID_Jezik+6,1)</f>
        <v xml:space="preserve">      7. Prihodi od usklađivanja vrijednosti kratkoročnih finansijskih plasmana</v>
      </c>
      <c r="G211" t="s">
        <v>86</v>
      </c>
      <c r="H211" t="s">
        <v>1294</v>
      </c>
      <c r="I211" t="s">
        <v>410</v>
      </c>
      <c r="J211" s="104">
        <v>686</v>
      </c>
      <c r="K211" s="104">
        <v>686</v>
      </c>
      <c r="L211" s="104">
        <v>686</v>
      </c>
    </row>
    <row r="212" spans="1:12" x14ac:dyDescent="0.2">
      <c r="A212">
        <f t="shared" si="6"/>
        <v>211</v>
      </c>
      <c r="B212" t="s">
        <v>966</v>
      </c>
      <c r="C212">
        <v>3</v>
      </c>
      <c r="D212">
        <v>278</v>
      </c>
      <c r="E212" s="2">
        <f t="shared" si="7"/>
        <v>687</v>
      </c>
      <c r="F212" t="str">
        <f>REPT("  ",Aop!$C212)&amp;VLOOKUP($A212,$A$2:$L$403,ID_Jezik+6,1)</f>
        <v xml:space="preserve">      8. Prihodi od usklađivanja vrijednosti kapitala</v>
      </c>
      <c r="G212" t="s">
        <v>87</v>
      </c>
      <c r="H212" t="s">
        <v>1295</v>
      </c>
      <c r="I212" t="s">
        <v>411</v>
      </c>
      <c r="J212" s="104">
        <v>687</v>
      </c>
      <c r="K212" s="104">
        <v>687</v>
      </c>
      <c r="L212" s="104">
        <v>687</v>
      </c>
    </row>
    <row r="213" spans="1:12" x14ac:dyDescent="0.2">
      <c r="A213">
        <f t="shared" si="6"/>
        <v>212</v>
      </c>
      <c r="B213" t="s">
        <v>966</v>
      </c>
      <c r="C213">
        <v>3</v>
      </c>
      <c r="D213">
        <v>279</v>
      </c>
      <c r="E213" s="2">
        <f t="shared" si="7"/>
        <v>689</v>
      </c>
      <c r="F213" t="str">
        <f>REPT("  ",Aop!$C213)&amp;VLOOKUP($A213,$A$2:$L$403,ID_Jezik+6,1)</f>
        <v xml:space="preserve">      9. Prihodi od usklađivanja vrijednosti ostale imovine</v>
      </c>
      <c r="G213" t="s">
        <v>88</v>
      </c>
      <c r="H213" t="s">
        <v>1296</v>
      </c>
      <c r="I213" t="s">
        <v>412</v>
      </c>
      <c r="J213" s="104">
        <v>689</v>
      </c>
      <c r="K213" s="104">
        <v>689</v>
      </c>
      <c r="L213" s="104">
        <v>689</v>
      </c>
    </row>
    <row r="214" spans="1:12" x14ac:dyDescent="0.2">
      <c r="A214">
        <f t="shared" si="6"/>
        <v>213</v>
      </c>
      <c r="B214" t="s">
        <v>966</v>
      </c>
      <c r="C214">
        <v>2</v>
      </c>
      <c r="D214">
        <v>280</v>
      </c>
      <c r="E214" s="2">
        <f t="shared" si="7"/>
        <v>58</v>
      </c>
      <c r="F214" t="str">
        <f>REPT("  ",Aop!$C214)&amp;VLOOKUP($A214,$A$2:$L$403,ID_Jezik+6,1)</f>
        <v xml:space="preserve">    II  RASHODI OD USKLAĐIVANJA VRIJEDNOSTI IMOVINE (281 do 288)</v>
      </c>
      <c r="G214" t="s">
        <v>335</v>
      </c>
      <c r="H214" t="s">
        <v>1297</v>
      </c>
      <c r="I214" t="s">
        <v>333</v>
      </c>
      <c r="J214" s="104">
        <v>58</v>
      </c>
      <c r="K214" s="104">
        <v>58</v>
      </c>
      <c r="L214" s="104">
        <v>58</v>
      </c>
    </row>
    <row r="215" spans="1:12" x14ac:dyDescent="0.2">
      <c r="A215">
        <f t="shared" si="6"/>
        <v>214</v>
      </c>
      <c r="B215" t="s">
        <v>966</v>
      </c>
      <c r="C215">
        <v>3</v>
      </c>
      <c r="D215">
        <v>281</v>
      </c>
      <c r="E215" s="2">
        <f t="shared" si="7"/>
        <v>580</v>
      </c>
      <c r="F215" t="str">
        <f>REPT("  ",Aop!$C215)&amp;VLOOKUP($A215,$A$2:$L$403,ID_Jezik+6,1)</f>
        <v xml:space="preserve">      1. Obezvrjeđenje nematerijalnih ulaganja</v>
      </c>
      <c r="G215" t="s">
        <v>91</v>
      </c>
      <c r="H215" t="s">
        <v>1298</v>
      </c>
      <c r="I215" t="s">
        <v>403</v>
      </c>
      <c r="J215" s="104">
        <v>580</v>
      </c>
      <c r="K215" s="104">
        <v>580</v>
      </c>
      <c r="L215" s="104">
        <v>580</v>
      </c>
    </row>
    <row r="216" spans="1:12" x14ac:dyDescent="0.2">
      <c r="A216">
        <f t="shared" si="6"/>
        <v>215</v>
      </c>
      <c r="B216" t="s">
        <v>966</v>
      </c>
      <c r="C216">
        <v>3</v>
      </c>
      <c r="D216">
        <v>282</v>
      </c>
      <c r="E216" s="2">
        <f t="shared" si="7"/>
        <v>581</v>
      </c>
      <c r="F216" t="str">
        <f>REPT("  ",Aop!$C216)&amp;VLOOKUP($A216,$A$2:$L$403,ID_Jezik+6,1)</f>
        <v xml:space="preserve">      2. Obezvrjeđenje nekretnina, postrojenja i opreme</v>
      </c>
      <c r="G216" t="s">
        <v>336</v>
      </c>
      <c r="H216" t="s">
        <v>1299</v>
      </c>
      <c r="I216" t="s">
        <v>195</v>
      </c>
      <c r="J216" s="104">
        <v>581</v>
      </c>
      <c r="K216" s="104">
        <v>581</v>
      </c>
      <c r="L216" s="104">
        <v>581</v>
      </c>
    </row>
    <row r="217" spans="1:12" x14ac:dyDescent="0.2">
      <c r="A217">
        <f t="shared" si="6"/>
        <v>216</v>
      </c>
      <c r="B217" t="s">
        <v>966</v>
      </c>
      <c r="C217">
        <v>3</v>
      </c>
      <c r="D217">
        <v>283</v>
      </c>
      <c r="E217" s="2">
        <f t="shared" si="7"/>
        <v>582</v>
      </c>
      <c r="F217" t="str">
        <f>REPT("  ",Aop!$C217)&amp;VLOOKUP($A217,$A$2:$L$403,ID_Jezik+6,1)</f>
        <v xml:space="preserve">      3. Obezvrjeđenje investicionih nekretnina za koje se obračunava amortizacija</v>
      </c>
      <c r="G217" t="s">
        <v>337</v>
      </c>
      <c r="H217" t="s">
        <v>1300</v>
      </c>
      <c r="I217" t="s">
        <v>199</v>
      </c>
      <c r="J217" s="104">
        <v>582</v>
      </c>
      <c r="K217" s="104">
        <v>582</v>
      </c>
      <c r="L217" s="104">
        <v>582</v>
      </c>
    </row>
    <row r="218" spans="1:12" x14ac:dyDescent="0.2">
      <c r="A218">
        <f t="shared" si="6"/>
        <v>217</v>
      </c>
      <c r="B218" t="s">
        <v>966</v>
      </c>
      <c r="C218">
        <v>3</v>
      </c>
      <c r="D218">
        <v>284</v>
      </c>
      <c r="E218" s="2">
        <f t="shared" si="7"/>
        <v>583</v>
      </c>
      <c r="F218" t="str">
        <f>REPT("  ",Aop!$C218)&amp;VLOOKUP($A218,$A$2:$L$403,ID_Jezik+6,1)</f>
        <v xml:space="preserve">      4. Obezvrjeđenje bioloških sredstva za koja se obračunava amortizacija</v>
      </c>
      <c r="G218" t="s">
        <v>338</v>
      </c>
      <c r="H218" t="s">
        <v>1301</v>
      </c>
      <c r="I218" t="s">
        <v>200</v>
      </c>
      <c r="J218" s="104">
        <v>583</v>
      </c>
      <c r="K218" s="104">
        <v>583</v>
      </c>
      <c r="L218" s="104">
        <v>583</v>
      </c>
    </row>
    <row r="219" spans="1:12" x14ac:dyDescent="0.2">
      <c r="A219">
        <f t="shared" si="6"/>
        <v>218</v>
      </c>
      <c r="B219" t="s">
        <v>966</v>
      </c>
      <c r="C219">
        <v>3</v>
      </c>
      <c r="D219">
        <v>285</v>
      </c>
      <c r="E219" s="2">
        <f t="shared" si="7"/>
        <v>584</v>
      </c>
      <c r="F219" t="str">
        <f>REPT("  ",Aop!$C219)&amp;VLOOKUP($A219,$A$2:$L$403,ID_Jezik+6,1)</f>
        <v xml:space="preserve">      5. Obezvrjeđenje dugoročnih finansijskih plasmana i finansijskih sredstava raspoloživih za prodaju</v>
      </c>
      <c r="G219" t="s">
        <v>339</v>
      </c>
      <c r="H219" t="s">
        <v>1302</v>
      </c>
      <c r="I219" t="s">
        <v>201</v>
      </c>
      <c r="J219" s="104">
        <v>584</v>
      </c>
      <c r="K219" s="104">
        <v>584</v>
      </c>
      <c r="L219" s="104">
        <v>584</v>
      </c>
    </row>
    <row r="220" spans="1:12" x14ac:dyDescent="0.2">
      <c r="A220">
        <f t="shared" si="6"/>
        <v>219</v>
      </c>
      <c r="B220" t="s">
        <v>966</v>
      </c>
      <c r="C220">
        <v>3</v>
      </c>
      <c r="D220">
        <v>286</v>
      </c>
      <c r="E220" s="2">
        <f t="shared" si="7"/>
        <v>585</v>
      </c>
      <c r="F220" t="str">
        <f>REPT("  ",Aop!$C220)&amp;VLOOKUP($A220,$A$2:$L$403,ID_Jezik+6,1)</f>
        <v xml:space="preserve">      6. Obezvrjeđenje zaliha materijala i robe</v>
      </c>
      <c r="G220" t="s">
        <v>340</v>
      </c>
      <c r="H220" t="s">
        <v>1303</v>
      </c>
      <c r="I220" t="s">
        <v>202</v>
      </c>
      <c r="J220" s="104">
        <v>585</v>
      </c>
      <c r="K220" s="104">
        <v>585</v>
      </c>
      <c r="L220" s="104">
        <v>585</v>
      </c>
    </row>
    <row r="221" spans="1:12" x14ac:dyDescent="0.2">
      <c r="A221">
        <f t="shared" si="6"/>
        <v>220</v>
      </c>
      <c r="B221" t="s">
        <v>966</v>
      </c>
      <c r="C221">
        <v>3</v>
      </c>
      <c r="D221">
        <v>287</v>
      </c>
      <c r="E221" s="2">
        <f t="shared" si="7"/>
        <v>586</v>
      </c>
      <c r="F221" t="str">
        <f>REPT("  ",Aop!$C221)&amp;VLOOKUP($A221,$A$2:$L$403,ID_Jezik+6,1)</f>
        <v xml:space="preserve">      7. Obezvrjeđenje kratkoročnih finansijskih plasmana</v>
      </c>
      <c r="G221" t="s">
        <v>341</v>
      </c>
      <c r="H221" t="s">
        <v>1304</v>
      </c>
      <c r="I221" t="s">
        <v>203</v>
      </c>
      <c r="J221" s="104">
        <v>586</v>
      </c>
      <c r="K221" s="104">
        <v>586</v>
      </c>
      <c r="L221" s="104">
        <v>586</v>
      </c>
    </row>
    <row r="222" spans="1:12" x14ac:dyDescent="0.2">
      <c r="A222">
        <f t="shared" si="6"/>
        <v>221</v>
      </c>
      <c r="B222" t="s">
        <v>966</v>
      </c>
      <c r="C222">
        <v>3</v>
      </c>
      <c r="D222">
        <v>288</v>
      </c>
      <c r="E222" s="2">
        <f t="shared" si="7"/>
        <v>589</v>
      </c>
      <c r="F222" t="str">
        <f>REPT("  ",Aop!$C222)&amp;VLOOKUP($A222,$A$2:$L$403,ID_Jezik+6,1)</f>
        <v xml:space="preserve">      8. Obezvrjeđenje ostale imovine</v>
      </c>
      <c r="G222" t="s">
        <v>342</v>
      </c>
      <c r="H222" t="s">
        <v>1305</v>
      </c>
      <c r="I222" t="s">
        <v>204</v>
      </c>
      <c r="J222" s="104">
        <v>589</v>
      </c>
      <c r="K222" s="104">
        <v>589</v>
      </c>
      <c r="L222" s="104">
        <v>589</v>
      </c>
    </row>
    <row r="223" spans="1:12" x14ac:dyDescent="0.2">
      <c r="A223">
        <f t="shared" si="6"/>
        <v>222</v>
      </c>
      <c r="B223" t="s">
        <v>966</v>
      </c>
      <c r="C223">
        <v>1</v>
      </c>
      <c r="D223">
        <v>289</v>
      </c>
      <c r="E223" s="2">
        <f t="shared" si="7"/>
        <v>0</v>
      </c>
      <c r="F223" t="str">
        <f>REPT("  ",Aop!$C223)&amp;VLOOKUP($A223,$A$2:$L$403,ID_Jezik+6,1)</f>
        <v xml:space="preserve">  J. DOBITAK PO OSNOVU USKLAĐIVANJA VRIJEDNOSTI IMOVINE (270-280)</v>
      </c>
      <c r="G223" t="s">
        <v>185</v>
      </c>
      <c r="H223" t="s">
        <v>1306</v>
      </c>
      <c r="I223" t="s">
        <v>216</v>
      </c>
      <c r="J223" s="104"/>
      <c r="K223" s="104"/>
      <c r="L223" s="104"/>
    </row>
    <row r="224" spans="1:12" x14ac:dyDescent="0.2">
      <c r="A224">
        <f t="shared" si="6"/>
        <v>223</v>
      </c>
      <c r="B224" t="s">
        <v>966</v>
      </c>
      <c r="C224">
        <v>1</v>
      </c>
      <c r="D224">
        <v>290</v>
      </c>
      <c r="E224" s="2">
        <f t="shared" si="7"/>
        <v>0</v>
      </c>
      <c r="F224" t="str">
        <f>REPT("  ",Aop!$C224)&amp;VLOOKUP($A224,$A$2:$L$403,ID_Jezik+6,1)</f>
        <v xml:space="preserve">  K. GUBITAK PO OSNOVU USKLAĐIVANJA VRIJEDNOSTI IMOVINE (280-270)</v>
      </c>
      <c r="G224" t="s">
        <v>343</v>
      </c>
      <c r="H224" t="s">
        <v>1307</v>
      </c>
      <c r="I224" t="s">
        <v>217</v>
      </c>
      <c r="J224" s="104"/>
      <c r="K224" s="104"/>
      <c r="L224" s="104"/>
    </row>
    <row r="225" spans="1:12" x14ac:dyDescent="0.2">
      <c r="A225">
        <f t="shared" si="6"/>
        <v>224</v>
      </c>
      <c r="B225" t="s">
        <v>966</v>
      </c>
      <c r="C225">
        <v>1</v>
      </c>
      <c r="D225">
        <v>291</v>
      </c>
      <c r="E225" s="2" t="str">
        <f t="shared" si="7"/>
        <v>690 i 691</v>
      </c>
      <c r="F225" t="str">
        <f>REPT("  ",Aop!$C225)&amp;VLOOKUP($A225,$A$2:$L$403,ID_Jezik+6,1)</f>
        <v xml:space="preserve">  L. PRIHODI PO OSNOVU PROMJENE RAČUNOVODSTVENIH POLITIKA I ISPRAVKE GREŠAKA IZ RANIJIH GODINA</v>
      </c>
      <c r="G225" t="s">
        <v>344</v>
      </c>
      <c r="H225" t="s">
        <v>1308</v>
      </c>
      <c r="I225" t="s">
        <v>218</v>
      </c>
      <c r="J225" s="104" t="s">
        <v>89</v>
      </c>
      <c r="K225" s="104" t="s">
        <v>1476</v>
      </c>
      <c r="L225" s="104" t="s">
        <v>172</v>
      </c>
    </row>
    <row r="226" spans="1:12" x14ac:dyDescent="0.2">
      <c r="A226">
        <f t="shared" si="6"/>
        <v>225</v>
      </c>
      <c r="B226" t="s">
        <v>966</v>
      </c>
      <c r="C226">
        <v>1</v>
      </c>
      <c r="D226">
        <v>292</v>
      </c>
      <c r="E226" s="2" t="str">
        <f t="shared" si="7"/>
        <v>590 i 591</v>
      </c>
      <c r="F226" t="str">
        <f>REPT("  ",Aop!$C226)&amp;VLOOKUP($A226,$A$2:$L$403,ID_Jezik+6,1)</f>
        <v xml:space="preserve">  LJ. RASHODI PO OSNOVU PROMJENE RAČUNOVODSTVENIH POLITIKA I ISPRAVKE GREŠAKA IZ RANIJIH GODINA</v>
      </c>
      <c r="G226" t="s">
        <v>345</v>
      </c>
      <c r="H226" t="s">
        <v>1309</v>
      </c>
      <c r="I226" t="s">
        <v>219</v>
      </c>
      <c r="J226" s="104" t="s">
        <v>90</v>
      </c>
      <c r="K226" s="104" t="s">
        <v>1477</v>
      </c>
      <c r="L226" s="104" t="s">
        <v>173</v>
      </c>
    </row>
    <row r="227" spans="1:12" x14ac:dyDescent="0.2">
      <c r="A227">
        <f t="shared" si="6"/>
        <v>226</v>
      </c>
      <c r="B227" t="s">
        <v>966</v>
      </c>
      <c r="C227">
        <v>0</v>
      </c>
      <c r="E227" s="2">
        <f t="shared" si="7"/>
        <v>0</v>
      </c>
      <c r="F227" t="str">
        <f>REPT("  ",Aop!$C227)&amp;VLOOKUP($A227,$A$2:$L$403,ID_Jezik+6,1)</f>
        <v>M. DOBITAK I GUBITAK PRIJE OPOREZIVANJA</v>
      </c>
      <c r="G227" t="s">
        <v>346</v>
      </c>
      <c r="H227" t="s">
        <v>1310</v>
      </c>
      <c r="I227" t="s">
        <v>220</v>
      </c>
      <c r="J227" s="104"/>
      <c r="K227" s="104"/>
      <c r="L227" s="104"/>
    </row>
    <row r="228" spans="1:12" x14ac:dyDescent="0.2">
      <c r="A228">
        <f t="shared" si="6"/>
        <v>227</v>
      </c>
      <c r="B228" t="s">
        <v>966</v>
      </c>
      <c r="C228">
        <v>2</v>
      </c>
      <c r="D228">
        <v>293</v>
      </c>
      <c r="E228" s="2">
        <f t="shared" si="7"/>
        <v>0</v>
      </c>
      <c r="F228" t="str">
        <f>REPT("  ",Aop!$C228)&amp;VLOOKUP($A228,$A$2:$L$403,ID_Jezik+6,1)</f>
        <v xml:space="preserve">    1. Dobitak prije oporezivanja (244+268+289+291-245-269-290-292)</v>
      </c>
      <c r="G228" t="s">
        <v>951</v>
      </c>
      <c r="H228" t="s">
        <v>1311</v>
      </c>
      <c r="I228" t="s">
        <v>953</v>
      </c>
      <c r="J228" s="104"/>
      <c r="K228" s="104"/>
      <c r="L228" s="104"/>
    </row>
    <row r="229" spans="1:12" x14ac:dyDescent="0.2">
      <c r="A229">
        <f t="shared" si="6"/>
        <v>228</v>
      </c>
      <c r="B229" t="s">
        <v>966</v>
      </c>
      <c r="C229">
        <v>2</v>
      </c>
      <c r="D229">
        <v>294</v>
      </c>
      <c r="E229" s="2">
        <f t="shared" si="7"/>
        <v>0</v>
      </c>
      <c r="F229" t="str">
        <f>REPT("  ",Aop!$C229)&amp;VLOOKUP($A229,$A$2:$L$403,ID_Jezik+6,1)</f>
        <v xml:space="preserve">    2. Gubitak prije oporezivanja (245+269+290+292-244-268-289-291)</v>
      </c>
      <c r="G229" t="s">
        <v>952</v>
      </c>
      <c r="H229" t="s">
        <v>1312</v>
      </c>
      <c r="I229" t="s">
        <v>954</v>
      </c>
      <c r="J229" s="104"/>
      <c r="K229" s="104"/>
      <c r="L229" s="104"/>
    </row>
    <row r="230" spans="1:12" x14ac:dyDescent="0.2">
      <c r="A230">
        <f t="shared" si="6"/>
        <v>229</v>
      </c>
      <c r="B230" t="s">
        <v>966</v>
      </c>
      <c r="C230">
        <v>0</v>
      </c>
      <c r="E230" s="2">
        <f t="shared" si="7"/>
        <v>0</v>
      </c>
      <c r="F230" t="str">
        <f>REPT("  ",Aop!$C230)&amp;VLOOKUP($A230,$A$2:$L$403,ID_Jezik+6,1)</f>
        <v>N. TEKUĆI I ODLOŽENI POREZ NA DOBIT</v>
      </c>
      <c r="G230" t="s">
        <v>347</v>
      </c>
      <c r="H230" t="s">
        <v>1313</v>
      </c>
      <c r="I230" t="s">
        <v>221</v>
      </c>
      <c r="J230" s="104"/>
      <c r="K230" s="104"/>
      <c r="L230" s="104"/>
    </row>
    <row r="231" spans="1:12" x14ac:dyDescent="0.2">
      <c r="A231">
        <f t="shared" si="6"/>
        <v>230</v>
      </c>
      <c r="B231" t="s">
        <v>966</v>
      </c>
      <c r="C231">
        <v>2</v>
      </c>
      <c r="D231">
        <v>295</v>
      </c>
      <c r="E231" s="2">
        <f t="shared" si="7"/>
        <v>721</v>
      </c>
      <c r="F231" t="str">
        <f>REPT("  ",Aop!$C231)&amp;VLOOKUP($A231,$A$2:$L$403,ID_Jezik+6,1)</f>
        <v xml:space="preserve">    1. Poreski rashodi perioda</v>
      </c>
      <c r="G231" t="s">
        <v>348</v>
      </c>
      <c r="H231" t="s">
        <v>1314</v>
      </c>
      <c r="I231" t="s">
        <v>414</v>
      </c>
      <c r="J231" s="104">
        <v>721</v>
      </c>
      <c r="K231" s="104">
        <v>721</v>
      </c>
      <c r="L231" s="104">
        <v>721</v>
      </c>
    </row>
    <row r="232" spans="1:12" x14ac:dyDescent="0.2">
      <c r="A232">
        <f t="shared" si="6"/>
        <v>231</v>
      </c>
      <c r="B232" t="s">
        <v>966</v>
      </c>
      <c r="C232">
        <v>2</v>
      </c>
      <c r="D232">
        <v>296</v>
      </c>
      <c r="E232" s="2" t="str">
        <f t="shared" si="7"/>
        <v>dio 722</v>
      </c>
      <c r="F232" t="str">
        <f>REPT("  ",Aop!$C232)&amp;VLOOKUP($A232,$A$2:$L$403,ID_Jezik+6,1)</f>
        <v xml:space="preserve">    2. Odloženi poreski rashodi perioda</v>
      </c>
      <c r="G232" t="s">
        <v>350</v>
      </c>
      <c r="H232" t="s">
        <v>1315</v>
      </c>
      <c r="I232" t="s">
        <v>413</v>
      </c>
      <c r="J232" s="104" t="s">
        <v>349</v>
      </c>
      <c r="K232" s="104" t="s">
        <v>1478</v>
      </c>
      <c r="L232" s="104" t="s">
        <v>180</v>
      </c>
    </row>
    <row r="233" spans="1:12" x14ac:dyDescent="0.2">
      <c r="A233">
        <f t="shared" si="6"/>
        <v>232</v>
      </c>
      <c r="B233" t="s">
        <v>966</v>
      </c>
      <c r="C233">
        <v>2</v>
      </c>
      <c r="D233">
        <v>297</v>
      </c>
      <c r="E233" s="2" t="str">
        <f t="shared" si="7"/>
        <v>dio 722</v>
      </c>
      <c r="F233" t="str">
        <f>REPT("  ",Aop!$C233)&amp;VLOOKUP($A233,$A$2:$L$403,ID_Jezik+6,1)</f>
        <v xml:space="preserve">    3. Odloženi poreski prihodi perioda</v>
      </c>
      <c r="G233" t="s">
        <v>351</v>
      </c>
      <c r="H233" t="s">
        <v>1316</v>
      </c>
      <c r="I233" t="s">
        <v>415</v>
      </c>
      <c r="J233" s="104" t="s">
        <v>349</v>
      </c>
      <c r="K233" s="104" t="s">
        <v>1478</v>
      </c>
      <c r="L233" s="104" t="s">
        <v>180</v>
      </c>
    </row>
    <row r="234" spans="1:12" x14ac:dyDescent="0.2">
      <c r="A234">
        <f t="shared" si="6"/>
        <v>233</v>
      </c>
      <c r="B234" t="s">
        <v>966</v>
      </c>
      <c r="C234">
        <v>0</v>
      </c>
      <c r="E234" s="2">
        <f t="shared" si="7"/>
        <v>0</v>
      </c>
      <c r="F234" t="str">
        <f>REPT("  ",Aop!$C234)&amp;VLOOKUP($A234,$A$2:$L$403,ID_Jezik+6,1)</f>
        <v>NJ. NETO DOBITAK I NETO GUBITAK PERIODA</v>
      </c>
      <c r="G234" t="s">
        <v>352</v>
      </c>
      <c r="H234" t="s">
        <v>1317</v>
      </c>
      <c r="I234" t="s">
        <v>222</v>
      </c>
      <c r="J234" s="104"/>
      <c r="K234" s="104"/>
      <c r="L234" s="104"/>
    </row>
    <row r="235" spans="1:12" x14ac:dyDescent="0.2">
      <c r="A235">
        <f t="shared" si="6"/>
        <v>234</v>
      </c>
      <c r="B235" t="s">
        <v>966</v>
      </c>
      <c r="C235">
        <v>2</v>
      </c>
      <c r="D235">
        <v>298</v>
      </c>
      <c r="E235" s="2">
        <f t="shared" si="7"/>
        <v>0</v>
      </c>
      <c r="F235" t="str">
        <f>REPT("  ",Aop!$C235)&amp;VLOOKUP($A235,$A$2:$L$403,ID_Jezik+6,1)</f>
        <v xml:space="preserve">    1. Neto dobitak tekuće godine (293-294-295-296+297)</v>
      </c>
      <c r="G235" t="s">
        <v>183</v>
      </c>
      <c r="H235" t="s">
        <v>1318</v>
      </c>
      <c r="I235" t="s">
        <v>416</v>
      </c>
      <c r="J235" s="104"/>
      <c r="K235" s="104"/>
      <c r="L235" s="104"/>
    </row>
    <row r="236" spans="1:12" x14ac:dyDescent="0.2">
      <c r="A236">
        <f t="shared" si="6"/>
        <v>235</v>
      </c>
      <c r="B236" t="s">
        <v>966</v>
      </c>
      <c r="C236">
        <v>2</v>
      </c>
      <c r="D236">
        <v>299</v>
      </c>
      <c r="E236" s="2">
        <f t="shared" si="7"/>
        <v>0</v>
      </c>
      <c r="F236" t="str">
        <f>REPT("  ",Aop!$C236)&amp;VLOOKUP($A236,$A$2:$L$403,ID_Jezik+6,1)</f>
        <v xml:space="preserve">    2. Neto gubitak tekuće godine (294-293+295+296-297)</v>
      </c>
      <c r="G236" t="s">
        <v>353</v>
      </c>
      <c r="H236" t="s">
        <v>1319</v>
      </c>
      <c r="I236" t="s">
        <v>207</v>
      </c>
      <c r="J236" s="104"/>
      <c r="K236" s="104"/>
      <c r="L236" s="104"/>
    </row>
    <row r="237" spans="1:12" x14ac:dyDescent="0.2">
      <c r="A237">
        <f t="shared" si="6"/>
        <v>236</v>
      </c>
      <c r="B237" t="s">
        <v>966</v>
      </c>
      <c r="C237" s="3">
        <v>0</v>
      </c>
      <c r="D237" s="3">
        <v>300</v>
      </c>
      <c r="E237" s="10">
        <f t="shared" si="7"/>
        <v>0</v>
      </c>
      <c r="F237" t="str">
        <f>REPT("  ",Aop!$C237)&amp;VLOOKUP($A237,$A$2:$L$403,ID_Jezik+6,1)</f>
        <v>UKUPNI PRIHODI (201+231+246+270+291)</v>
      </c>
      <c r="G237" t="s">
        <v>959</v>
      </c>
      <c r="H237" t="s">
        <v>1320</v>
      </c>
      <c r="I237" t="s">
        <v>962</v>
      </c>
      <c r="J237" s="104"/>
      <c r="K237" s="104"/>
      <c r="L237" s="104"/>
    </row>
    <row r="238" spans="1:12" x14ac:dyDescent="0.2">
      <c r="A238">
        <f t="shared" si="6"/>
        <v>237</v>
      </c>
      <c r="B238" t="s">
        <v>966</v>
      </c>
      <c r="C238" s="3">
        <v>0</v>
      </c>
      <c r="D238" s="3">
        <v>301</v>
      </c>
      <c r="E238" s="10">
        <f t="shared" si="7"/>
        <v>0</v>
      </c>
      <c r="F238" t="str">
        <f>REPT("  ",Aop!$C238)&amp;VLOOKUP($A238,$A$2:$L$403,ID_Jezik+6,1)</f>
        <v>UKUPNI RASHODI (216+238+257+280+292)</v>
      </c>
      <c r="G238" t="s">
        <v>960</v>
      </c>
      <c r="H238" t="s">
        <v>1321</v>
      </c>
      <c r="I238" t="s">
        <v>963</v>
      </c>
      <c r="J238" s="104"/>
      <c r="K238" s="104"/>
      <c r="L238" s="104"/>
    </row>
    <row r="239" spans="1:12" x14ac:dyDescent="0.2">
      <c r="A239">
        <f t="shared" si="6"/>
        <v>238</v>
      </c>
      <c r="B239" t="s">
        <v>966</v>
      </c>
      <c r="C239">
        <v>1</v>
      </c>
      <c r="D239">
        <v>302</v>
      </c>
      <c r="E239" s="2">
        <f t="shared" si="7"/>
        <v>723</v>
      </c>
      <c r="F239" t="str">
        <f>REPT("  ",Aop!$C239)&amp;VLOOKUP($A239,$A$2:$L$403,ID_Jezik+6,1)</f>
        <v xml:space="preserve">  O. MEĐUDIVIDENDE I DRUGI VIDOVI RASPODJELE DOBITKA U TOKU PERIODA</v>
      </c>
      <c r="G239" t="s">
        <v>354</v>
      </c>
      <c r="H239" t="s">
        <v>1322</v>
      </c>
      <c r="I239" t="s">
        <v>223</v>
      </c>
      <c r="J239" s="104">
        <v>723</v>
      </c>
      <c r="K239" s="104">
        <v>723</v>
      </c>
      <c r="L239" s="104">
        <v>723</v>
      </c>
    </row>
    <row r="240" spans="1:12" x14ac:dyDescent="0.2">
      <c r="A240">
        <f t="shared" si="6"/>
        <v>239</v>
      </c>
      <c r="B240" t="s">
        <v>966</v>
      </c>
      <c r="C240">
        <v>0</v>
      </c>
      <c r="D240" s="3">
        <v>303</v>
      </c>
      <c r="E240" s="2">
        <f t="shared" si="7"/>
        <v>0</v>
      </c>
      <c r="F240" t="str">
        <f>REPT("  ",Aop!$C240)&amp;VLOOKUP($A240,$A$2:$L$403,ID_Jezik+6,1)</f>
        <v>Dio neto dobitka/gubitka koji pripada većinskim vlasnicima</v>
      </c>
      <c r="G240" t="s">
        <v>367</v>
      </c>
      <c r="H240" t="s">
        <v>1323</v>
      </c>
      <c r="I240" t="s">
        <v>424</v>
      </c>
      <c r="J240" s="104"/>
      <c r="K240" s="104"/>
      <c r="L240" s="104"/>
    </row>
    <row r="241" spans="1:12" x14ac:dyDescent="0.2">
      <c r="A241">
        <f t="shared" si="6"/>
        <v>240</v>
      </c>
      <c r="B241" t="s">
        <v>966</v>
      </c>
      <c r="C241">
        <v>0</v>
      </c>
      <c r="D241" s="3">
        <v>304</v>
      </c>
      <c r="E241" s="2">
        <f t="shared" si="7"/>
        <v>0</v>
      </c>
      <c r="F241" t="str">
        <f>REPT("  ",Aop!$C241)&amp;VLOOKUP($A241,$A$2:$L$403,ID_Jezik+6,1)</f>
        <v>Dio neto dobitka/gubitka koji pripada manjinskim vlasnicima</v>
      </c>
      <c r="G241" t="s">
        <v>364</v>
      </c>
      <c r="H241" t="s">
        <v>1324</v>
      </c>
      <c r="I241" t="s">
        <v>425</v>
      </c>
      <c r="J241" s="104"/>
      <c r="K241" s="104"/>
      <c r="L241" s="104"/>
    </row>
    <row r="242" spans="1:12" x14ac:dyDescent="0.2">
      <c r="A242">
        <f t="shared" si="6"/>
        <v>241</v>
      </c>
      <c r="B242" t="s">
        <v>966</v>
      </c>
      <c r="C242">
        <v>0</v>
      </c>
      <c r="D242">
        <v>305</v>
      </c>
      <c r="E242" s="2">
        <f t="shared" si="7"/>
        <v>0</v>
      </c>
      <c r="F242" t="str">
        <f>REPT("  ",Aop!$C242)&amp;VLOOKUP($A242,$A$2:$L$403,ID_Jezik+6,1)</f>
        <v>Obična zarada po akciji</v>
      </c>
      <c r="G242" t="s">
        <v>365</v>
      </c>
      <c r="H242" t="s">
        <v>1325</v>
      </c>
      <c r="I242" t="s">
        <v>423</v>
      </c>
      <c r="J242" s="104"/>
      <c r="K242" s="104"/>
      <c r="L242" s="104"/>
    </row>
    <row r="243" spans="1:12" x14ac:dyDescent="0.2">
      <c r="A243">
        <f t="shared" si="6"/>
        <v>242</v>
      </c>
      <c r="B243" t="s">
        <v>966</v>
      </c>
      <c r="C243">
        <v>0</v>
      </c>
      <c r="D243" s="3">
        <v>306</v>
      </c>
      <c r="E243" s="2">
        <f t="shared" si="7"/>
        <v>0</v>
      </c>
      <c r="F243" t="str">
        <f>REPT("  ",Aop!$C243)&amp;VLOOKUP($A243,$A$2:$L$403,ID_Jezik+6,1)</f>
        <v>Razrijeđena zarada po akciji</v>
      </c>
      <c r="G243" t="s">
        <v>103</v>
      </c>
      <c r="H243" t="s">
        <v>1326</v>
      </c>
      <c r="I243" t="s">
        <v>314</v>
      </c>
      <c r="J243" s="104"/>
      <c r="K243" s="104"/>
      <c r="L243" s="104"/>
    </row>
    <row r="244" spans="1:12" x14ac:dyDescent="0.2">
      <c r="A244">
        <f t="shared" si="6"/>
        <v>243</v>
      </c>
      <c r="B244" t="s">
        <v>966</v>
      </c>
      <c r="C244">
        <v>0</v>
      </c>
      <c r="D244" s="3">
        <v>307</v>
      </c>
      <c r="E244" s="2">
        <f t="shared" si="7"/>
        <v>0</v>
      </c>
      <c r="F244" t="str">
        <f>REPT("  ",Aop!$C244)&amp;VLOOKUP($A244,$A$2:$L$403,ID_Jezik+6,1)</f>
        <v>Prosječan broj zaposlenih po osnovu časova rada</v>
      </c>
      <c r="G244" t="s">
        <v>366</v>
      </c>
      <c r="H244" t="s">
        <v>1327</v>
      </c>
      <c r="I244" t="s">
        <v>426</v>
      </c>
      <c r="J244" s="104"/>
      <c r="K244" s="104"/>
      <c r="L244" s="104"/>
    </row>
    <row r="245" spans="1:12" x14ac:dyDescent="0.2">
      <c r="A245">
        <f t="shared" si="6"/>
        <v>244</v>
      </c>
      <c r="B245" t="s">
        <v>966</v>
      </c>
      <c r="C245">
        <v>0</v>
      </c>
      <c r="D245">
        <v>308</v>
      </c>
      <c r="E245" s="2">
        <f t="shared" si="7"/>
        <v>0</v>
      </c>
      <c r="F245" t="str">
        <f>REPT("  ",Aop!$C245)&amp;VLOOKUP($A245,$A$2:$L$403,ID_Jezik+6,1)</f>
        <v>Prosječan broj zaposlenih po osnovu stanja na kraju mjeseca</v>
      </c>
      <c r="G245" t="s">
        <v>428</v>
      </c>
      <c r="H245" t="s">
        <v>1328</v>
      </c>
      <c r="I245" t="s">
        <v>427</v>
      </c>
      <c r="J245" s="104"/>
      <c r="K245" s="104"/>
      <c r="L245" s="104"/>
    </row>
    <row r="246" spans="1:12" x14ac:dyDescent="0.2">
      <c r="A246">
        <f t="shared" si="6"/>
        <v>245</v>
      </c>
      <c r="B246" t="s">
        <v>1018</v>
      </c>
      <c r="C246" s="3">
        <v>0</v>
      </c>
      <c r="D246" s="3">
        <v>400</v>
      </c>
      <c r="E246" s="10">
        <f t="shared" si="7"/>
        <v>0</v>
      </c>
      <c r="F246" t="str">
        <f>REPT("  ",Aop!$C246)&amp;VLOOKUP($A246,$A$2:$L$403,ID_Jezik+6,1)</f>
        <v>A. NETO DOBITAK ILI GUBITAK PERIODA (298 ili 299)</v>
      </c>
      <c r="G246" t="s">
        <v>964</v>
      </c>
      <c r="H246" t="s">
        <v>1329</v>
      </c>
      <c r="I246" t="s">
        <v>965</v>
      </c>
      <c r="J246" s="104"/>
      <c r="K246" s="104"/>
      <c r="L246" s="104"/>
    </row>
    <row r="247" spans="1:12" x14ac:dyDescent="0.2">
      <c r="A247">
        <f t="shared" si="6"/>
        <v>246</v>
      </c>
      <c r="B247" t="s">
        <v>1018</v>
      </c>
      <c r="C247">
        <v>1</v>
      </c>
      <c r="D247" s="3">
        <v>401</v>
      </c>
      <c r="E247" s="2">
        <f t="shared" si="7"/>
        <v>0</v>
      </c>
      <c r="F247" t="str">
        <f>REPT("  ",Aop!$C247)&amp;VLOOKUP($A247,$A$2:$L$403,ID_Jezik+6,1)</f>
        <v xml:space="preserve">  I  DOBICI UTVRĐENI DIREKTNO U KAPITALU (402 do 407)</v>
      </c>
      <c r="G247" t="s">
        <v>961</v>
      </c>
      <c r="H247" t="s">
        <v>1330</v>
      </c>
      <c r="I247" t="s">
        <v>974</v>
      </c>
      <c r="J247" s="104"/>
      <c r="K247" s="104"/>
      <c r="L247" s="104"/>
    </row>
    <row r="248" spans="1:12" ht="25.5" x14ac:dyDescent="0.2">
      <c r="A248">
        <f t="shared" si="6"/>
        <v>247</v>
      </c>
      <c r="B248" t="s">
        <v>1018</v>
      </c>
      <c r="C248">
        <v>2</v>
      </c>
      <c r="D248" s="3">
        <v>402</v>
      </c>
      <c r="E248" s="2">
        <f t="shared" si="7"/>
        <v>0</v>
      </c>
      <c r="F248" s="12" t="str">
        <f>REPT("  ",Aop!$C248)&amp;VLOOKUP($A248,$A$2:$L$403,ID_Jezik+6,1)</f>
        <v xml:space="preserve">    1. Dobici po osnovu smanjenja revalorizacionih rezervi na stalnim sredstvima, osim HOV raspoloživih za prodaju</v>
      </c>
      <c r="G248" s="14" t="s">
        <v>355</v>
      </c>
      <c r="H248" t="s">
        <v>1331</v>
      </c>
      <c r="I248" t="s">
        <v>313</v>
      </c>
      <c r="J248" s="104"/>
      <c r="K248" s="104"/>
      <c r="L248" s="104"/>
    </row>
    <row r="249" spans="1:12" x14ac:dyDescent="0.2">
      <c r="A249">
        <f t="shared" si="6"/>
        <v>248</v>
      </c>
      <c r="B249" t="s">
        <v>1018</v>
      </c>
      <c r="C249">
        <v>2</v>
      </c>
      <c r="D249" s="3">
        <v>403</v>
      </c>
      <c r="E249" s="2">
        <f t="shared" si="7"/>
        <v>0</v>
      </c>
      <c r="F249" t="str">
        <f>REPT("  ",Aop!$C249)&amp;VLOOKUP($A249,$A$2:$L$403,ID_Jezik+6,1)</f>
        <v xml:space="preserve">    2. Dobici po osnovu promjene fer vrijednosti HOV raspoloživih za prodaju</v>
      </c>
      <c r="G249" t="s">
        <v>356</v>
      </c>
      <c r="H249" t="s">
        <v>1332</v>
      </c>
      <c r="I249" t="s">
        <v>417</v>
      </c>
      <c r="J249" s="104"/>
      <c r="K249" s="104"/>
      <c r="L249" s="104"/>
    </row>
    <row r="250" spans="1:12" x14ac:dyDescent="0.2">
      <c r="A250">
        <f t="shared" si="6"/>
        <v>249</v>
      </c>
      <c r="B250" t="s">
        <v>1018</v>
      </c>
      <c r="C250">
        <v>2</v>
      </c>
      <c r="D250" s="3">
        <v>404</v>
      </c>
      <c r="E250" s="2">
        <f t="shared" si="7"/>
        <v>0</v>
      </c>
      <c r="F250" t="str">
        <f>REPT("  ",Aop!$C250)&amp;VLOOKUP($A250,$A$2:$L$403,ID_Jezik+6,1)</f>
        <v xml:space="preserve">    3. Dobici po osnovu prevođenja finansijskih izvještaja inostranog poslovanja</v>
      </c>
      <c r="G250" t="s">
        <v>357</v>
      </c>
      <c r="H250" t="s">
        <v>1333</v>
      </c>
      <c r="I250" t="s">
        <v>206</v>
      </c>
      <c r="J250" s="104"/>
      <c r="K250" s="104"/>
      <c r="L250" s="104"/>
    </row>
    <row r="251" spans="1:12" x14ac:dyDescent="0.2">
      <c r="A251">
        <f t="shared" si="6"/>
        <v>250</v>
      </c>
      <c r="B251" t="s">
        <v>1018</v>
      </c>
      <c r="C251">
        <v>2</v>
      </c>
      <c r="D251" s="3">
        <v>405</v>
      </c>
      <c r="E251" s="2">
        <f t="shared" si="7"/>
        <v>0</v>
      </c>
      <c r="F251" t="str">
        <f>REPT("  ",Aop!$C251)&amp;VLOOKUP($A251,$A$2:$L$403,ID_Jezik+6,1)</f>
        <v xml:space="preserve">    4. Aktuarski dobici od planova definisanih primanja</v>
      </c>
      <c r="G251" t="s">
        <v>358</v>
      </c>
      <c r="H251" t="s">
        <v>1334</v>
      </c>
      <c r="I251" t="s">
        <v>418</v>
      </c>
      <c r="J251" s="104"/>
      <c r="K251" s="104"/>
      <c r="L251" s="104"/>
    </row>
    <row r="252" spans="1:12" x14ac:dyDescent="0.2">
      <c r="A252">
        <f t="shared" si="6"/>
        <v>251</v>
      </c>
      <c r="B252" t="s">
        <v>1018</v>
      </c>
      <c r="C252">
        <v>2</v>
      </c>
      <c r="D252" s="3">
        <v>406</v>
      </c>
      <c r="E252" s="2">
        <f t="shared" si="7"/>
        <v>0</v>
      </c>
      <c r="F252" t="str">
        <f>REPT("  ",Aop!$C252)&amp;VLOOKUP($A252,$A$2:$L$403,ID_Jezik+6,1)</f>
        <v xml:space="preserve">    5. Efektivni dio dobitaka po osnovu zaštite od rizika gotovinskih tokova</v>
      </c>
      <c r="G252" t="s">
        <v>104</v>
      </c>
      <c r="H252" t="s">
        <v>1335</v>
      </c>
      <c r="I252" t="s">
        <v>92</v>
      </c>
      <c r="J252" s="104"/>
      <c r="K252" s="104"/>
      <c r="L252" s="104"/>
    </row>
    <row r="253" spans="1:12" x14ac:dyDescent="0.2">
      <c r="A253">
        <f t="shared" si="6"/>
        <v>252</v>
      </c>
      <c r="B253" t="s">
        <v>1018</v>
      </c>
      <c r="C253">
        <v>2</v>
      </c>
      <c r="D253" s="3">
        <v>407</v>
      </c>
      <c r="E253" s="2">
        <f t="shared" si="7"/>
        <v>0</v>
      </c>
      <c r="F253" t="str">
        <f>REPT("  ",Aop!$C253)&amp;VLOOKUP($A253,$A$2:$L$403,ID_Jezik+6,1)</f>
        <v xml:space="preserve">    6. Ostali dobici utvrđeni direktno u kapitalu</v>
      </c>
      <c r="G253" t="s">
        <v>359</v>
      </c>
      <c r="H253" t="s">
        <v>1336</v>
      </c>
      <c r="I253" t="s">
        <v>419</v>
      </c>
      <c r="J253" s="104"/>
      <c r="K253" s="104"/>
      <c r="L253" s="104"/>
    </row>
    <row r="254" spans="1:12" x14ac:dyDescent="0.2">
      <c r="A254">
        <f t="shared" si="6"/>
        <v>253</v>
      </c>
      <c r="B254" t="s">
        <v>1018</v>
      </c>
      <c r="C254">
        <v>1</v>
      </c>
      <c r="D254" s="3">
        <v>408</v>
      </c>
      <c r="E254" s="2">
        <f t="shared" si="7"/>
        <v>0</v>
      </c>
      <c r="F254" t="str">
        <f>REPT("  ",Aop!$C254)&amp;VLOOKUP($A254,$A$2:$L$403,ID_Jezik+6,1)</f>
        <v xml:space="preserve">  II  GUBICI UTVRĐENI DIREKTNO U KAPITALU (409 do 413)</v>
      </c>
      <c r="G254" t="s">
        <v>971</v>
      </c>
      <c r="H254" t="s">
        <v>1337</v>
      </c>
      <c r="I254" t="s">
        <v>975</v>
      </c>
      <c r="J254" s="104"/>
      <c r="K254" s="104"/>
      <c r="L254" s="104"/>
    </row>
    <row r="255" spans="1:12" x14ac:dyDescent="0.2">
      <c r="A255">
        <f t="shared" si="6"/>
        <v>254</v>
      </c>
      <c r="B255" t="s">
        <v>1018</v>
      </c>
      <c r="C255">
        <v>2</v>
      </c>
      <c r="D255" s="3">
        <v>409</v>
      </c>
      <c r="E255" s="2">
        <f t="shared" si="7"/>
        <v>0</v>
      </c>
      <c r="F255" t="str">
        <f>REPT("  ",Aop!$C255)&amp;VLOOKUP($A255,$A$2:$L$403,ID_Jezik+6,1)</f>
        <v xml:space="preserve">    1. Gubici po osnovu promjene fer vrijednosti HOV raspoloživih za prodaju</v>
      </c>
      <c r="G255" t="s">
        <v>360</v>
      </c>
      <c r="H255" t="s">
        <v>1338</v>
      </c>
      <c r="I255" t="s">
        <v>420</v>
      </c>
      <c r="J255" s="104"/>
      <c r="K255" s="104"/>
      <c r="L255" s="104"/>
    </row>
    <row r="256" spans="1:12" x14ac:dyDescent="0.2">
      <c r="A256">
        <f t="shared" si="6"/>
        <v>255</v>
      </c>
      <c r="B256" t="s">
        <v>1018</v>
      </c>
      <c r="C256">
        <v>2</v>
      </c>
      <c r="D256" s="3">
        <v>410</v>
      </c>
      <c r="E256" s="2">
        <f t="shared" si="7"/>
        <v>0</v>
      </c>
      <c r="F256" t="str">
        <f>REPT("  ",Aop!$C256)&amp;VLOOKUP($A256,$A$2:$L$403,ID_Jezik+6,1)</f>
        <v xml:space="preserve">    2. Gubici po osnovu prevođenja finansijskih izvještaja inostranog poslovanja</v>
      </c>
      <c r="G256" t="s">
        <v>362</v>
      </c>
      <c r="H256" t="s">
        <v>1339</v>
      </c>
      <c r="I256" t="s">
        <v>209</v>
      </c>
      <c r="J256" s="104"/>
      <c r="K256" s="104"/>
      <c r="L256" s="104"/>
    </row>
    <row r="257" spans="1:12" x14ac:dyDescent="0.2">
      <c r="A257">
        <f t="shared" si="6"/>
        <v>256</v>
      </c>
      <c r="B257" t="s">
        <v>1018</v>
      </c>
      <c r="C257">
        <v>2</v>
      </c>
      <c r="D257" s="3">
        <v>411</v>
      </c>
      <c r="E257" s="2">
        <f t="shared" si="7"/>
        <v>0</v>
      </c>
      <c r="F257" t="str">
        <f>REPT("  ",Aop!$C257)&amp;VLOOKUP($A257,$A$2:$L$403,ID_Jezik+6,1)</f>
        <v xml:space="preserve">    3. Aktuarski gubici od planova definisanih primanja</v>
      </c>
      <c r="G257" t="s">
        <v>361</v>
      </c>
      <c r="H257" t="s">
        <v>1340</v>
      </c>
      <c r="I257" t="s">
        <v>421</v>
      </c>
      <c r="J257" s="104"/>
      <c r="K257" s="104"/>
      <c r="L257" s="104"/>
    </row>
    <row r="258" spans="1:12" x14ac:dyDescent="0.2">
      <c r="A258">
        <f t="shared" ref="A258:A321" si="8">ROW()-ROW($A$1)</f>
        <v>257</v>
      </c>
      <c r="B258" t="s">
        <v>1018</v>
      </c>
      <c r="C258">
        <v>2</v>
      </c>
      <c r="D258" s="3">
        <v>412</v>
      </c>
      <c r="E258" s="2">
        <f t="shared" ref="E258:E321" si="9">VLOOKUP($A258,$A$2:$L$403,ID_Jezik+9,1)</f>
        <v>0</v>
      </c>
      <c r="F258" t="str">
        <f>REPT("  ",Aop!$C258)&amp;VLOOKUP($A258,$A$2:$L$403,ID_Jezik+6,1)</f>
        <v xml:space="preserve">    4. Efektivni dio gubitaka po osnovu zaštite od rizika gotovinskih tokova</v>
      </c>
      <c r="G258" t="s">
        <v>131</v>
      </c>
      <c r="H258" t="s">
        <v>1341</v>
      </c>
      <c r="I258" t="s">
        <v>334</v>
      </c>
      <c r="J258" s="104"/>
      <c r="K258" s="104"/>
      <c r="L258" s="104"/>
    </row>
    <row r="259" spans="1:12" x14ac:dyDescent="0.2">
      <c r="A259">
        <f t="shared" si="8"/>
        <v>258</v>
      </c>
      <c r="B259" t="s">
        <v>1018</v>
      </c>
      <c r="C259">
        <v>2</v>
      </c>
      <c r="D259" s="3">
        <v>413</v>
      </c>
      <c r="E259" s="2">
        <f t="shared" si="9"/>
        <v>0</v>
      </c>
      <c r="F259" t="str">
        <f>REPT("  ",Aop!$C259)&amp;VLOOKUP($A259,$A$2:$L$403,ID_Jezik+6,1)</f>
        <v xml:space="preserve">    5. Ostali gubici utvrđeni direktno u kapitalu</v>
      </c>
      <c r="G259" t="s">
        <v>363</v>
      </c>
      <c r="H259" t="s">
        <v>1342</v>
      </c>
      <c r="I259" t="s">
        <v>422</v>
      </c>
      <c r="J259" s="104"/>
      <c r="K259" s="104"/>
      <c r="L259" s="104"/>
    </row>
    <row r="260" spans="1:12" x14ac:dyDescent="0.2">
      <c r="A260">
        <f t="shared" si="8"/>
        <v>259</v>
      </c>
      <c r="B260" t="s">
        <v>1018</v>
      </c>
      <c r="C260">
        <v>0</v>
      </c>
      <c r="D260" s="3">
        <v>414</v>
      </c>
      <c r="E260" s="2">
        <f t="shared" si="9"/>
        <v>0</v>
      </c>
      <c r="F260" t="str">
        <f>REPT("  ",Aop!$C260)&amp;VLOOKUP($A260,$A$2:$L$403,ID_Jezik+6,1)</f>
        <v>B. OSTALI DOBICI ILI GUBICI U PERIODU (401-408) ili (408-401)</v>
      </c>
      <c r="G260" t="s">
        <v>972</v>
      </c>
      <c r="H260" t="s">
        <v>1343</v>
      </c>
      <c r="I260" t="s">
        <v>976</v>
      </c>
      <c r="J260" s="104"/>
      <c r="K260" s="104"/>
      <c r="L260" s="104"/>
    </row>
    <row r="261" spans="1:12" x14ac:dyDescent="0.2">
      <c r="A261">
        <f t="shared" si="8"/>
        <v>260</v>
      </c>
      <c r="B261" t="s">
        <v>1018</v>
      </c>
      <c r="C261">
        <v>0</v>
      </c>
      <c r="D261" s="3">
        <v>415</v>
      </c>
      <c r="E261" s="2">
        <f t="shared" si="9"/>
        <v>0</v>
      </c>
      <c r="F261" t="str">
        <f>REPT("  ",Aop!$C261)&amp;VLOOKUP($A261,$A$2:$L$403,ID_Jezik+6,1)</f>
        <v>V. POREZ NA DOBITAK KOJI SE ODNOSI NA OSTALE DOBITKE I GUBITKE</v>
      </c>
      <c r="G261" t="s">
        <v>967</v>
      </c>
      <c r="H261" t="s">
        <v>1344</v>
      </c>
      <c r="I261" t="s">
        <v>969</v>
      </c>
      <c r="J261" s="104"/>
      <c r="K261" s="104"/>
      <c r="L261" s="104"/>
    </row>
    <row r="262" spans="1:12" x14ac:dyDescent="0.2">
      <c r="A262">
        <f t="shared" si="8"/>
        <v>261</v>
      </c>
      <c r="B262" t="s">
        <v>1018</v>
      </c>
      <c r="C262">
        <v>0</v>
      </c>
      <c r="D262" s="3">
        <v>416</v>
      </c>
      <c r="E262" s="2">
        <f t="shared" si="9"/>
        <v>0</v>
      </c>
      <c r="F262" t="str">
        <f>REPT("  ",Aop!$C262)&amp;VLOOKUP($A262,$A$2:$L$403,ID_Jezik+6,1)</f>
        <v>G. NETO REZULTAT PO OSNOVU OSTALIH DOBITAKA I GUBITAKA U PERIODU (414±415)</v>
      </c>
      <c r="G262" t="s">
        <v>973</v>
      </c>
      <c r="H262" t="s">
        <v>1345</v>
      </c>
      <c r="I262" t="s">
        <v>977</v>
      </c>
      <c r="J262" s="104"/>
      <c r="K262" s="104"/>
      <c r="L262" s="104"/>
    </row>
    <row r="263" spans="1:12" x14ac:dyDescent="0.2">
      <c r="A263">
        <f t="shared" si="8"/>
        <v>262</v>
      </c>
      <c r="B263" t="s">
        <v>1018</v>
      </c>
      <c r="C263">
        <v>0</v>
      </c>
      <c r="E263" s="2">
        <f t="shared" si="9"/>
        <v>0</v>
      </c>
      <c r="F263" t="str">
        <f>REPT("  ",Aop!$C263)&amp;VLOOKUP($A263,$A$2:$L$403,ID_Jezik+6,1)</f>
        <v>D. UKUPAN NETO REZULTAT U OBRAČUNSKOM PERIODU</v>
      </c>
      <c r="G263" t="s">
        <v>968</v>
      </c>
      <c r="H263" t="s">
        <v>1346</v>
      </c>
      <c r="I263" t="s">
        <v>970</v>
      </c>
      <c r="J263" s="104"/>
      <c r="K263" s="104"/>
      <c r="L263" s="104"/>
    </row>
    <row r="264" spans="1:12" x14ac:dyDescent="0.2">
      <c r="A264">
        <f t="shared" si="8"/>
        <v>263</v>
      </c>
      <c r="B264" t="s">
        <v>1018</v>
      </c>
      <c r="C264">
        <v>1</v>
      </c>
      <c r="D264">
        <v>417</v>
      </c>
      <c r="E264" s="2">
        <f t="shared" si="9"/>
        <v>0</v>
      </c>
      <c r="F264" t="str">
        <f>REPT("  ",Aop!$C264)&amp;VLOOKUP($A264,$A$2:$L$403,ID_Jezik+6,1)</f>
        <v xml:space="preserve">  I  UKUPAN NETO DOBITAK U OBRAČUNSKOM PERIODU (400±416)</v>
      </c>
      <c r="G264" t="s">
        <v>978</v>
      </c>
      <c r="H264" t="s">
        <v>1347</v>
      </c>
      <c r="I264" t="s">
        <v>1763</v>
      </c>
      <c r="J264" s="104"/>
      <c r="K264" s="104"/>
      <c r="L264" s="104"/>
    </row>
    <row r="265" spans="1:12" x14ac:dyDescent="0.2">
      <c r="A265">
        <f t="shared" si="8"/>
        <v>264</v>
      </c>
      <c r="B265" t="s">
        <v>1018</v>
      </c>
      <c r="C265">
        <v>1</v>
      </c>
      <c r="D265">
        <v>418</v>
      </c>
      <c r="E265" s="2">
        <f t="shared" si="9"/>
        <v>0</v>
      </c>
      <c r="F265" t="str">
        <f>REPT("  ",Aop!$C265)&amp;VLOOKUP($A265,$A$2:$L$403,ID_Jezik+6,1)</f>
        <v xml:space="preserve">  II  UKUPAN NETO GUBITAK U OBRAČUNSKOM PERIODU (400±416)</v>
      </c>
      <c r="G265" t="s">
        <v>979</v>
      </c>
      <c r="H265" t="s">
        <v>1348</v>
      </c>
      <c r="I265" t="s">
        <v>1764</v>
      </c>
      <c r="J265" s="104"/>
      <c r="K265" s="104"/>
      <c r="L265" s="104"/>
    </row>
    <row r="266" spans="1:12" x14ac:dyDescent="0.2">
      <c r="A266">
        <f t="shared" si="8"/>
        <v>265</v>
      </c>
      <c r="B266" t="s">
        <v>820</v>
      </c>
      <c r="C266">
        <v>1</v>
      </c>
      <c r="E266" s="2">
        <f t="shared" si="9"/>
        <v>1</v>
      </c>
      <c r="F266" t="str">
        <f>REPT("  ",Aop!$C266)&amp;VLOOKUP($A266,$A$2:$L$403,ID_Jezik+6,1)</f>
        <v xml:space="preserve">  A. TOKOVI GOTOVINE IZ POSLOVNIH AKTIVNOSTI</v>
      </c>
      <c r="G266" t="s">
        <v>368</v>
      </c>
      <c r="H266" t="s">
        <v>1349</v>
      </c>
      <c r="I266" t="s">
        <v>236</v>
      </c>
      <c r="J266" s="104">
        <v>1</v>
      </c>
      <c r="K266" s="104">
        <v>1</v>
      </c>
      <c r="L266" s="104">
        <v>1</v>
      </c>
    </row>
    <row r="267" spans="1:12" x14ac:dyDescent="0.2">
      <c r="A267">
        <f t="shared" si="8"/>
        <v>266</v>
      </c>
      <c r="B267" t="s">
        <v>820</v>
      </c>
      <c r="C267">
        <v>2</v>
      </c>
      <c r="D267">
        <v>501</v>
      </c>
      <c r="E267" s="2">
        <f t="shared" si="9"/>
        <v>2</v>
      </c>
      <c r="F267" t="str">
        <f>REPT("  ",Aop!$C267)&amp;VLOOKUP($A267,$A$2:$L$403,ID_Jezik+6,1)</f>
        <v xml:space="preserve">    I  PRILIVI GOTOVINE IZ POSLOVNIH AKTIVNOSTI (502 do 504)</v>
      </c>
      <c r="G267" t="s">
        <v>1034</v>
      </c>
      <c r="H267" t="s">
        <v>1350</v>
      </c>
      <c r="I267" t="s">
        <v>997</v>
      </c>
      <c r="J267" s="104">
        <v>2</v>
      </c>
      <c r="K267" s="104">
        <v>2</v>
      </c>
      <c r="L267" s="104">
        <v>2</v>
      </c>
    </row>
    <row r="268" spans="1:12" x14ac:dyDescent="0.2">
      <c r="A268">
        <f t="shared" si="8"/>
        <v>267</v>
      </c>
      <c r="B268" t="s">
        <v>820</v>
      </c>
      <c r="C268">
        <v>3</v>
      </c>
      <c r="D268">
        <v>502</v>
      </c>
      <c r="E268" s="2">
        <f t="shared" si="9"/>
        <v>3</v>
      </c>
      <c r="F268" t="str">
        <f>REPT("  ",Aop!$C268)&amp;VLOOKUP($A268,$A$2:$L$403,ID_Jezik+6,1)</f>
        <v xml:space="preserve">      1. Prilivi od kupaca i primljeni avansi</v>
      </c>
      <c r="G268" t="s">
        <v>369</v>
      </c>
      <c r="H268" t="s">
        <v>1351</v>
      </c>
      <c r="I268" t="s">
        <v>281</v>
      </c>
      <c r="J268" s="104">
        <v>3</v>
      </c>
      <c r="K268" s="104">
        <v>3</v>
      </c>
      <c r="L268" s="104">
        <v>3</v>
      </c>
    </row>
    <row r="269" spans="1:12" x14ac:dyDescent="0.2">
      <c r="A269">
        <f t="shared" si="8"/>
        <v>268</v>
      </c>
      <c r="B269" t="s">
        <v>820</v>
      </c>
      <c r="C269">
        <v>3</v>
      </c>
      <c r="D269">
        <v>503</v>
      </c>
      <c r="E269" s="2">
        <f t="shared" si="9"/>
        <v>4</v>
      </c>
      <c r="F269" t="str">
        <f>REPT("  ",Aop!$C269)&amp;VLOOKUP($A269,$A$2:$L$403,ID_Jezik+6,1)</f>
        <v xml:space="preserve">      2. Prilivi od premija, subvencija, dotacija i sl.</v>
      </c>
      <c r="G269" t="s">
        <v>370</v>
      </c>
      <c r="H269" t="s">
        <v>1352</v>
      </c>
      <c r="I269" t="s">
        <v>237</v>
      </c>
      <c r="J269" s="104">
        <v>4</v>
      </c>
      <c r="K269" s="104">
        <v>4</v>
      </c>
      <c r="L269" s="104">
        <v>4</v>
      </c>
    </row>
    <row r="270" spans="1:12" x14ac:dyDescent="0.2">
      <c r="A270">
        <f t="shared" si="8"/>
        <v>269</v>
      </c>
      <c r="B270" t="s">
        <v>820</v>
      </c>
      <c r="C270">
        <v>3</v>
      </c>
      <c r="D270">
        <v>504</v>
      </c>
      <c r="E270" s="2">
        <f t="shared" si="9"/>
        <v>5</v>
      </c>
      <c r="F270" t="str">
        <f>REPT("  ",Aop!$C270)&amp;VLOOKUP($A270,$A$2:$L$403,ID_Jezik+6,1)</f>
        <v xml:space="preserve">      3. Ostali prilivi iz poslovnih aktivnosti</v>
      </c>
      <c r="G270" t="s">
        <v>371</v>
      </c>
      <c r="H270" t="s">
        <v>1353</v>
      </c>
      <c r="I270" t="s">
        <v>282</v>
      </c>
      <c r="J270" s="104">
        <v>5</v>
      </c>
      <c r="K270" s="104">
        <v>5</v>
      </c>
      <c r="L270" s="104">
        <v>5</v>
      </c>
    </row>
    <row r="271" spans="1:12" x14ac:dyDescent="0.2">
      <c r="A271">
        <f t="shared" si="8"/>
        <v>270</v>
      </c>
      <c r="B271" t="s">
        <v>820</v>
      </c>
      <c r="C271">
        <v>2</v>
      </c>
      <c r="D271">
        <v>505</v>
      </c>
      <c r="E271" s="2">
        <f t="shared" si="9"/>
        <v>6</v>
      </c>
      <c r="F271" t="str">
        <f>REPT("  ",Aop!$C271)&amp;VLOOKUP($A271,$A$2:$L$403,ID_Jezik+6,1)</f>
        <v xml:space="preserve">    II  ODLIVI GOTOVINE IZ POSLOVNIH AKTIVNOSTI (506 do 510)</v>
      </c>
      <c r="G271" t="s">
        <v>1035</v>
      </c>
      <c r="H271" t="s">
        <v>1354</v>
      </c>
      <c r="I271" t="s">
        <v>998</v>
      </c>
      <c r="J271" s="104">
        <v>6</v>
      </c>
      <c r="K271" s="104">
        <v>6</v>
      </c>
      <c r="L271" s="104">
        <v>6</v>
      </c>
    </row>
    <row r="272" spans="1:12" x14ac:dyDescent="0.2">
      <c r="A272">
        <f t="shared" si="8"/>
        <v>271</v>
      </c>
      <c r="B272" t="s">
        <v>820</v>
      </c>
      <c r="C272">
        <v>3</v>
      </c>
      <c r="D272">
        <v>506</v>
      </c>
      <c r="E272" s="2">
        <f t="shared" si="9"/>
        <v>7</v>
      </c>
      <c r="F272" t="str">
        <f>REPT("  ",Aop!$C272)&amp;VLOOKUP($A272,$A$2:$L$403,ID_Jezik+6,1)</f>
        <v xml:space="preserve">      1. Odlivi po osnovu isplata dobavljačima i dati avansi</v>
      </c>
      <c r="G272" t="s">
        <v>374</v>
      </c>
      <c r="H272" t="s">
        <v>1355</v>
      </c>
      <c r="I272" t="s">
        <v>238</v>
      </c>
      <c r="J272" s="104">
        <v>7</v>
      </c>
      <c r="K272" s="104">
        <v>7</v>
      </c>
      <c r="L272" s="104">
        <v>7</v>
      </c>
    </row>
    <row r="273" spans="1:12" x14ac:dyDescent="0.2">
      <c r="A273">
        <f t="shared" si="8"/>
        <v>272</v>
      </c>
      <c r="B273" t="s">
        <v>820</v>
      </c>
      <c r="C273">
        <v>3</v>
      </c>
      <c r="D273">
        <v>507</v>
      </c>
      <c r="E273" s="2">
        <f t="shared" si="9"/>
        <v>8</v>
      </c>
      <c r="F273" t="str">
        <f>REPT("  ",Aop!$C273)&amp;VLOOKUP($A273,$A$2:$L$403,ID_Jezik+6,1)</f>
        <v xml:space="preserve">      2. Odlivi po osnovu isplata zarada, naknada zarada i ostalih ličnih rashoda</v>
      </c>
      <c r="G273" t="s">
        <v>375</v>
      </c>
      <c r="H273" t="s">
        <v>1356</v>
      </c>
      <c r="I273" t="s">
        <v>283</v>
      </c>
      <c r="J273" s="104">
        <v>8</v>
      </c>
      <c r="K273" s="104">
        <v>8</v>
      </c>
      <c r="L273" s="104">
        <v>8</v>
      </c>
    </row>
    <row r="274" spans="1:12" x14ac:dyDescent="0.2">
      <c r="A274">
        <f t="shared" si="8"/>
        <v>273</v>
      </c>
      <c r="B274" t="s">
        <v>820</v>
      </c>
      <c r="C274">
        <v>3</v>
      </c>
      <c r="D274">
        <v>508</v>
      </c>
      <c r="E274" s="2">
        <f t="shared" si="9"/>
        <v>9</v>
      </c>
      <c r="F274" t="str">
        <f>REPT("  ",Aop!$C274)&amp;VLOOKUP($A274,$A$2:$L$403,ID_Jezik+6,1)</f>
        <v xml:space="preserve">      3. Odlivi po osnovu plaćenih kamata</v>
      </c>
      <c r="G274" t="s">
        <v>376</v>
      </c>
      <c r="H274" t="s">
        <v>1357</v>
      </c>
      <c r="I274" t="s">
        <v>239</v>
      </c>
      <c r="J274" s="104">
        <v>9</v>
      </c>
      <c r="K274" s="104">
        <v>9</v>
      </c>
      <c r="L274" s="104">
        <v>9</v>
      </c>
    </row>
    <row r="275" spans="1:12" x14ac:dyDescent="0.2">
      <c r="A275">
        <f t="shared" si="8"/>
        <v>274</v>
      </c>
      <c r="B275" t="s">
        <v>820</v>
      </c>
      <c r="C275">
        <v>3</v>
      </c>
      <c r="D275">
        <v>509</v>
      </c>
      <c r="E275" s="2">
        <f t="shared" si="9"/>
        <v>10</v>
      </c>
      <c r="F275" t="str">
        <f>REPT("  ",Aop!$C275)&amp;VLOOKUP($A275,$A$2:$L$403,ID_Jezik+6,1)</f>
        <v xml:space="preserve">      4. Odlivi po osnovu poreza na dobit</v>
      </c>
      <c r="G275" t="s">
        <v>372</v>
      </c>
      <c r="H275" t="s">
        <v>1358</v>
      </c>
      <c r="I275" t="s">
        <v>240</v>
      </c>
      <c r="J275" s="104">
        <v>10</v>
      </c>
      <c r="K275" s="104">
        <v>10</v>
      </c>
      <c r="L275" s="104">
        <v>10</v>
      </c>
    </row>
    <row r="276" spans="1:12" x14ac:dyDescent="0.2">
      <c r="A276">
        <f t="shared" si="8"/>
        <v>275</v>
      </c>
      <c r="B276" t="s">
        <v>820</v>
      </c>
      <c r="C276">
        <v>3</v>
      </c>
      <c r="D276">
        <v>510</v>
      </c>
      <c r="E276" s="2">
        <f t="shared" si="9"/>
        <v>11</v>
      </c>
      <c r="F276" t="str">
        <f>REPT("  ",Aop!$C276)&amp;VLOOKUP($A276,$A$2:$L$403,ID_Jezik+6,1)</f>
        <v xml:space="preserve">      5. Ostali odlivi iz poslovnih aktivnosti</v>
      </c>
      <c r="G276" t="s">
        <v>373</v>
      </c>
      <c r="H276" t="s">
        <v>1359</v>
      </c>
      <c r="I276" t="s">
        <v>241</v>
      </c>
      <c r="J276" s="104">
        <v>11</v>
      </c>
      <c r="K276" s="104">
        <v>11</v>
      </c>
      <c r="L276" s="104">
        <v>11</v>
      </c>
    </row>
    <row r="277" spans="1:12" x14ac:dyDescent="0.2">
      <c r="A277">
        <f t="shared" si="8"/>
        <v>276</v>
      </c>
      <c r="B277" t="s">
        <v>820</v>
      </c>
      <c r="C277">
        <v>2</v>
      </c>
      <c r="D277">
        <v>511</v>
      </c>
      <c r="E277" s="2">
        <f t="shared" si="9"/>
        <v>12</v>
      </c>
      <c r="F277" t="str">
        <f>REPT("  ",Aop!$C277)&amp;VLOOKUP($A277,$A$2:$L$403,ID_Jezik+6,1)</f>
        <v xml:space="preserve">    III  NETO PRILIV GOTOVINE IZ POSLOVNIH AKTIVNOSTI (501-505)</v>
      </c>
      <c r="G277" t="s">
        <v>980</v>
      </c>
      <c r="H277" t="s">
        <v>1360</v>
      </c>
      <c r="I277" t="s">
        <v>999</v>
      </c>
      <c r="J277" s="104">
        <v>12</v>
      </c>
      <c r="K277" s="104">
        <v>12</v>
      </c>
      <c r="L277" s="104">
        <v>12</v>
      </c>
    </row>
    <row r="278" spans="1:12" x14ac:dyDescent="0.2">
      <c r="A278">
        <f t="shared" si="8"/>
        <v>277</v>
      </c>
      <c r="B278" t="s">
        <v>820</v>
      </c>
      <c r="C278">
        <v>2</v>
      </c>
      <c r="D278">
        <v>512</v>
      </c>
      <c r="E278" s="2">
        <f t="shared" si="9"/>
        <v>13</v>
      </c>
      <c r="F278" t="str">
        <f>REPT("  ",Aop!$C278)&amp;VLOOKUP($A278,$A$2:$L$403,ID_Jezik+6,1)</f>
        <v xml:space="preserve">    IV  NETO ODLIV GOTOVINE IZ POSLOVNIH AKTIVNOSTI (505-501)</v>
      </c>
      <c r="G278" t="s">
        <v>981</v>
      </c>
      <c r="H278" t="s">
        <v>1361</v>
      </c>
      <c r="I278" t="s">
        <v>1000</v>
      </c>
      <c r="J278" s="104">
        <v>13</v>
      </c>
      <c r="K278" s="104">
        <v>13</v>
      </c>
      <c r="L278" s="104">
        <v>13</v>
      </c>
    </row>
    <row r="279" spans="1:12" x14ac:dyDescent="0.2">
      <c r="A279">
        <f t="shared" si="8"/>
        <v>278</v>
      </c>
      <c r="B279" t="s">
        <v>820</v>
      </c>
      <c r="C279">
        <v>1</v>
      </c>
      <c r="E279" s="2">
        <f t="shared" si="9"/>
        <v>14</v>
      </c>
      <c r="F279" t="str">
        <f>REPT("  ",Aop!$C279)&amp;VLOOKUP($A279,$A$2:$L$403,ID_Jezik+6,1)</f>
        <v xml:space="preserve">  B. TOKOVI GOTOVINE IZ AKTIVNOSTI INVESTIRANJA</v>
      </c>
      <c r="G279" t="s">
        <v>433</v>
      </c>
      <c r="H279" t="s">
        <v>1362</v>
      </c>
      <c r="I279" t="s">
        <v>242</v>
      </c>
      <c r="J279" s="104">
        <v>14</v>
      </c>
      <c r="K279" s="104">
        <v>14</v>
      </c>
      <c r="L279" s="104">
        <v>14</v>
      </c>
    </row>
    <row r="280" spans="1:12" x14ac:dyDescent="0.2">
      <c r="A280">
        <f t="shared" si="8"/>
        <v>279</v>
      </c>
      <c r="B280" t="s">
        <v>820</v>
      </c>
      <c r="C280">
        <v>2</v>
      </c>
      <c r="D280">
        <v>513</v>
      </c>
      <c r="E280" s="2">
        <f t="shared" si="9"/>
        <v>15</v>
      </c>
      <c r="F280" t="str">
        <f>REPT("  ",Aop!$C280)&amp;VLOOKUP($A280,$A$2:$L$403,ID_Jezik+6,1)</f>
        <v xml:space="preserve">    I  PRILIVI GOTOVINE IZ AKTIVNOSTI INVESTIRANJA (514 do 519)</v>
      </c>
      <c r="G280" t="s">
        <v>1036</v>
      </c>
      <c r="H280" t="s">
        <v>1363</v>
      </c>
      <c r="I280" t="s">
        <v>1001</v>
      </c>
      <c r="J280" s="104">
        <v>15</v>
      </c>
      <c r="K280" s="104">
        <v>15</v>
      </c>
      <c r="L280" s="104">
        <v>15</v>
      </c>
    </row>
    <row r="281" spans="1:12" x14ac:dyDescent="0.2">
      <c r="A281">
        <f t="shared" si="8"/>
        <v>280</v>
      </c>
      <c r="B281" t="s">
        <v>820</v>
      </c>
      <c r="C281">
        <v>3</v>
      </c>
      <c r="D281">
        <v>514</v>
      </c>
      <c r="E281" s="2">
        <f t="shared" si="9"/>
        <v>16</v>
      </c>
      <c r="F281" t="str">
        <f>REPT("  ",Aop!$C281)&amp;VLOOKUP($A281,$A$2:$L$403,ID_Jezik+6,1)</f>
        <v xml:space="preserve">      1. Prilivi po osnovu kratkoročnih finansijskih plasmana</v>
      </c>
      <c r="G281" t="s">
        <v>380</v>
      </c>
      <c r="H281" t="s">
        <v>1364</v>
      </c>
      <c r="I281" t="s">
        <v>243</v>
      </c>
      <c r="J281" s="104">
        <v>16</v>
      </c>
      <c r="K281" s="104">
        <v>16</v>
      </c>
      <c r="L281" s="104">
        <v>16</v>
      </c>
    </row>
    <row r="282" spans="1:12" x14ac:dyDescent="0.2">
      <c r="A282">
        <f t="shared" si="8"/>
        <v>281</v>
      </c>
      <c r="B282" t="s">
        <v>820</v>
      </c>
      <c r="C282">
        <v>3</v>
      </c>
      <c r="D282">
        <v>515</v>
      </c>
      <c r="E282" s="2">
        <f t="shared" si="9"/>
        <v>17</v>
      </c>
      <c r="F282" t="str">
        <f>REPT("  ",Aop!$C282)&amp;VLOOKUP($A282,$A$2:$L$403,ID_Jezik+6,1)</f>
        <v xml:space="preserve">      2. Prilivi po osnovu prodaje akcija i udjela</v>
      </c>
      <c r="G282" t="s">
        <v>377</v>
      </c>
      <c r="H282" t="s">
        <v>1365</v>
      </c>
      <c r="I282" t="s">
        <v>244</v>
      </c>
      <c r="J282" s="104">
        <v>17</v>
      </c>
      <c r="K282" s="104">
        <v>17</v>
      </c>
      <c r="L282" s="104">
        <v>17</v>
      </c>
    </row>
    <row r="283" spans="1:12" x14ac:dyDescent="0.2">
      <c r="A283">
        <f t="shared" si="8"/>
        <v>282</v>
      </c>
      <c r="B283" t="s">
        <v>820</v>
      </c>
      <c r="C283">
        <v>3</v>
      </c>
      <c r="D283">
        <v>516</v>
      </c>
      <c r="E283" s="2">
        <f t="shared" si="9"/>
        <v>18</v>
      </c>
      <c r="F283" t="str">
        <f>REPT("  ",Aop!$C283)&amp;VLOOKUP($A283,$A$2:$L$403,ID_Jezik+6,1)</f>
        <v xml:space="preserve">      3. Prilivi po osnovu prodaje nematerijalnih ulaganja, nekretnina, postrojenja, opreme, investicionih nekretnina i bioloških sredstava</v>
      </c>
      <c r="G283" t="s">
        <v>378</v>
      </c>
      <c r="H283" t="s">
        <v>1366</v>
      </c>
      <c r="I283" t="s">
        <v>315</v>
      </c>
      <c r="J283" s="104">
        <v>18</v>
      </c>
      <c r="K283" s="104">
        <v>18</v>
      </c>
      <c r="L283" s="104">
        <v>18</v>
      </c>
    </row>
    <row r="284" spans="1:12" x14ac:dyDescent="0.2">
      <c r="A284">
        <f t="shared" si="8"/>
        <v>283</v>
      </c>
      <c r="B284" t="s">
        <v>820</v>
      </c>
      <c r="C284">
        <v>3</v>
      </c>
      <c r="D284">
        <v>517</v>
      </c>
      <c r="E284" s="2">
        <f t="shared" si="9"/>
        <v>19</v>
      </c>
      <c r="F284" t="str">
        <f>REPT("  ",Aop!$C284)&amp;VLOOKUP($A284,$A$2:$L$403,ID_Jezik+6,1)</f>
        <v xml:space="preserve">      4. Prilivi po osnovu kamata</v>
      </c>
      <c r="G284" t="s">
        <v>115</v>
      </c>
      <c r="H284" t="s">
        <v>1367</v>
      </c>
      <c r="I284" t="s">
        <v>245</v>
      </c>
      <c r="J284" s="104">
        <v>19</v>
      </c>
      <c r="K284" s="104">
        <v>19</v>
      </c>
      <c r="L284" s="104">
        <v>19</v>
      </c>
    </row>
    <row r="285" spans="1:12" x14ac:dyDescent="0.2">
      <c r="A285">
        <f t="shared" si="8"/>
        <v>284</v>
      </c>
      <c r="B285" t="s">
        <v>820</v>
      </c>
      <c r="C285">
        <v>3</v>
      </c>
      <c r="D285">
        <v>518</v>
      </c>
      <c r="E285" s="2">
        <f t="shared" si="9"/>
        <v>20</v>
      </c>
      <c r="F285" t="str">
        <f>REPT("  ",Aop!$C285)&amp;VLOOKUP($A285,$A$2:$L$403,ID_Jezik+6,1)</f>
        <v xml:space="preserve">      5. Prilivi od dividendi i učešća u dobitku</v>
      </c>
      <c r="G285" t="s">
        <v>381</v>
      </c>
      <c r="H285" t="s">
        <v>1368</v>
      </c>
      <c r="I285" t="s">
        <v>246</v>
      </c>
      <c r="J285" s="104">
        <v>20</v>
      </c>
      <c r="K285" s="104">
        <v>20</v>
      </c>
      <c r="L285" s="104">
        <v>20</v>
      </c>
    </row>
    <row r="286" spans="1:12" x14ac:dyDescent="0.2">
      <c r="A286">
        <f t="shared" si="8"/>
        <v>285</v>
      </c>
      <c r="B286" t="s">
        <v>820</v>
      </c>
      <c r="C286">
        <v>3</v>
      </c>
      <c r="D286">
        <v>519</v>
      </c>
      <c r="E286" s="2">
        <f t="shared" si="9"/>
        <v>21</v>
      </c>
      <c r="F286" t="str">
        <f>REPT("  ",Aop!$C286)&amp;VLOOKUP($A286,$A$2:$L$403,ID_Jezik+6,1)</f>
        <v xml:space="preserve">      6. Prilivi po osnovu ostalih dugoročnih finansijskih plasmana</v>
      </c>
      <c r="G286" t="s">
        <v>382</v>
      </c>
      <c r="H286" t="s">
        <v>1369</v>
      </c>
      <c r="I286" t="s">
        <v>247</v>
      </c>
      <c r="J286" s="104">
        <v>21</v>
      </c>
      <c r="K286" s="104">
        <v>21</v>
      </c>
      <c r="L286" s="104">
        <v>21</v>
      </c>
    </row>
    <row r="287" spans="1:12" x14ac:dyDescent="0.2">
      <c r="A287">
        <f t="shared" si="8"/>
        <v>286</v>
      </c>
      <c r="B287" t="s">
        <v>820</v>
      </c>
      <c r="C287">
        <v>2</v>
      </c>
      <c r="D287">
        <v>520</v>
      </c>
      <c r="E287" s="2">
        <f t="shared" si="9"/>
        <v>22</v>
      </c>
      <c r="F287" t="str">
        <f>REPT("  ",Aop!$C287)&amp;VLOOKUP($A287,$A$2:$L$403,ID_Jezik+6,1)</f>
        <v xml:space="preserve">    II  ODLIVI GOTOVINE IZ AKTIVNOSTI INVESTIRANJA (521 do 524)</v>
      </c>
      <c r="G287" t="s">
        <v>1037</v>
      </c>
      <c r="H287" t="s">
        <v>1370</v>
      </c>
      <c r="I287" t="s">
        <v>1002</v>
      </c>
      <c r="J287" s="104">
        <v>22</v>
      </c>
      <c r="K287" s="104">
        <v>22</v>
      </c>
      <c r="L287" s="104">
        <v>22</v>
      </c>
    </row>
    <row r="288" spans="1:12" x14ac:dyDescent="0.2">
      <c r="A288">
        <f t="shared" si="8"/>
        <v>287</v>
      </c>
      <c r="B288" t="s">
        <v>820</v>
      </c>
      <c r="C288">
        <v>3</v>
      </c>
      <c r="D288">
        <v>521</v>
      </c>
      <c r="E288" s="2">
        <f t="shared" si="9"/>
        <v>23</v>
      </c>
      <c r="F288" t="str">
        <f>REPT("  ",Aop!$C288)&amp;VLOOKUP($A288,$A$2:$L$403,ID_Jezik+6,1)</f>
        <v xml:space="preserve">      1. Odlivi po osnovu kratkoročnih finansijskih plasmana</v>
      </c>
      <c r="G288" t="s">
        <v>383</v>
      </c>
      <c r="H288" t="s">
        <v>1371</v>
      </c>
      <c r="I288" t="s">
        <v>248</v>
      </c>
      <c r="J288" s="104">
        <v>23</v>
      </c>
      <c r="K288" s="104">
        <v>23</v>
      </c>
      <c r="L288" s="104">
        <v>23</v>
      </c>
    </row>
    <row r="289" spans="1:12" x14ac:dyDescent="0.2">
      <c r="A289">
        <f t="shared" si="8"/>
        <v>288</v>
      </c>
      <c r="B289" t="s">
        <v>820</v>
      </c>
      <c r="C289">
        <v>3</v>
      </c>
      <c r="D289">
        <v>522</v>
      </c>
      <c r="E289" s="2">
        <f t="shared" si="9"/>
        <v>24</v>
      </c>
      <c r="F289" t="str">
        <f>REPT("  ",Aop!$C289)&amp;VLOOKUP($A289,$A$2:$L$403,ID_Jezik+6,1)</f>
        <v xml:space="preserve">      2. Odlivi po osnovu kupovine akcija i udjela</v>
      </c>
      <c r="G289" t="s">
        <v>379</v>
      </c>
      <c r="H289" t="s">
        <v>1372</v>
      </c>
      <c r="I289" t="s">
        <v>284</v>
      </c>
      <c r="J289" s="104">
        <v>24</v>
      </c>
      <c r="K289" s="104">
        <v>24</v>
      </c>
      <c r="L289" s="104">
        <v>24</v>
      </c>
    </row>
    <row r="290" spans="1:12" x14ac:dyDescent="0.2">
      <c r="A290">
        <f t="shared" si="8"/>
        <v>289</v>
      </c>
      <c r="B290" t="s">
        <v>820</v>
      </c>
      <c r="C290">
        <v>3</v>
      </c>
      <c r="D290">
        <v>523</v>
      </c>
      <c r="E290" s="2">
        <f t="shared" si="9"/>
        <v>25</v>
      </c>
      <c r="F290" t="str">
        <f>REPT("  ",Aop!$C290)&amp;VLOOKUP($A290,$A$2:$L$403,ID_Jezik+6,1)</f>
        <v xml:space="preserve">      3. Odlivi po osnovu kupovine nematerijalnih ulaganja, nekretnina, postrojenja, opreme, investicionih nekretnina i bioloških sredstava</v>
      </c>
      <c r="G290" t="s">
        <v>384</v>
      </c>
      <c r="H290" t="s">
        <v>1373</v>
      </c>
      <c r="I290" t="s">
        <v>316</v>
      </c>
      <c r="J290" s="104">
        <v>25</v>
      </c>
      <c r="K290" s="104">
        <v>25</v>
      </c>
      <c r="L290" s="104">
        <v>25</v>
      </c>
    </row>
    <row r="291" spans="1:12" x14ac:dyDescent="0.2">
      <c r="A291">
        <f t="shared" si="8"/>
        <v>290</v>
      </c>
      <c r="B291" t="s">
        <v>820</v>
      </c>
      <c r="C291">
        <v>3</v>
      </c>
      <c r="D291">
        <v>524</v>
      </c>
      <c r="E291" s="2">
        <f t="shared" si="9"/>
        <v>26</v>
      </c>
      <c r="F291" t="str">
        <f>REPT("  ",Aop!$C291)&amp;VLOOKUP($A291,$A$2:$L$403,ID_Jezik+6,1)</f>
        <v xml:space="preserve">      4. Odlivi po osnovu ostalih dugoročnih finansijskih plasmana</v>
      </c>
      <c r="G291" t="s">
        <v>114</v>
      </c>
      <c r="H291" t="s">
        <v>1374</v>
      </c>
      <c r="I291" t="s">
        <v>317</v>
      </c>
      <c r="J291" s="104">
        <v>26</v>
      </c>
      <c r="K291" s="104">
        <v>26</v>
      </c>
      <c r="L291" s="104">
        <v>26</v>
      </c>
    </row>
    <row r="292" spans="1:12" x14ac:dyDescent="0.2">
      <c r="A292">
        <f t="shared" si="8"/>
        <v>291</v>
      </c>
      <c r="B292" t="s">
        <v>820</v>
      </c>
      <c r="C292">
        <v>2</v>
      </c>
      <c r="D292">
        <v>525</v>
      </c>
      <c r="E292" s="2">
        <f t="shared" si="9"/>
        <v>27</v>
      </c>
      <c r="F292" t="str">
        <f>REPT("  ",Aop!$C292)&amp;VLOOKUP($A292,$A$2:$L$403,ID_Jezik+6,1)</f>
        <v xml:space="preserve">    III  NETO PRILIV GOTOVINE IZ AKTIVNOSTI INVESTIRANJA (513-520)</v>
      </c>
      <c r="G292" t="s">
        <v>982</v>
      </c>
      <c r="H292" t="s">
        <v>1375</v>
      </c>
      <c r="I292" t="s">
        <v>1003</v>
      </c>
      <c r="J292" s="104">
        <v>27</v>
      </c>
      <c r="K292" s="104">
        <v>27</v>
      </c>
      <c r="L292" s="104">
        <v>27</v>
      </c>
    </row>
    <row r="293" spans="1:12" x14ac:dyDescent="0.2">
      <c r="A293">
        <f t="shared" si="8"/>
        <v>292</v>
      </c>
      <c r="B293" t="s">
        <v>820</v>
      </c>
      <c r="C293">
        <v>2</v>
      </c>
      <c r="D293">
        <v>526</v>
      </c>
      <c r="E293" s="2">
        <f t="shared" si="9"/>
        <v>28</v>
      </c>
      <c r="F293" t="str">
        <f>REPT("  ",Aop!$C293)&amp;VLOOKUP($A293,$A$2:$L$403,ID_Jezik+6,1)</f>
        <v xml:space="preserve">    IV  NETO ODLIV GOTOVINE IZ AKTIVNOSTI INVESTIRANJA (520-513)</v>
      </c>
      <c r="G293" t="s">
        <v>983</v>
      </c>
      <c r="H293" t="s">
        <v>1376</v>
      </c>
      <c r="I293" t="s">
        <v>1004</v>
      </c>
      <c r="J293" s="104">
        <v>28</v>
      </c>
      <c r="K293" s="104">
        <v>28</v>
      </c>
      <c r="L293" s="104">
        <v>28</v>
      </c>
    </row>
    <row r="294" spans="1:12" x14ac:dyDescent="0.2">
      <c r="A294">
        <f t="shared" si="8"/>
        <v>293</v>
      </c>
      <c r="B294" t="s">
        <v>820</v>
      </c>
      <c r="C294">
        <v>1</v>
      </c>
      <c r="E294" s="2">
        <f t="shared" si="9"/>
        <v>29</v>
      </c>
      <c r="F294" t="str">
        <f>REPT("  ",Aop!$C294)&amp;VLOOKUP($A294,$A$2:$L$403,ID_Jezik+6,1)</f>
        <v xml:space="preserve">  V. TOKOVI GOTOVINE IZ AKTIVNOSTI FINANSIRANJA</v>
      </c>
      <c r="G294" t="s">
        <v>385</v>
      </c>
      <c r="H294" t="s">
        <v>1377</v>
      </c>
      <c r="I294" t="s">
        <v>249</v>
      </c>
      <c r="J294" s="104">
        <v>29</v>
      </c>
      <c r="K294" s="104">
        <v>29</v>
      </c>
      <c r="L294" s="104">
        <v>29</v>
      </c>
    </row>
    <row r="295" spans="1:12" x14ac:dyDescent="0.2">
      <c r="A295">
        <f t="shared" si="8"/>
        <v>294</v>
      </c>
      <c r="B295" t="s">
        <v>820</v>
      </c>
      <c r="C295">
        <v>2</v>
      </c>
      <c r="D295">
        <v>527</v>
      </c>
      <c r="E295" s="2">
        <f t="shared" si="9"/>
        <v>30</v>
      </c>
      <c r="F295" t="str">
        <f>REPT("  ",Aop!$C295)&amp;VLOOKUP($A295,$A$2:$L$403,ID_Jezik+6,1)</f>
        <v xml:space="preserve">    I  PRILIV GOTOVINE IZ AKTIVNOSTI FINANSIRANJA (528 do 531)</v>
      </c>
      <c r="G295" t="s">
        <v>1038</v>
      </c>
      <c r="H295" t="s">
        <v>1378</v>
      </c>
      <c r="I295" t="s">
        <v>1005</v>
      </c>
      <c r="J295" s="104">
        <v>30</v>
      </c>
      <c r="K295" s="104">
        <v>30</v>
      </c>
      <c r="L295" s="104">
        <v>30</v>
      </c>
    </row>
    <row r="296" spans="1:12" x14ac:dyDescent="0.2">
      <c r="A296">
        <f t="shared" si="8"/>
        <v>295</v>
      </c>
      <c r="B296" t="s">
        <v>820</v>
      </c>
      <c r="C296">
        <v>3</v>
      </c>
      <c r="D296">
        <v>528</v>
      </c>
      <c r="E296" s="2">
        <f t="shared" si="9"/>
        <v>31</v>
      </c>
      <c r="F296" t="str">
        <f>REPT("  ",Aop!$C296)&amp;VLOOKUP($A296,$A$2:$L$403,ID_Jezik+6,1)</f>
        <v xml:space="preserve">      1. Prilivi po osnovu povećanja osnovnog kapitala</v>
      </c>
      <c r="G296" t="s">
        <v>388</v>
      </c>
      <c r="H296" t="s">
        <v>1379</v>
      </c>
      <c r="I296" t="s">
        <v>250</v>
      </c>
      <c r="J296" s="104">
        <v>31</v>
      </c>
      <c r="K296" s="104">
        <v>31</v>
      </c>
      <c r="L296" s="104">
        <v>31</v>
      </c>
    </row>
    <row r="297" spans="1:12" x14ac:dyDescent="0.2">
      <c r="A297">
        <f t="shared" si="8"/>
        <v>296</v>
      </c>
      <c r="B297" t="s">
        <v>820</v>
      </c>
      <c r="C297">
        <v>3</v>
      </c>
      <c r="D297">
        <v>529</v>
      </c>
      <c r="E297" s="2">
        <f t="shared" si="9"/>
        <v>32</v>
      </c>
      <c r="F297" t="str">
        <f>REPT("  ",Aop!$C297)&amp;VLOOKUP($A297,$A$2:$L$403,ID_Jezik+6,1)</f>
        <v xml:space="preserve">      2. Prilivi po osnovu dugoročnih kredita</v>
      </c>
      <c r="G297" t="s">
        <v>389</v>
      </c>
      <c r="H297" t="s">
        <v>1380</v>
      </c>
      <c r="I297" t="s">
        <v>251</v>
      </c>
      <c r="J297" s="104">
        <v>32</v>
      </c>
      <c r="K297" s="104">
        <v>32</v>
      </c>
      <c r="L297" s="104">
        <v>32</v>
      </c>
    </row>
    <row r="298" spans="1:12" x14ac:dyDescent="0.2">
      <c r="A298">
        <f t="shared" si="8"/>
        <v>297</v>
      </c>
      <c r="B298" t="s">
        <v>820</v>
      </c>
      <c r="C298">
        <v>3</v>
      </c>
      <c r="D298">
        <v>530</v>
      </c>
      <c r="E298" s="2">
        <f t="shared" si="9"/>
        <v>33</v>
      </c>
      <c r="F298" t="str">
        <f>REPT("  ",Aop!$C298)&amp;VLOOKUP($A298,$A$2:$L$403,ID_Jezik+6,1)</f>
        <v xml:space="preserve">      3. Prilivi po osnovu kratkoročnih kredita</v>
      </c>
      <c r="G298" t="s">
        <v>390</v>
      </c>
      <c r="H298" t="s">
        <v>1381</v>
      </c>
      <c r="I298" t="s">
        <v>252</v>
      </c>
      <c r="J298" s="104">
        <v>33</v>
      </c>
      <c r="K298" s="104">
        <v>33</v>
      </c>
      <c r="L298" s="104">
        <v>33</v>
      </c>
    </row>
    <row r="299" spans="1:12" x14ac:dyDescent="0.2">
      <c r="A299">
        <f t="shared" si="8"/>
        <v>298</v>
      </c>
      <c r="B299" t="s">
        <v>820</v>
      </c>
      <c r="C299">
        <v>3</v>
      </c>
      <c r="D299">
        <v>531</v>
      </c>
      <c r="E299" s="2">
        <f t="shared" si="9"/>
        <v>34</v>
      </c>
      <c r="F299" t="str">
        <f>REPT("  ",Aop!$C299)&amp;VLOOKUP($A299,$A$2:$L$403,ID_Jezik+6,1)</f>
        <v xml:space="preserve">      4. Prilivi po osnovu ostalih dugoročnih i kratkoročnih obaveza</v>
      </c>
      <c r="G299" t="s">
        <v>401</v>
      </c>
      <c r="H299" t="s">
        <v>1382</v>
      </c>
      <c r="I299" t="s">
        <v>253</v>
      </c>
      <c r="J299" s="104">
        <v>34</v>
      </c>
      <c r="K299" s="104">
        <v>34</v>
      </c>
      <c r="L299" s="104">
        <v>34</v>
      </c>
    </row>
    <row r="300" spans="1:12" x14ac:dyDescent="0.2">
      <c r="A300">
        <f t="shared" si="8"/>
        <v>299</v>
      </c>
      <c r="B300" t="s">
        <v>820</v>
      </c>
      <c r="C300">
        <v>2</v>
      </c>
      <c r="D300">
        <v>532</v>
      </c>
      <c r="E300" s="2">
        <f t="shared" si="9"/>
        <v>35</v>
      </c>
      <c r="F300" t="str">
        <f>REPT("  ",Aop!$C300)&amp;VLOOKUP($A300,$A$2:$L$403,ID_Jezik+6,1)</f>
        <v xml:space="preserve">    II  ODLIVI GOTOVINE IZ AKTIVNOSTI FINANSIRANJA (533 do 538)</v>
      </c>
      <c r="G300" t="s">
        <v>1039</v>
      </c>
      <c r="H300" t="s">
        <v>1383</v>
      </c>
      <c r="I300" t="s">
        <v>1006</v>
      </c>
      <c r="J300" s="104">
        <v>35</v>
      </c>
      <c r="K300" s="104">
        <v>35</v>
      </c>
      <c r="L300" s="104">
        <v>35</v>
      </c>
    </row>
    <row r="301" spans="1:12" x14ac:dyDescent="0.2">
      <c r="A301">
        <f t="shared" si="8"/>
        <v>300</v>
      </c>
      <c r="B301" t="s">
        <v>820</v>
      </c>
      <c r="C301">
        <v>3</v>
      </c>
      <c r="D301">
        <v>533</v>
      </c>
      <c r="E301" s="2">
        <f t="shared" si="9"/>
        <v>36</v>
      </c>
      <c r="F301" t="str">
        <f>REPT("  ",Aop!$C301)&amp;VLOOKUP($A301,$A$2:$L$403,ID_Jezik+6,1)</f>
        <v xml:space="preserve">      1. Odlivi po osnovu otkupa sopstvenih akcija i udjela</v>
      </c>
      <c r="G301" t="s">
        <v>386</v>
      </c>
      <c r="H301" t="s">
        <v>1384</v>
      </c>
      <c r="I301" t="s">
        <v>285</v>
      </c>
      <c r="J301" s="104">
        <v>36</v>
      </c>
      <c r="K301" s="104">
        <v>36</v>
      </c>
      <c r="L301" s="104">
        <v>36</v>
      </c>
    </row>
    <row r="302" spans="1:12" x14ac:dyDescent="0.2">
      <c r="A302">
        <f t="shared" si="8"/>
        <v>301</v>
      </c>
      <c r="B302" t="s">
        <v>820</v>
      </c>
      <c r="C302">
        <v>3</v>
      </c>
      <c r="D302">
        <v>534</v>
      </c>
      <c r="E302" s="2">
        <f t="shared" si="9"/>
        <v>37</v>
      </c>
      <c r="F302" t="str">
        <f>REPT("  ",Aop!$C302)&amp;VLOOKUP($A302,$A$2:$L$403,ID_Jezik+6,1)</f>
        <v xml:space="preserve">      2. Odlivi po osnovu dugoročnih kredita</v>
      </c>
      <c r="G302" t="s">
        <v>391</v>
      </c>
      <c r="H302" t="s">
        <v>1385</v>
      </c>
      <c r="I302" t="s">
        <v>254</v>
      </c>
      <c r="J302" s="104">
        <v>37</v>
      </c>
      <c r="K302" s="104">
        <v>37</v>
      </c>
      <c r="L302" s="104">
        <v>37</v>
      </c>
    </row>
    <row r="303" spans="1:12" x14ac:dyDescent="0.2">
      <c r="A303">
        <f t="shared" si="8"/>
        <v>302</v>
      </c>
      <c r="B303" t="s">
        <v>820</v>
      </c>
      <c r="C303">
        <v>3</v>
      </c>
      <c r="D303">
        <v>535</v>
      </c>
      <c r="E303" s="2">
        <f t="shared" si="9"/>
        <v>38</v>
      </c>
      <c r="F303" t="str">
        <f>REPT("  ",Aop!$C303)&amp;VLOOKUP($A303,$A$2:$L$403,ID_Jezik+6,1)</f>
        <v xml:space="preserve">      3. Odlivi po osnovu kratkoročnih kredita</v>
      </c>
      <c r="G303" t="s">
        <v>392</v>
      </c>
      <c r="H303" t="s">
        <v>1386</v>
      </c>
      <c r="I303" t="s">
        <v>318</v>
      </c>
      <c r="J303" s="104">
        <v>38</v>
      </c>
      <c r="K303" s="104">
        <v>38</v>
      </c>
      <c r="L303" s="104">
        <v>38</v>
      </c>
    </row>
    <row r="304" spans="1:12" x14ac:dyDescent="0.2">
      <c r="A304">
        <f t="shared" si="8"/>
        <v>303</v>
      </c>
      <c r="B304" t="s">
        <v>820</v>
      </c>
      <c r="C304">
        <v>3</v>
      </c>
      <c r="D304">
        <v>536</v>
      </c>
      <c r="E304" s="2">
        <f t="shared" si="9"/>
        <v>39</v>
      </c>
      <c r="F304" t="str">
        <f>REPT("  ",Aop!$C304)&amp;VLOOKUP($A304,$A$2:$L$403,ID_Jezik+6,1)</f>
        <v xml:space="preserve">      4. Odlivi po osnovu finansijskog lizinga</v>
      </c>
      <c r="G304" t="s">
        <v>387</v>
      </c>
      <c r="H304" t="s">
        <v>1387</v>
      </c>
      <c r="I304" t="s">
        <v>255</v>
      </c>
      <c r="J304" s="104">
        <v>39</v>
      </c>
      <c r="K304" s="104">
        <v>39</v>
      </c>
      <c r="L304" s="104">
        <v>39</v>
      </c>
    </row>
    <row r="305" spans="1:12" x14ac:dyDescent="0.2">
      <c r="A305">
        <f t="shared" si="8"/>
        <v>304</v>
      </c>
      <c r="B305" t="s">
        <v>820</v>
      </c>
      <c r="C305">
        <v>3</v>
      </c>
      <c r="D305">
        <v>537</v>
      </c>
      <c r="E305" s="2">
        <f t="shared" si="9"/>
        <v>40</v>
      </c>
      <c r="F305" t="str">
        <f>REPT("  ",Aop!$C305)&amp;VLOOKUP($A305,$A$2:$L$403,ID_Jezik+6,1)</f>
        <v xml:space="preserve">      5. Odlivi po osnovu isplaćenih dividendi</v>
      </c>
      <c r="G305" t="s">
        <v>393</v>
      </c>
      <c r="H305" t="s">
        <v>1388</v>
      </c>
      <c r="I305" t="s">
        <v>256</v>
      </c>
      <c r="J305" s="104">
        <v>40</v>
      </c>
      <c r="K305" s="104">
        <v>40</v>
      </c>
      <c r="L305" s="104">
        <v>40</v>
      </c>
    </row>
    <row r="306" spans="1:12" x14ac:dyDescent="0.2">
      <c r="A306">
        <f t="shared" si="8"/>
        <v>305</v>
      </c>
      <c r="B306" t="s">
        <v>820</v>
      </c>
      <c r="C306">
        <v>3</v>
      </c>
      <c r="D306">
        <v>538</v>
      </c>
      <c r="E306" s="2">
        <f t="shared" si="9"/>
        <v>41</v>
      </c>
      <c r="F306" t="str">
        <f>REPT("  ",Aop!$C306)&amp;VLOOKUP($A306,$A$2:$L$403,ID_Jezik+6,1)</f>
        <v xml:space="preserve">      6. Odlivi po osnovu ostalih dugoročnih i kratkoročnih obaveza</v>
      </c>
      <c r="G306" t="s">
        <v>394</v>
      </c>
      <c r="H306" t="s">
        <v>1389</v>
      </c>
      <c r="I306" t="s">
        <v>319</v>
      </c>
      <c r="J306" s="104">
        <v>41</v>
      </c>
      <c r="K306" s="104">
        <v>41</v>
      </c>
      <c r="L306" s="104">
        <v>41</v>
      </c>
    </row>
    <row r="307" spans="1:12" x14ac:dyDescent="0.2">
      <c r="A307">
        <f t="shared" si="8"/>
        <v>306</v>
      </c>
      <c r="B307" t="s">
        <v>820</v>
      </c>
      <c r="C307">
        <v>2</v>
      </c>
      <c r="D307">
        <v>539</v>
      </c>
      <c r="E307" s="2">
        <f t="shared" si="9"/>
        <v>42</v>
      </c>
      <c r="F307" t="str">
        <f>REPT("  ",Aop!$C307)&amp;VLOOKUP($A307,$A$2:$L$403,ID_Jezik+6,1)</f>
        <v xml:space="preserve">    III  NETO PRILIV GOTOVINE IZ AKTIVNOST FINANSIRANJA (527-532)</v>
      </c>
      <c r="G307" t="s">
        <v>984</v>
      </c>
      <c r="H307" t="s">
        <v>1390</v>
      </c>
      <c r="I307" t="s">
        <v>1007</v>
      </c>
      <c r="J307" s="104">
        <v>42</v>
      </c>
      <c r="K307" s="104">
        <v>42</v>
      </c>
      <c r="L307" s="104">
        <v>42</v>
      </c>
    </row>
    <row r="308" spans="1:12" x14ac:dyDescent="0.2">
      <c r="A308">
        <f t="shared" si="8"/>
        <v>307</v>
      </c>
      <c r="B308" t="s">
        <v>820</v>
      </c>
      <c r="C308">
        <v>2</v>
      </c>
      <c r="D308">
        <v>540</v>
      </c>
      <c r="E308" s="2">
        <f t="shared" si="9"/>
        <v>43</v>
      </c>
      <c r="F308" t="str">
        <f>REPT("  ",Aop!$C308)&amp;VLOOKUP($A308,$A$2:$L$403,ID_Jezik+6,1)</f>
        <v xml:space="preserve">    IV  NETO ODLIV GOTOVINE IZ AKTIVNOSTI FINANSIRANJA (532-527)</v>
      </c>
      <c r="G308" t="s">
        <v>985</v>
      </c>
      <c r="H308" t="s">
        <v>1391</v>
      </c>
      <c r="I308" t="s">
        <v>996</v>
      </c>
      <c r="J308" s="104">
        <v>43</v>
      </c>
      <c r="K308" s="104">
        <v>43</v>
      </c>
      <c r="L308" s="104">
        <v>43</v>
      </c>
    </row>
    <row r="309" spans="1:12" x14ac:dyDescent="0.2">
      <c r="A309">
        <f t="shared" si="8"/>
        <v>308</v>
      </c>
      <c r="B309" t="s">
        <v>820</v>
      </c>
      <c r="C309">
        <v>1</v>
      </c>
      <c r="D309">
        <v>541</v>
      </c>
      <c r="E309" s="2">
        <f t="shared" si="9"/>
        <v>44</v>
      </c>
      <c r="F309" t="str">
        <f>REPT("  ",Aop!$C309)&amp;VLOOKUP($A309,$A$2:$L$403,ID_Jezik+6,1)</f>
        <v xml:space="preserve">  G. UKUPNI PRILIVI GOTOVINE (501+513+527)</v>
      </c>
      <c r="G309" t="s">
        <v>986</v>
      </c>
      <c r="H309" t="s">
        <v>1392</v>
      </c>
      <c r="I309" t="s">
        <v>992</v>
      </c>
      <c r="J309" s="104">
        <v>44</v>
      </c>
      <c r="K309" s="104">
        <v>44</v>
      </c>
      <c r="L309" s="104">
        <v>44</v>
      </c>
    </row>
    <row r="310" spans="1:12" x14ac:dyDescent="0.2">
      <c r="A310">
        <f t="shared" si="8"/>
        <v>309</v>
      </c>
      <c r="B310" t="s">
        <v>820</v>
      </c>
      <c r="C310">
        <v>1</v>
      </c>
      <c r="D310">
        <v>542</v>
      </c>
      <c r="E310" s="2">
        <f t="shared" si="9"/>
        <v>45</v>
      </c>
      <c r="F310" t="str">
        <f>REPT("  ",Aop!$C310)&amp;VLOOKUP($A310,$A$2:$L$403,ID_Jezik+6,1)</f>
        <v xml:space="preserve">  D. UKUPNI ODLIVI GOTOVINE (505+520+532)</v>
      </c>
      <c r="G310" t="s">
        <v>987</v>
      </c>
      <c r="H310" t="s">
        <v>1393</v>
      </c>
      <c r="I310" t="s">
        <v>993</v>
      </c>
      <c r="J310" s="104">
        <v>45</v>
      </c>
      <c r="K310" s="104">
        <v>45</v>
      </c>
      <c r="L310" s="104">
        <v>45</v>
      </c>
    </row>
    <row r="311" spans="1:12" x14ac:dyDescent="0.2">
      <c r="A311">
        <f t="shared" si="8"/>
        <v>310</v>
      </c>
      <c r="B311" t="s">
        <v>820</v>
      </c>
      <c r="C311">
        <v>1</v>
      </c>
      <c r="D311">
        <v>543</v>
      </c>
      <c r="E311" s="2">
        <f t="shared" si="9"/>
        <v>46</v>
      </c>
      <c r="F311" t="str">
        <f>REPT("  ",Aop!$C311)&amp;VLOOKUP($A311,$A$2:$L$403,ID_Jezik+6,1)</f>
        <v xml:space="preserve">  Đ. NETO PRILIV GOTOVINE (541-542)</v>
      </c>
      <c r="G311" t="s">
        <v>988</v>
      </c>
      <c r="H311" t="s">
        <v>1394</v>
      </c>
      <c r="I311" t="s">
        <v>994</v>
      </c>
      <c r="J311" s="104">
        <v>46</v>
      </c>
      <c r="K311" s="104">
        <v>46</v>
      </c>
      <c r="L311" s="104">
        <v>46</v>
      </c>
    </row>
    <row r="312" spans="1:12" x14ac:dyDescent="0.2">
      <c r="A312">
        <f t="shared" si="8"/>
        <v>311</v>
      </c>
      <c r="B312" t="s">
        <v>820</v>
      </c>
      <c r="C312">
        <v>1</v>
      </c>
      <c r="D312">
        <v>544</v>
      </c>
      <c r="E312" s="2">
        <f t="shared" si="9"/>
        <v>47</v>
      </c>
      <c r="F312" t="str">
        <f>REPT("  ",Aop!$C312)&amp;VLOOKUP($A312,$A$2:$L$403,ID_Jezik+6,1)</f>
        <v xml:space="preserve">  E. NETO ODLIV GOTOVINE (542-541)</v>
      </c>
      <c r="G312" t="s">
        <v>989</v>
      </c>
      <c r="H312" t="s">
        <v>1395</v>
      </c>
      <c r="I312" t="s">
        <v>995</v>
      </c>
      <c r="J312" s="104">
        <v>47</v>
      </c>
      <c r="K312" s="104">
        <v>47</v>
      </c>
      <c r="L312" s="104">
        <v>47</v>
      </c>
    </row>
    <row r="313" spans="1:12" x14ac:dyDescent="0.2">
      <c r="A313">
        <f t="shared" si="8"/>
        <v>312</v>
      </c>
      <c r="B313" t="s">
        <v>820</v>
      </c>
      <c r="C313">
        <v>1</v>
      </c>
      <c r="D313">
        <v>545</v>
      </c>
      <c r="E313" s="2">
        <f t="shared" si="9"/>
        <v>48</v>
      </c>
      <c r="F313" t="str">
        <f>REPT("  ",Aop!$C313)&amp;VLOOKUP($A313,$A$2:$L$403,ID_Jezik+6,1)</f>
        <v xml:space="preserve">  Ž. GOTOVINA NA POČETKU OBRAČUNSKOG PERIODA</v>
      </c>
      <c r="G313" t="s">
        <v>395</v>
      </c>
      <c r="H313" t="s">
        <v>1396</v>
      </c>
      <c r="I313" t="s">
        <v>257</v>
      </c>
      <c r="J313" s="104">
        <v>48</v>
      </c>
      <c r="K313" s="104">
        <v>48</v>
      </c>
      <c r="L313" s="104">
        <v>48</v>
      </c>
    </row>
    <row r="314" spans="1:12" x14ac:dyDescent="0.2">
      <c r="A314">
        <f t="shared" si="8"/>
        <v>313</v>
      </c>
      <c r="B314" t="s">
        <v>820</v>
      </c>
      <c r="C314">
        <v>1</v>
      </c>
      <c r="D314">
        <v>546</v>
      </c>
      <c r="E314" s="2">
        <f t="shared" si="9"/>
        <v>49</v>
      </c>
      <c r="F314" t="str">
        <f>REPT("  ",Aop!$C314)&amp;VLOOKUP($A314,$A$2:$L$403,ID_Jezik+6,1)</f>
        <v xml:space="preserve">  Z. POZITIVNE KURSNE RAZLIKE PO OSNOVU PRERAČUNA GOTOVINE</v>
      </c>
      <c r="G314" t="s">
        <v>396</v>
      </c>
      <c r="H314" t="s">
        <v>1397</v>
      </c>
      <c r="I314" t="s">
        <v>286</v>
      </c>
      <c r="J314" s="104">
        <v>49</v>
      </c>
      <c r="K314" s="104">
        <v>49</v>
      </c>
      <c r="L314" s="104">
        <v>49</v>
      </c>
    </row>
    <row r="315" spans="1:12" x14ac:dyDescent="0.2">
      <c r="A315">
        <f t="shared" si="8"/>
        <v>314</v>
      </c>
      <c r="B315" t="s">
        <v>820</v>
      </c>
      <c r="C315">
        <v>1</v>
      </c>
      <c r="D315">
        <v>547</v>
      </c>
      <c r="E315" s="2">
        <f t="shared" si="9"/>
        <v>50</v>
      </c>
      <c r="F315" t="str">
        <f>REPT("  ",Aop!$C315)&amp;VLOOKUP($A315,$A$2:$L$403,ID_Jezik+6,1)</f>
        <v xml:space="preserve">  I. NEGATIVNE KURSNE RAZLIKE PO OSNOVU PRERAČUNA GOTOVINE</v>
      </c>
      <c r="G315" t="s">
        <v>402</v>
      </c>
      <c r="H315" t="s">
        <v>1398</v>
      </c>
      <c r="I315" t="s">
        <v>258</v>
      </c>
      <c r="J315" s="104">
        <v>50</v>
      </c>
      <c r="K315" s="104">
        <v>50</v>
      </c>
      <c r="L315" s="104">
        <v>50</v>
      </c>
    </row>
    <row r="316" spans="1:12" x14ac:dyDescent="0.2">
      <c r="A316">
        <f t="shared" si="8"/>
        <v>315</v>
      </c>
      <c r="B316" t="s">
        <v>820</v>
      </c>
      <c r="C316">
        <v>1</v>
      </c>
      <c r="D316">
        <v>548</v>
      </c>
      <c r="E316" s="2">
        <f t="shared" si="9"/>
        <v>51</v>
      </c>
      <c r="F316" t="str">
        <f>REPT("  ",Aop!$C316)&amp;VLOOKUP($A316,$A$2:$L$403,ID_Jezik+6,1)</f>
        <v xml:space="preserve">  J. GOTOVINA NA KRAJU OBRAČUNSKOG PERIODA (545+543-544+546-547)</v>
      </c>
      <c r="G316" s="14" t="s">
        <v>991</v>
      </c>
      <c r="H316" t="s">
        <v>1399</v>
      </c>
      <c r="I316" t="s">
        <v>990</v>
      </c>
      <c r="J316" s="104">
        <v>51</v>
      </c>
      <c r="K316" s="104">
        <v>51</v>
      </c>
      <c r="L316" s="104">
        <v>51</v>
      </c>
    </row>
    <row r="317" spans="1:12" x14ac:dyDescent="0.2">
      <c r="A317">
        <f t="shared" si="8"/>
        <v>316</v>
      </c>
      <c r="B317" t="s">
        <v>821</v>
      </c>
      <c r="C317">
        <v>0</v>
      </c>
      <c r="D317">
        <v>601</v>
      </c>
      <c r="E317" s="2">
        <f t="shared" si="9"/>
        <v>61</v>
      </c>
      <c r="F317" t="str">
        <f>REPT("  ",Aop!$C317)&amp;VLOOKUP($A317,$A$2:$L$403,ID_Jezik+6,1)</f>
        <v>PRIHODI OD PRODAJE UČINAKA (602+605)</v>
      </c>
      <c r="G317" t="s">
        <v>1535</v>
      </c>
      <c r="H317" t="s">
        <v>1572</v>
      </c>
      <c r="I317" t="s">
        <v>1657</v>
      </c>
      <c r="J317" s="104">
        <v>61</v>
      </c>
      <c r="K317" s="180">
        <v>61</v>
      </c>
      <c r="L317" s="104">
        <v>61</v>
      </c>
    </row>
    <row r="318" spans="1:12" x14ac:dyDescent="0.2">
      <c r="A318">
        <f t="shared" si="8"/>
        <v>317</v>
      </c>
      <c r="B318" t="s">
        <v>821</v>
      </c>
      <c r="C318">
        <v>1</v>
      </c>
      <c r="D318">
        <v>602</v>
      </c>
      <c r="E318" s="2" t="str">
        <f t="shared" si="9"/>
        <v>dio 61</v>
      </c>
      <c r="F318" t="str">
        <f>REPT("  ",Aop!$C318)&amp;VLOOKUP($A318,$A$2:$L$403,ID_Jezik+6,1)</f>
        <v xml:space="preserve">  a) Prihodi od prodaje proizvoda</v>
      </c>
      <c r="G318" t="s">
        <v>1536</v>
      </c>
      <c r="H318" t="s">
        <v>1573</v>
      </c>
      <c r="I318" t="s">
        <v>1658</v>
      </c>
      <c r="J318" s="104" t="s">
        <v>1615</v>
      </c>
      <c r="K318" s="104" t="s">
        <v>1628</v>
      </c>
      <c r="L318" s="104" t="s">
        <v>1641</v>
      </c>
    </row>
    <row r="319" spans="1:12" x14ac:dyDescent="0.2">
      <c r="A319">
        <f t="shared" si="8"/>
        <v>318</v>
      </c>
      <c r="B319" t="s">
        <v>821</v>
      </c>
      <c r="C319">
        <v>2</v>
      </c>
      <c r="D319">
        <v>603</v>
      </c>
      <c r="E319" s="2" t="str">
        <f t="shared" si="9"/>
        <v>dio 612</v>
      </c>
      <c r="F319" t="str">
        <f>REPT("  ",Aop!$C319)&amp;VLOOKUP($A319,$A$2:$L$403,ID_Jezik+6,1)</f>
        <v xml:space="preserve">    Od toga: prihodi od prodaje proizvoda na inostranom tržištu</v>
      </c>
      <c r="G319" t="s">
        <v>1537</v>
      </c>
      <c r="H319" t="s">
        <v>1574</v>
      </c>
      <c r="I319" t="s">
        <v>1659</v>
      </c>
      <c r="J319" s="104" t="s">
        <v>1616</v>
      </c>
      <c r="K319" s="104" t="s">
        <v>1629</v>
      </c>
      <c r="L319" s="104" t="s">
        <v>1642</v>
      </c>
    </row>
    <row r="320" spans="1:12" x14ac:dyDescent="0.2">
      <c r="A320">
        <f t="shared" si="8"/>
        <v>319</v>
      </c>
      <c r="B320" t="s">
        <v>821</v>
      </c>
      <c r="C320">
        <v>2</v>
      </c>
      <c r="D320">
        <v>604</v>
      </c>
      <c r="E320" s="2" t="str">
        <f t="shared" si="9"/>
        <v>dio 611</v>
      </c>
      <c r="F320" t="str">
        <f>REPT("  ",Aop!$C320)&amp;VLOOKUP($A320,$A$2:$L$403,ID_Jezik+6,1)</f>
        <v xml:space="preserve">    Prihodi od prodaje proizvoda u drugom entitetu ili Brčko Distriktu BiH</v>
      </c>
      <c r="G320" t="s">
        <v>1538</v>
      </c>
      <c r="H320" t="s">
        <v>1575</v>
      </c>
      <c r="I320" t="s">
        <v>1660</v>
      </c>
      <c r="J320" s="104" t="s">
        <v>1617</v>
      </c>
      <c r="K320" s="104" t="s">
        <v>1630</v>
      </c>
      <c r="L320" s="104" t="s">
        <v>1643</v>
      </c>
    </row>
    <row r="321" spans="1:12" x14ac:dyDescent="0.2">
      <c r="A321">
        <f t="shared" si="8"/>
        <v>320</v>
      </c>
      <c r="B321" t="s">
        <v>821</v>
      </c>
      <c r="C321">
        <v>1</v>
      </c>
      <c r="D321">
        <v>605</v>
      </c>
      <c r="E321" s="2" t="str">
        <f t="shared" si="9"/>
        <v>dio 61</v>
      </c>
      <c r="F321" t="str">
        <f>REPT("  ",Aop!$C321)&amp;VLOOKUP($A321,$A$2:$L$403,ID_Jezik+6,1)</f>
        <v xml:space="preserve">  b) Prihodi od prodaje usluga</v>
      </c>
      <c r="G321" t="s">
        <v>1539</v>
      </c>
      <c r="H321" t="s">
        <v>1576</v>
      </c>
      <c r="I321" t="s">
        <v>1661</v>
      </c>
      <c r="J321" s="104" t="s">
        <v>1615</v>
      </c>
      <c r="K321" s="104" t="s">
        <v>1628</v>
      </c>
      <c r="L321" s="104" t="s">
        <v>1641</v>
      </c>
    </row>
    <row r="322" spans="1:12" x14ac:dyDescent="0.2">
      <c r="A322">
        <f t="shared" ref="A322:A403" si="10">ROW()-ROW($A$1)</f>
        <v>321</v>
      </c>
      <c r="B322" t="s">
        <v>821</v>
      </c>
      <c r="C322">
        <v>2</v>
      </c>
      <c r="D322">
        <v>606</v>
      </c>
      <c r="E322" s="2" t="str">
        <f t="shared" ref="E322:E403" si="11">VLOOKUP($A322,$A$2:$L$403,ID_Jezik+9,1)</f>
        <v>dio 612</v>
      </c>
      <c r="F322" t="str">
        <f>REPT("  ",Aop!$C322)&amp;VLOOKUP($A322,$A$2:$L$403,ID_Jezik+6,1)</f>
        <v xml:space="preserve">    Od toga: prihodi od prodaje (pružanja) usluga na inostranom tržištu</v>
      </c>
      <c r="G322" t="s">
        <v>1540</v>
      </c>
      <c r="H322" t="s">
        <v>1577</v>
      </c>
      <c r="I322" t="s">
        <v>1662</v>
      </c>
      <c r="J322" s="104" t="s">
        <v>1616</v>
      </c>
      <c r="K322" s="104" t="s">
        <v>1629</v>
      </c>
      <c r="L322" s="104" t="s">
        <v>1642</v>
      </c>
    </row>
    <row r="323" spans="1:12" x14ac:dyDescent="0.2">
      <c r="A323">
        <f t="shared" si="10"/>
        <v>322</v>
      </c>
      <c r="B323" t="s">
        <v>821</v>
      </c>
      <c r="C323">
        <v>2</v>
      </c>
      <c r="D323">
        <v>607</v>
      </c>
      <c r="E323" s="2" t="str">
        <f t="shared" si="11"/>
        <v>dio 611</v>
      </c>
      <c r="F323" t="str">
        <f>REPT("  ",Aop!$C323)&amp;VLOOKUP($A323,$A$2:$L$403,ID_Jezik+6,1)</f>
        <v xml:space="preserve">    Prihodi od prodaje (pružanja) usluga u drugom entitetu ili Brčko Distriktu BiH</v>
      </c>
      <c r="G323" t="s">
        <v>1541</v>
      </c>
      <c r="H323" t="s">
        <v>1578</v>
      </c>
      <c r="I323" t="s">
        <v>1663</v>
      </c>
      <c r="J323" s="104" t="s">
        <v>1617</v>
      </c>
      <c r="K323" s="104" t="s">
        <v>1630</v>
      </c>
      <c r="L323" s="104" t="s">
        <v>1643</v>
      </c>
    </row>
    <row r="324" spans="1:12" x14ac:dyDescent="0.2">
      <c r="A324">
        <f t="shared" si="10"/>
        <v>323</v>
      </c>
      <c r="B324" t="s">
        <v>821</v>
      </c>
      <c r="C324">
        <v>0</v>
      </c>
      <c r="D324">
        <v>608</v>
      </c>
      <c r="E324" s="2">
        <f t="shared" si="11"/>
        <v>65</v>
      </c>
      <c r="F324" t="str">
        <f>REPT("  ",Aop!$C324)&amp;VLOOKUP($A324,$A$2:$L$403,ID_Jezik+6,1)</f>
        <v>OSTALI POSLOVNI PRIHODI (609+612+613+614+ 615+616+617)</v>
      </c>
      <c r="G324" t="s">
        <v>1542</v>
      </c>
      <c r="H324" t="s">
        <v>1579</v>
      </c>
      <c r="I324" t="s">
        <v>1664</v>
      </c>
      <c r="J324" s="104">
        <v>65</v>
      </c>
      <c r="K324" s="180">
        <v>65</v>
      </c>
      <c r="L324" s="104">
        <v>65</v>
      </c>
    </row>
    <row r="325" spans="1:12" x14ac:dyDescent="0.2">
      <c r="A325">
        <f t="shared" si="10"/>
        <v>324</v>
      </c>
      <c r="B325" t="s">
        <v>821</v>
      </c>
      <c r="C325">
        <v>1</v>
      </c>
      <c r="D325">
        <v>609</v>
      </c>
      <c r="E325" s="2">
        <f t="shared" si="11"/>
        <v>650</v>
      </c>
      <c r="F325" t="str">
        <f>REPT("  ",Aop!$C325)&amp;VLOOKUP($A325,$A$2:$L$403,ID_Jezik+6,1)</f>
        <v xml:space="preserve">  a) Prihodi od premija, subvencija, dotacija, regresa, kompenzacija i povraćaja poreskih dažbina</v>
      </c>
      <c r="G325" t="s">
        <v>1543</v>
      </c>
      <c r="H325" t="s">
        <v>1580</v>
      </c>
      <c r="I325" t="s">
        <v>1665</v>
      </c>
      <c r="J325" s="104">
        <v>650</v>
      </c>
      <c r="K325" s="180">
        <v>650</v>
      </c>
      <c r="L325" s="104">
        <v>650</v>
      </c>
    </row>
    <row r="326" spans="1:12" x14ac:dyDescent="0.2">
      <c r="A326">
        <f t="shared" si="10"/>
        <v>325</v>
      </c>
      <c r="B326" t="s">
        <v>821</v>
      </c>
      <c r="C326">
        <v>2</v>
      </c>
      <c r="D326">
        <v>610</v>
      </c>
      <c r="E326" s="2" t="str">
        <f t="shared" si="11"/>
        <v>dio 650</v>
      </c>
      <c r="F326" t="str">
        <f>REPT("  ",Aop!$C326)&amp;VLOOKUP($A326,$A$2:$L$403,ID_Jezik+6,1)</f>
        <v xml:space="preserve">    Od toga: prihodi po osnovu subvencija na proizvode (subvencije koje se mogu prikazati po jedinici proizvoda, npr. vozna karta, brašno, hljeb, mlijeko i dr.)</v>
      </c>
      <c r="G326" t="s">
        <v>1666</v>
      </c>
      <c r="H326" t="s">
        <v>1667</v>
      </c>
      <c r="I326" t="s">
        <v>1668</v>
      </c>
      <c r="J326" s="104" t="s">
        <v>400</v>
      </c>
      <c r="K326" s="104" t="s">
        <v>1483</v>
      </c>
      <c r="L326" s="104" t="s">
        <v>1644</v>
      </c>
    </row>
    <row r="327" spans="1:12" x14ac:dyDescent="0.2">
      <c r="A327">
        <f t="shared" si="10"/>
        <v>326</v>
      </c>
      <c r="B327" t="s">
        <v>821</v>
      </c>
      <c r="C327">
        <v>2</v>
      </c>
      <c r="D327">
        <v>611</v>
      </c>
      <c r="E327" s="2" t="str">
        <f t="shared" si="11"/>
        <v>dio 650</v>
      </c>
      <c r="F327" t="str">
        <f>REPT("  ",Aop!$C327)&amp;VLOOKUP($A327,$A$2:$L$403,ID_Jezik+6,1)</f>
        <v xml:space="preserve">    prihodi po osnovu subvencija na proizvodnju (na zapošljavanje, platu, kamatnu stopu, za smanjenje zagađenja i dr.)</v>
      </c>
      <c r="G327" t="s">
        <v>1544</v>
      </c>
      <c r="H327" t="s">
        <v>1581</v>
      </c>
      <c r="I327" t="s">
        <v>1669</v>
      </c>
      <c r="J327" s="104" t="s">
        <v>400</v>
      </c>
      <c r="K327" s="104" t="s">
        <v>1483</v>
      </c>
      <c r="L327" s="104" t="s">
        <v>1644</v>
      </c>
    </row>
    <row r="328" spans="1:12" x14ac:dyDescent="0.2">
      <c r="A328">
        <f t="shared" si="10"/>
        <v>327</v>
      </c>
      <c r="B328" t="s">
        <v>821</v>
      </c>
      <c r="C328">
        <v>1</v>
      </c>
      <c r="D328">
        <v>612</v>
      </c>
      <c r="E328" s="2">
        <f t="shared" si="11"/>
        <v>651</v>
      </c>
      <c r="F328" t="str">
        <f>REPT("  ",Aop!$C328)&amp;VLOOKUP($A328,$A$2:$L$403,ID_Jezik+6,1)</f>
        <v xml:space="preserve">  b) Prihod od zakupnina</v>
      </c>
      <c r="G328" t="s">
        <v>1670</v>
      </c>
      <c r="H328" t="s">
        <v>1671</v>
      </c>
      <c r="I328" t="s">
        <v>1672</v>
      </c>
      <c r="J328" s="104">
        <v>651</v>
      </c>
      <c r="K328" s="180">
        <v>651</v>
      </c>
      <c r="L328" s="104">
        <v>651</v>
      </c>
    </row>
    <row r="329" spans="1:12" x14ac:dyDescent="0.2">
      <c r="A329">
        <f t="shared" si="10"/>
        <v>328</v>
      </c>
      <c r="B329" t="s">
        <v>821</v>
      </c>
      <c r="C329">
        <v>1</v>
      </c>
      <c r="D329">
        <v>613</v>
      </c>
      <c r="E329" s="2">
        <f t="shared" si="11"/>
        <v>652</v>
      </c>
      <c r="F329" t="str">
        <f>REPT("  ",Aop!$C329)&amp;VLOOKUP($A329,$A$2:$L$403,ID_Jezik+6,1)</f>
        <v xml:space="preserve">  c) Prihod od donacija</v>
      </c>
      <c r="G329" t="s">
        <v>1673</v>
      </c>
      <c r="H329" t="s">
        <v>1674</v>
      </c>
      <c r="I329" t="s">
        <v>1675</v>
      </c>
      <c r="J329" s="104">
        <v>652</v>
      </c>
      <c r="K329" s="180">
        <v>652</v>
      </c>
      <c r="L329" s="104">
        <v>652</v>
      </c>
    </row>
    <row r="330" spans="1:12" x14ac:dyDescent="0.2">
      <c r="A330">
        <f t="shared" si="10"/>
        <v>329</v>
      </c>
      <c r="B330" t="s">
        <v>821</v>
      </c>
      <c r="C330">
        <v>1</v>
      </c>
      <c r="D330">
        <v>614</v>
      </c>
      <c r="E330" s="2">
        <f t="shared" si="11"/>
        <v>653</v>
      </c>
      <c r="F330" t="str">
        <f>REPT("  ",Aop!$C330)&amp;VLOOKUP($A330,$A$2:$L$403,ID_Jezik+6,1)</f>
        <v xml:space="preserve">  d) Prihod od članarina</v>
      </c>
      <c r="G330" t="s">
        <v>1676</v>
      </c>
      <c r="H330" t="s">
        <v>1677</v>
      </c>
      <c r="I330" t="s">
        <v>1678</v>
      </c>
      <c r="J330" s="104">
        <v>653</v>
      </c>
      <c r="K330" s="180">
        <v>653</v>
      </c>
      <c r="L330" s="104">
        <v>653</v>
      </c>
    </row>
    <row r="331" spans="1:12" x14ac:dyDescent="0.2">
      <c r="A331">
        <f t="shared" si="10"/>
        <v>330</v>
      </c>
      <c r="B331" t="s">
        <v>821</v>
      </c>
      <c r="C331">
        <v>1</v>
      </c>
      <c r="D331">
        <v>615</v>
      </c>
      <c r="E331" s="2">
        <f t="shared" si="11"/>
        <v>654</v>
      </c>
      <c r="F331" t="str">
        <f>REPT("  ",Aop!$C331)&amp;VLOOKUP($A331,$A$2:$L$403,ID_Jezik+6,1)</f>
        <v xml:space="preserve">  e) Prihod od tantijema i licenciranih prava</v>
      </c>
      <c r="G331" t="s">
        <v>1679</v>
      </c>
      <c r="H331" t="s">
        <v>1680</v>
      </c>
      <c r="I331" t="s">
        <v>1681</v>
      </c>
      <c r="J331" s="104">
        <v>654</v>
      </c>
      <c r="K331" s="180">
        <v>654</v>
      </c>
      <c r="L331" s="104">
        <v>654</v>
      </c>
    </row>
    <row r="332" spans="1:12" x14ac:dyDescent="0.2">
      <c r="A332">
        <f t="shared" si="10"/>
        <v>331</v>
      </c>
      <c r="B332" t="s">
        <v>821</v>
      </c>
      <c r="C332">
        <v>1</v>
      </c>
      <c r="D332">
        <v>616</v>
      </c>
      <c r="E332" s="2">
        <f t="shared" si="11"/>
        <v>655</v>
      </c>
      <c r="F332" t="str">
        <f>REPT("  ",Aop!$C332)&amp;VLOOKUP($A332,$A$2:$L$403,ID_Jezik+6,1)</f>
        <v xml:space="preserve">  f) Prihod iz namjenskih izvora finansiranja (iz budžeta, fondova i dr.)</v>
      </c>
      <c r="G332" t="s">
        <v>1682</v>
      </c>
      <c r="H332" t="s">
        <v>1683</v>
      </c>
      <c r="I332" t="s">
        <v>1684</v>
      </c>
      <c r="J332" s="104">
        <v>655</v>
      </c>
      <c r="K332" s="180">
        <v>655</v>
      </c>
      <c r="L332" s="104">
        <v>655</v>
      </c>
    </row>
    <row r="333" spans="1:12" x14ac:dyDescent="0.2">
      <c r="A333">
        <f t="shared" si="10"/>
        <v>332</v>
      </c>
      <c r="B333" t="s">
        <v>821</v>
      </c>
      <c r="C333">
        <v>1</v>
      </c>
      <c r="D333">
        <v>617</v>
      </c>
      <c r="E333" s="2">
        <f t="shared" si="11"/>
        <v>659</v>
      </c>
      <c r="F333" t="str">
        <f>REPT("  ",Aop!$C333)&amp;VLOOKUP($A333,$A$2:$L$403,ID_Jezik+6,1)</f>
        <v xml:space="preserve">  g) Ostali poslovni prihodi po drugim osnovima</v>
      </c>
      <c r="G333" t="s">
        <v>1685</v>
      </c>
      <c r="H333" t="s">
        <v>1686</v>
      </c>
      <c r="I333" t="s">
        <v>1687</v>
      </c>
      <c r="J333" s="104">
        <v>659</v>
      </c>
      <c r="K333" s="180">
        <v>659</v>
      </c>
      <c r="L333" s="104">
        <v>659</v>
      </c>
    </row>
    <row r="334" spans="1:12" x14ac:dyDescent="0.2">
      <c r="A334">
        <f t="shared" si="10"/>
        <v>333</v>
      </c>
      <c r="B334" t="s">
        <v>821</v>
      </c>
      <c r="C334">
        <v>0</v>
      </c>
      <c r="D334">
        <v>618</v>
      </c>
      <c r="E334" s="2" t="str">
        <f t="shared" si="11"/>
        <v>66 i 67</v>
      </c>
      <c r="F334" t="str">
        <f>REPT("  ",Aop!$C334)&amp;VLOOKUP($A334,$A$2:$L$403,ID_Jezik+6,1)</f>
        <v>FINANSIJSKI I OSTALI PRIHODI</v>
      </c>
      <c r="G334" t="s">
        <v>1545</v>
      </c>
      <c r="H334" t="s">
        <v>1582</v>
      </c>
      <c r="I334" t="s">
        <v>1688</v>
      </c>
      <c r="J334" s="104" t="s">
        <v>1618</v>
      </c>
      <c r="K334" s="104" t="s">
        <v>1631</v>
      </c>
      <c r="L334" s="104" t="s">
        <v>1653</v>
      </c>
    </row>
    <row r="335" spans="1:12" x14ac:dyDescent="0.2">
      <c r="A335">
        <f t="shared" si="10"/>
        <v>334</v>
      </c>
      <c r="B335" t="s">
        <v>821</v>
      </c>
      <c r="C335">
        <v>1</v>
      </c>
      <c r="D335">
        <v>619</v>
      </c>
      <c r="E335" s="2" t="str">
        <f t="shared" si="11"/>
        <v>dio 660</v>
      </c>
      <c r="F335" t="str">
        <f>REPT("  ",Aop!$C335)&amp;VLOOKUP($A335,$A$2:$L$403,ID_Jezik+6,1)</f>
        <v xml:space="preserve">  Od toga: prihodi od učešća u dobiti (dividendi)</v>
      </c>
      <c r="G335" t="s">
        <v>1546</v>
      </c>
      <c r="H335" t="s">
        <v>1583</v>
      </c>
      <c r="I335" t="s">
        <v>1689</v>
      </c>
      <c r="J335" s="104" t="s">
        <v>1619</v>
      </c>
      <c r="K335" s="104" t="s">
        <v>1632</v>
      </c>
      <c r="L335" s="104" t="s">
        <v>1645</v>
      </c>
    </row>
    <row r="336" spans="1:12" x14ac:dyDescent="0.2">
      <c r="A336">
        <f t="shared" si="10"/>
        <v>335</v>
      </c>
      <c r="B336" t="s">
        <v>821</v>
      </c>
      <c r="C336">
        <v>1</v>
      </c>
      <c r="D336">
        <v>620</v>
      </c>
      <c r="E336" s="2" t="str">
        <f t="shared" si="11"/>
        <v>dio 670</v>
      </c>
      <c r="F336" t="str">
        <f>REPT("  ",Aop!$C336)&amp;VLOOKUP($A336,$A$2:$L$403,ID_Jezik+6,1)</f>
        <v xml:space="preserve">  Dobici na osnovu prodaje nekretnina, postrojenja i opreme</v>
      </c>
      <c r="G336" t="s">
        <v>1547</v>
      </c>
      <c r="H336" t="s">
        <v>1584</v>
      </c>
      <c r="I336" t="s">
        <v>1690</v>
      </c>
      <c r="J336" s="104" t="s">
        <v>1620</v>
      </c>
      <c r="K336" s="104" t="s">
        <v>1633</v>
      </c>
      <c r="L336" s="104" t="s">
        <v>1646</v>
      </c>
    </row>
    <row r="337" spans="1:12" x14ac:dyDescent="0.2">
      <c r="A337">
        <f t="shared" si="10"/>
        <v>336</v>
      </c>
      <c r="B337" t="s">
        <v>821</v>
      </c>
      <c r="C337">
        <v>1</v>
      </c>
      <c r="D337">
        <v>621</v>
      </c>
      <c r="E337" s="2">
        <f t="shared" si="11"/>
        <v>678</v>
      </c>
      <c r="F337" t="str">
        <f>REPT("  ",Aop!$C337)&amp;VLOOKUP($A337,$A$2:$L$403,ID_Jezik+6,1)</f>
        <v xml:space="preserve">  Prihodi na osnovu ugovorene zaštite od rizika</v>
      </c>
      <c r="G337" t="s">
        <v>1691</v>
      </c>
      <c r="H337" t="s">
        <v>1692</v>
      </c>
      <c r="I337" t="s">
        <v>1693</v>
      </c>
      <c r="J337" s="104">
        <v>678</v>
      </c>
      <c r="K337" s="180">
        <v>678</v>
      </c>
      <c r="L337" s="104">
        <v>678</v>
      </c>
    </row>
    <row r="338" spans="1:12" x14ac:dyDescent="0.2">
      <c r="A338">
        <f t="shared" si="10"/>
        <v>337</v>
      </c>
      <c r="B338" t="s">
        <v>821</v>
      </c>
      <c r="C338">
        <v>0</v>
      </c>
      <c r="D338">
        <v>622</v>
      </c>
      <c r="E338" s="2">
        <f t="shared" si="11"/>
        <v>51</v>
      </c>
      <c r="F338" t="str">
        <f>REPT("  ",Aop!$C338)&amp;VLOOKUP($A338,$A$2:$L$403,ID_Jezik+6,1)</f>
        <v>TROŠKOVI MATERIJALA</v>
      </c>
      <c r="G338" t="s">
        <v>1548</v>
      </c>
      <c r="H338" t="s">
        <v>1585</v>
      </c>
      <c r="I338" t="s">
        <v>1694</v>
      </c>
      <c r="J338" s="104">
        <v>51</v>
      </c>
      <c r="K338" s="180">
        <v>51</v>
      </c>
      <c r="L338" s="104">
        <v>51</v>
      </c>
    </row>
    <row r="339" spans="1:12" x14ac:dyDescent="0.2">
      <c r="A339">
        <f t="shared" si="10"/>
        <v>338</v>
      </c>
      <c r="B339" t="s">
        <v>821</v>
      </c>
      <c r="C339">
        <v>2</v>
      </c>
      <c r="D339">
        <v>623</v>
      </c>
      <c r="E339" s="2">
        <f t="shared" si="11"/>
        <v>513</v>
      </c>
      <c r="F339" t="str">
        <f>REPT("  ",Aop!$C339)&amp;VLOOKUP($A339,$A$2:$L$403,ID_Jezik+6,1)</f>
        <v xml:space="preserve">    Od toga: troškovi goriva i energije</v>
      </c>
      <c r="G339" t="s">
        <v>1549</v>
      </c>
      <c r="H339" t="s">
        <v>1586</v>
      </c>
      <c r="I339" t="s">
        <v>1695</v>
      </c>
      <c r="J339" s="104">
        <v>513</v>
      </c>
      <c r="K339" s="180">
        <v>513</v>
      </c>
      <c r="L339" s="104">
        <v>513</v>
      </c>
    </row>
    <row r="340" spans="1:12" x14ac:dyDescent="0.2">
      <c r="A340">
        <f t="shared" si="10"/>
        <v>339</v>
      </c>
      <c r="B340" t="s">
        <v>821</v>
      </c>
      <c r="C340">
        <v>0</v>
      </c>
      <c r="D340">
        <v>624</v>
      </c>
      <c r="E340" s="2">
        <f t="shared" si="11"/>
        <v>52</v>
      </c>
      <c r="F340" t="str">
        <f>REPT("  ",Aop!$C340)&amp;VLOOKUP($A340,$A$2:$L$403,ID_Jezik+6,1)</f>
        <v>TROŠKOVI ZARADA, NAKNADA ZARADA I OSTALIH LIČNIH RASHODA</v>
      </c>
      <c r="G340" t="s">
        <v>1550</v>
      </c>
      <c r="H340" t="s">
        <v>1587</v>
      </c>
      <c r="I340" t="s">
        <v>1696</v>
      </c>
      <c r="J340" s="104">
        <v>52</v>
      </c>
      <c r="K340" s="180">
        <v>52</v>
      </c>
      <c r="L340" s="104">
        <v>52</v>
      </c>
    </row>
    <row r="341" spans="1:12" x14ac:dyDescent="0.2">
      <c r="A341">
        <f t="shared" si="10"/>
        <v>340</v>
      </c>
      <c r="B341" t="s">
        <v>821</v>
      </c>
      <c r="C341">
        <v>1</v>
      </c>
      <c r="D341">
        <v>625</v>
      </c>
      <c r="E341" s="2">
        <f t="shared" si="11"/>
        <v>522</v>
      </c>
      <c r="F341" t="str">
        <f>REPT("  ",Aop!$C341)&amp;VLOOKUP($A341,$A$2:$L$403,ID_Jezik+6,1)</f>
        <v xml:space="preserve">  Od toga: troškovi bruto naknada članovima upravnog i nadzornog odbora</v>
      </c>
      <c r="G341" t="s">
        <v>1551</v>
      </c>
      <c r="H341" t="s">
        <v>1588</v>
      </c>
      <c r="I341" t="s">
        <v>1697</v>
      </c>
      <c r="J341" s="104">
        <v>522</v>
      </c>
      <c r="K341" s="180">
        <v>522</v>
      </c>
      <c r="L341" s="104">
        <v>522</v>
      </c>
    </row>
    <row r="342" spans="1:12" x14ac:dyDescent="0.2">
      <c r="A342">
        <f t="shared" si="10"/>
        <v>341</v>
      </c>
      <c r="B342" t="s">
        <v>821</v>
      </c>
      <c r="C342">
        <v>1</v>
      </c>
      <c r="D342">
        <v>626</v>
      </c>
      <c r="E342" s="2" t="str">
        <f t="shared" si="11"/>
        <v>dio 529</v>
      </c>
      <c r="F342" t="str">
        <f>REPT("  ",Aop!$C342)&amp;VLOOKUP($A342,$A$2:$L$403,ID_Jezik+6,1)</f>
        <v xml:space="preserve">  Troškovi dnevnica na službenom putu</v>
      </c>
      <c r="G342" t="s">
        <v>1552</v>
      </c>
      <c r="H342" t="s">
        <v>1589</v>
      </c>
      <c r="I342" t="s">
        <v>1698</v>
      </c>
      <c r="J342" s="104" t="s">
        <v>397</v>
      </c>
      <c r="K342" s="104" t="s">
        <v>1479</v>
      </c>
      <c r="L342" s="104" t="s">
        <v>1647</v>
      </c>
    </row>
    <row r="343" spans="1:12" x14ac:dyDescent="0.2">
      <c r="A343">
        <f t="shared" si="10"/>
        <v>342</v>
      </c>
      <c r="B343" t="s">
        <v>821</v>
      </c>
      <c r="C343">
        <v>1</v>
      </c>
      <c r="D343">
        <v>627</v>
      </c>
      <c r="E343" s="2" t="str">
        <f t="shared" si="11"/>
        <v>dio 529</v>
      </c>
      <c r="F343" t="str">
        <f>REPT("  ",Aop!$C343)&amp;VLOOKUP($A343,$A$2:$L$403,ID_Jezik+6,1)</f>
        <v xml:space="preserve">  Troškovi smještaja, ishrane i prevoza na službenom putu</v>
      </c>
      <c r="G343" t="s">
        <v>1553</v>
      </c>
      <c r="H343" t="s">
        <v>1590</v>
      </c>
      <c r="I343" t="s">
        <v>1699</v>
      </c>
      <c r="J343" s="104" t="s">
        <v>397</v>
      </c>
      <c r="K343" s="104" t="s">
        <v>1479</v>
      </c>
      <c r="L343" s="104" t="s">
        <v>1647</v>
      </c>
    </row>
    <row r="344" spans="1:12" x14ac:dyDescent="0.2">
      <c r="A344">
        <f t="shared" si="10"/>
        <v>343</v>
      </c>
      <c r="B344" t="s">
        <v>821</v>
      </c>
      <c r="C344">
        <v>0</v>
      </c>
      <c r="D344">
        <v>628</v>
      </c>
      <c r="E344" s="2">
        <f t="shared" si="11"/>
        <v>53</v>
      </c>
      <c r="F344" t="str">
        <f>REPT("  ",Aop!$C344)&amp;VLOOKUP($A344,$A$2:$L$403,ID_Jezik+6,1)</f>
        <v>TROŠKOVI PROIZVODNIH USLUGA (629+630+631+632+633+634+635+636)</v>
      </c>
      <c r="G344" t="s">
        <v>1554</v>
      </c>
      <c r="H344" t="s">
        <v>1591</v>
      </c>
      <c r="I344" t="s">
        <v>1700</v>
      </c>
      <c r="J344" s="180">
        <v>53</v>
      </c>
      <c r="K344" s="180">
        <v>53</v>
      </c>
      <c r="L344" s="180">
        <v>53</v>
      </c>
    </row>
    <row r="345" spans="1:12" x14ac:dyDescent="0.2">
      <c r="A345">
        <f t="shared" si="10"/>
        <v>344</v>
      </c>
      <c r="B345" t="s">
        <v>821</v>
      </c>
      <c r="C345">
        <v>1</v>
      </c>
      <c r="D345">
        <v>629</v>
      </c>
      <c r="E345" s="2">
        <f t="shared" si="11"/>
        <v>530</v>
      </c>
      <c r="F345" t="str">
        <f>REPT("  ",Aop!$C345)&amp;VLOOKUP($A345,$A$2:$L$403,ID_Jezik+6,1)</f>
        <v xml:space="preserve">  a) Troškovi usluga na izradi učinaka</v>
      </c>
      <c r="G345" t="s">
        <v>1555</v>
      </c>
      <c r="H345" t="s">
        <v>1592</v>
      </c>
      <c r="I345" t="s">
        <v>1701</v>
      </c>
      <c r="J345" s="180">
        <v>530</v>
      </c>
      <c r="K345" s="180">
        <v>530</v>
      </c>
      <c r="L345" s="180">
        <v>530</v>
      </c>
    </row>
    <row r="346" spans="1:12" x14ac:dyDescent="0.2">
      <c r="A346">
        <f t="shared" si="10"/>
        <v>345</v>
      </c>
      <c r="B346" t="s">
        <v>821</v>
      </c>
      <c r="C346">
        <v>1</v>
      </c>
      <c r="D346">
        <v>630</v>
      </c>
      <c r="E346" s="2">
        <f t="shared" si="11"/>
        <v>531</v>
      </c>
      <c r="F346" t="str">
        <f>REPT("  ",Aop!$C346)&amp;VLOOKUP($A346,$A$2:$L$403,ID_Jezik+6,1)</f>
        <v xml:space="preserve">  b) Troškovi transportnih usluga</v>
      </c>
      <c r="G346" t="s">
        <v>1556</v>
      </c>
      <c r="H346" t="s">
        <v>1593</v>
      </c>
      <c r="I346" t="s">
        <v>1702</v>
      </c>
      <c r="J346" s="104">
        <v>531</v>
      </c>
      <c r="K346" s="180">
        <v>531</v>
      </c>
      <c r="L346" s="104">
        <v>531</v>
      </c>
    </row>
    <row r="347" spans="1:12" x14ac:dyDescent="0.2">
      <c r="A347">
        <f t="shared" si="10"/>
        <v>346</v>
      </c>
      <c r="B347" t="s">
        <v>821</v>
      </c>
      <c r="C347">
        <v>1</v>
      </c>
      <c r="D347">
        <v>631</v>
      </c>
      <c r="E347" s="2" t="str">
        <f t="shared" si="11"/>
        <v>dio 532</v>
      </c>
      <c r="F347" t="str">
        <f>REPT("  ",Aop!$C347)&amp;VLOOKUP($A347,$A$2:$L$403,ID_Jezik+6,1)</f>
        <v xml:space="preserve">  c) Troškovi za usluge tekućeg održavanja osnovnih sredstava</v>
      </c>
      <c r="G347" t="s">
        <v>1703</v>
      </c>
      <c r="H347" t="s">
        <v>1594</v>
      </c>
      <c r="I347" t="s">
        <v>1704</v>
      </c>
      <c r="J347" s="104" t="s">
        <v>1621</v>
      </c>
      <c r="K347" s="104" t="s">
        <v>1634</v>
      </c>
      <c r="L347" s="104" t="s">
        <v>1648</v>
      </c>
    </row>
    <row r="348" spans="1:12" s="164" customFormat="1" x14ac:dyDescent="0.2">
      <c r="A348" s="165">
        <f t="shared" ref="A348:A379" si="12">ROW()-ROW($A$1)</f>
        <v>347</v>
      </c>
      <c r="B348" s="164" t="s">
        <v>821</v>
      </c>
      <c r="C348" s="165">
        <v>1</v>
      </c>
      <c r="D348" s="165">
        <v>632</v>
      </c>
      <c r="E348" s="166" t="str">
        <f t="shared" ref="E348:E379" si="13">VLOOKUP($A348,$A$2:$L$403,ID_Jezik+9,1)</f>
        <v>dio 532</v>
      </c>
      <c r="F348" s="165" t="str">
        <f>REPT("  ",Aop!$C348)&amp;VLOOKUP($A348,$A$2:$L$403,ID_Jezik+6,1)</f>
        <v xml:space="preserve">  d) Troškovi za usluge investicionog održavanja osnovnih sredstava</v>
      </c>
      <c r="G348" s="164" t="s">
        <v>1705</v>
      </c>
      <c r="H348" s="164" t="s">
        <v>1595</v>
      </c>
      <c r="I348" s="164" t="s">
        <v>1706</v>
      </c>
      <c r="J348" s="167" t="s">
        <v>1621</v>
      </c>
      <c r="K348" s="167" t="s">
        <v>1634</v>
      </c>
      <c r="L348" s="167" t="s">
        <v>1648</v>
      </c>
    </row>
    <row r="349" spans="1:12" s="164" customFormat="1" x14ac:dyDescent="0.2">
      <c r="A349" s="165">
        <f t="shared" si="12"/>
        <v>348</v>
      </c>
      <c r="B349" s="164" t="s">
        <v>821</v>
      </c>
      <c r="C349" s="165">
        <v>1</v>
      </c>
      <c r="D349" s="165">
        <v>633</v>
      </c>
      <c r="E349" s="166">
        <f t="shared" si="13"/>
        <v>533</v>
      </c>
      <c r="F349" s="165" t="str">
        <f>REPT("  ",Aop!$C349)&amp;VLOOKUP($A349,$A$2:$L$403,ID_Jezik+6,1)</f>
        <v xml:space="preserve">  e) Troškovi zakupa</v>
      </c>
      <c r="G349" s="164" t="s">
        <v>1707</v>
      </c>
      <c r="H349" s="164" t="s">
        <v>1596</v>
      </c>
      <c r="I349" s="164" t="s">
        <v>1708</v>
      </c>
      <c r="J349" s="167">
        <v>533</v>
      </c>
      <c r="K349" s="181">
        <v>533</v>
      </c>
      <c r="L349" s="167">
        <v>533</v>
      </c>
    </row>
    <row r="350" spans="1:12" s="164" customFormat="1" x14ac:dyDescent="0.2">
      <c r="A350" s="165">
        <f t="shared" si="12"/>
        <v>349</v>
      </c>
      <c r="B350" s="164" t="s">
        <v>821</v>
      </c>
      <c r="C350" s="165">
        <v>1</v>
      </c>
      <c r="D350" s="165">
        <v>634</v>
      </c>
      <c r="E350" s="166" t="str">
        <f t="shared" si="13"/>
        <v>534 i 535</v>
      </c>
      <c r="F350" s="165" t="str">
        <f>REPT("  ",Aop!$C350)&amp;VLOOKUP($A350,$A$2:$L$403,ID_Jezik+6,1)</f>
        <v xml:space="preserve">  f) Troškovi sajmova, reklame i propagande</v>
      </c>
      <c r="G350" s="164" t="s">
        <v>1709</v>
      </c>
      <c r="H350" s="164" t="s">
        <v>1597</v>
      </c>
      <c r="I350" s="164" t="s">
        <v>1710</v>
      </c>
      <c r="J350" s="167" t="s">
        <v>1622</v>
      </c>
      <c r="K350" s="167" t="s">
        <v>1635</v>
      </c>
      <c r="L350" s="167" t="s">
        <v>1654</v>
      </c>
    </row>
    <row r="351" spans="1:12" s="164" customFormat="1" x14ac:dyDescent="0.2">
      <c r="A351" s="165">
        <f t="shared" si="12"/>
        <v>350</v>
      </c>
      <c r="B351" s="164" t="s">
        <v>821</v>
      </c>
      <c r="C351" s="165">
        <v>1</v>
      </c>
      <c r="D351" s="165">
        <v>635</v>
      </c>
      <c r="E351" s="166" t="str">
        <f t="shared" si="13"/>
        <v>536 i 537</v>
      </c>
      <c r="F351" s="165" t="str">
        <f>REPT("  ",Aop!$C351)&amp;VLOOKUP($A351,$A$2:$L$403,ID_Jezik+6,1)</f>
        <v xml:space="preserve">  g) Troškovi istraživanja i troškovi razvoja koji se ne kapitalizuju</v>
      </c>
      <c r="G351" s="164" t="s">
        <v>1711</v>
      </c>
      <c r="H351" s="164" t="s">
        <v>1598</v>
      </c>
      <c r="I351" s="164" t="s">
        <v>1712</v>
      </c>
      <c r="J351" s="167" t="s">
        <v>1623</v>
      </c>
      <c r="K351" s="167" t="s">
        <v>1636</v>
      </c>
      <c r="L351" s="167" t="s">
        <v>1655</v>
      </c>
    </row>
    <row r="352" spans="1:12" s="164" customFormat="1" x14ac:dyDescent="0.2">
      <c r="A352" s="165">
        <f t="shared" si="12"/>
        <v>351</v>
      </c>
      <c r="B352" s="164" t="s">
        <v>821</v>
      </c>
      <c r="C352" s="165">
        <v>1</v>
      </c>
      <c r="D352" s="165">
        <v>636</v>
      </c>
      <c r="E352" s="166">
        <f t="shared" si="13"/>
        <v>539</v>
      </c>
      <c r="F352" s="165" t="str">
        <f>REPT("  ",Aop!$C352)&amp;VLOOKUP($A352,$A$2:$L$403,ID_Jezik+6,1)</f>
        <v xml:space="preserve">  h) Troškovi ostalih usluga</v>
      </c>
      <c r="G352" s="164" t="s">
        <v>1713</v>
      </c>
      <c r="H352" s="164" t="s">
        <v>1599</v>
      </c>
      <c r="I352" s="164" t="s">
        <v>1714</v>
      </c>
      <c r="J352" s="167">
        <v>539</v>
      </c>
      <c r="K352" s="181">
        <v>539</v>
      </c>
      <c r="L352" s="167">
        <v>539</v>
      </c>
    </row>
    <row r="353" spans="1:12" s="164" customFormat="1" x14ac:dyDescent="0.2">
      <c r="A353" s="165">
        <f t="shared" si="12"/>
        <v>352</v>
      </c>
      <c r="B353" s="164" t="s">
        <v>821</v>
      </c>
      <c r="C353" s="165">
        <v>2</v>
      </c>
      <c r="D353" s="165">
        <v>637</v>
      </c>
      <c r="E353" s="166" t="str">
        <f t="shared" si="13"/>
        <v>dio 539</v>
      </c>
      <c r="F353" s="165" t="str">
        <f>REPT("  ",Aop!$C353)&amp;VLOOKUP($A353,$A$2:$L$403,ID_Jezik+6,1)</f>
        <v xml:space="preserve">    Od toga: proizvodne usluge po ugovoru o povremenim i privremenim poslovima</v>
      </c>
      <c r="G353" s="164" t="s">
        <v>1557</v>
      </c>
      <c r="H353" s="164" t="s">
        <v>1600</v>
      </c>
      <c r="I353" s="164" t="s">
        <v>1715</v>
      </c>
      <c r="J353" s="167" t="s">
        <v>1624</v>
      </c>
      <c r="K353" s="167" t="s">
        <v>1637</v>
      </c>
      <c r="L353" s="167" t="s">
        <v>1649</v>
      </c>
    </row>
    <row r="354" spans="1:12" s="164" customFormat="1" x14ac:dyDescent="0.2">
      <c r="A354" s="165">
        <f t="shared" si="12"/>
        <v>353</v>
      </c>
      <c r="B354" s="164" t="s">
        <v>821</v>
      </c>
      <c r="C354" s="165">
        <v>2</v>
      </c>
      <c r="D354" s="165">
        <v>638</v>
      </c>
      <c r="E354" s="166" t="str">
        <f t="shared" si="13"/>
        <v>dio 539</v>
      </c>
      <c r="F354" s="165" t="str">
        <f>REPT("  ",Aop!$C354)&amp;VLOOKUP($A354,$A$2:$L$403,ID_Jezik+6,1)</f>
        <v xml:space="preserve">    Naknada za autorska djela koja čine proizvodne usluge</v>
      </c>
      <c r="G354" s="164" t="s">
        <v>1558</v>
      </c>
      <c r="H354" s="164" t="s">
        <v>1601</v>
      </c>
      <c r="I354" s="164" t="s">
        <v>1716</v>
      </c>
      <c r="J354" s="167" t="s">
        <v>1624</v>
      </c>
      <c r="K354" s="167" t="s">
        <v>1637</v>
      </c>
      <c r="L354" s="167" t="s">
        <v>1649</v>
      </c>
    </row>
    <row r="355" spans="1:12" s="164" customFormat="1" x14ac:dyDescent="0.2">
      <c r="A355" s="165">
        <f t="shared" si="12"/>
        <v>354</v>
      </c>
      <c r="B355" s="164" t="s">
        <v>821</v>
      </c>
      <c r="C355" s="165">
        <v>0</v>
      </c>
      <c r="D355" s="165">
        <v>639</v>
      </c>
      <c r="E355" s="166">
        <f t="shared" si="13"/>
        <v>55</v>
      </c>
      <c r="F355" s="165" t="str">
        <f>REPT("  ",Aop!$C355)&amp;VLOOKUP($A355,$A$2:$L$403,ID_Jezik+6,1)</f>
        <v>NEMATERIJALNI TROŠKOVI (640+642+643+644+645+646+647+648)</v>
      </c>
      <c r="G355" s="164" t="s">
        <v>1559</v>
      </c>
      <c r="H355" s="164" t="s">
        <v>1602</v>
      </c>
      <c r="I355" s="164" t="s">
        <v>1717</v>
      </c>
      <c r="J355" s="167">
        <v>55</v>
      </c>
      <c r="K355" s="181">
        <v>55</v>
      </c>
      <c r="L355" s="167">
        <v>55</v>
      </c>
    </row>
    <row r="356" spans="1:12" s="164" customFormat="1" x14ac:dyDescent="0.2">
      <c r="A356" s="165">
        <f t="shared" si="12"/>
        <v>355</v>
      </c>
      <c r="B356" s="164" t="s">
        <v>821</v>
      </c>
      <c r="C356" s="165">
        <v>1</v>
      </c>
      <c r="D356" s="165">
        <v>640</v>
      </c>
      <c r="E356" s="166">
        <f t="shared" si="13"/>
        <v>550</v>
      </c>
      <c r="F356" s="165" t="str">
        <f>REPT("  ",Aop!$C356)&amp;VLOOKUP($A356,$A$2:$L$403,ID_Jezik+6,1)</f>
        <v xml:space="preserve">  Troškovi neproizvodnih usluga</v>
      </c>
      <c r="G356" s="164" t="s">
        <v>591</v>
      </c>
      <c r="H356" s="164" t="s">
        <v>1400</v>
      </c>
      <c r="I356" s="164" t="s">
        <v>1718</v>
      </c>
      <c r="J356" s="167">
        <v>550</v>
      </c>
      <c r="K356" s="181">
        <v>550</v>
      </c>
      <c r="L356" s="167">
        <v>550</v>
      </c>
    </row>
    <row r="357" spans="1:12" s="164" customFormat="1" x14ac:dyDescent="0.2">
      <c r="A357" s="165">
        <f t="shared" si="12"/>
        <v>356</v>
      </c>
      <c r="B357" s="164" t="s">
        <v>821</v>
      </c>
      <c r="C357" s="165">
        <v>2</v>
      </c>
      <c r="D357" s="165">
        <v>641</v>
      </c>
      <c r="E357" s="166" t="str">
        <f t="shared" si="13"/>
        <v>dio 550</v>
      </c>
      <c r="F357" s="165" t="str">
        <f>REPT("  ",Aop!$C357)&amp;VLOOKUP($A357,$A$2:$L$403,ID_Jezik+6,1)</f>
        <v xml:space="preserve">    Od toga: troškovi stručnog obrazovanja i usavršavanja zaposlenih</v>
      </c>
      <c r="G357" s="164" t="s">
        <v>1719</v>
      </c>
      <c r="H357" s="164" t="s">
        <v>1720</v>
      </c>
      <c r="I357" s="164" t="s">
        <v>1721</v>
      </c>
      <c r="J357" s="167" t="s">
        <v>590</v>
      </c>
      <c r="K357" s="167" t="s">
        <v>1480</v>
      </c>
      <c r="L357" s="167" t="s">
        <v>1650</v>
      </c>
    </row>
    <row r="358" spans="1:12" s="164" customFormat="1" x14ac:dyDescent="0.2">
      <c r="A358" s="165">
        <f t="shared" si="12"/>
        <v>357</v>
      </c>
      <c r="B358" s="164" t="s">
        <v>821</v>
      </c>
      <c r="C358" s="165">
        <v>1</v>
      </c>
      <c r="D358" s="165">
        <v>642</v>
      </c>
      <c r="E358" s="166">
        <f t="shared" si="13"/>
        <v>551</v>
      </c>
      <c r="F358" s="165" t="str">
        <f>REPT("  ",Aop!$C358)&amp;VLOOKUP($A358,$A$2:$L$403,ID_Jezik+6,1)</f>
        <v xml:space="preserve">  Troškovi reprezentacije</v>
      </c>
      <c r="G358" s="164" t="s">
        <v>592</v>
      </c>
      <c r="H358" s="164" t="s">
        <v>1401</v>
      </c>
      <c r="I358" s="164" t="s">
        <v>1722</v>
      </c>
      <c r="J358" s="167">
        <v>551</v>
      </c>
      <c r="K358" s="181">
        <v>551</v>
      </c>
      <c r="L358" s="167">
        <v>551</v>
      </c>
    </row>
    <row r="359" spans="1:12" s="164" customFormat="1" x14ac:dyDescent="0.2">
      <c r="A359" s="165">
        <f t="shared" si="12"/>
        <v>358</v>
      </c>
      <c r="B359" s="164" t="s">
        <v>821</v>
      </c>
      <c r="C359" s="165">
        <v>1</v>
      </c>
      <c r="D359" s="165">
        <v>643</v>
      </c>
      <c r="E359" s="166">
        <f t="shared" si="13"/>
        <v>552</v>
      </c>
      <c r="F359" s="165" t="str">
        <f>REPT("  ",Aop!$C359)&amp;VLOOKUP($A359,$A$2:$L$403,ID_Jezik+6,1)</f>
        <v xml:space="preserve">  Troškovi premije osiguranja</v>
      </c>
      <c r="G359" s="164" t="s">
        <v>1560</v>
      </c>
      <c r="H359" s="164" t="s">
        <v>1603</v>
      </c>
      <c r="I359" s="164" t="s">
        <v>1723</v>
      </c>
      <c r="J359" s="167">
        <v>552</v>
      </c>
      <c r="K359" s="181">
        <v>552</v>
      </c>
      <c r="L359" s="167">
        <v>552</v>
      </c>
    </row>
    <row r="360" spans="1:12" s="164" customFormat="1" x14ac:dyDescent="0.2">
      <c r="A360" s="165">
        <f t="shared" si="12"/>
        <v>359</v>
      </c>
      <c r="B360" s="164" t="s">
        <v>821</v>
      </c>
      <c r="C360" s="165">
        <v>1</v>
      </c>
      <c r="D360" s="165">
        <v>644</v>
      </c>
      <c r="E360" s="166">
        <f t="shared" si="13"/>
        <v>553</v>
      </c>
      <c r="F360" s="165" t="str">
        <f>REPT("  ",Aop!$C360)&amp;VLOOKUP($A360,$A$2:$L$403,ID_Jezik+6,1)</f>
        <v xml:space="preserve">  Troškovi platnog prometa</v>
      </c>
      <c r="G360" s="164" t="s">
        <v>593</v>
      </c>
      <c r="H360" s="164" t="s">
        <v>1402</v>
      </c>
      <c r="I360" s="164" t="s">
        <v>1724</v>
      </c>
      <c r="J360" s="167">
        <v>553</v>
      </c>
      <c r="K360" s="181">
        <v>553</v>
      </c>
      <c r="L360" s="167">
        <v>553</v>
      </c>
    </row>
    <row r="361" spans="1:12" s="164" customFormat="1" x14ac:dyDescent="0.2">
      <c r="A361" s="165">
        <f t="shared" si="12"/>
        <v>360</v>
      </c>
      <c r="B361" s="164" t="s">
        <v>821</v>
      </c>
      <c r="C361" s="165">
        <v>1</v>
      </c>
      <c r="D361" s="165">
        <v>645</v>
      </c>
      <c r="E361" s="166">
        <f t="shared" si="13"/>
        <v>554</v>
      </c>
      <c r="F361" s="165" t="str">
        <f>REPT("  ",Aop!$C361)&amp;VLOOKUP($A361,$A$2:$L$403,ID_Jezik+6,1)</f>
        <v xml:space="preserve">  Troškovi članarina</v>
      </c>
      <c r="G361" s="164" t="s">
        <v>594</v>
      </c>
      <c r="H361" s="164" t="s">
        <v>1403</v>
      </c>
      <c r="I361" s="164" t="s">
        <v>1725</v>
      </c>
      <c r="J361" s="167">
        <v>554</v>
      </c>
      <c r="K361" s="181">
        <v>554</v>
      </c>
      <c r="L361" s="167">
        <v>554</v>
      </c>
    </row>
    <row r="362" spans="1:12" s="164" customFormat="1" x14ac:dyDescent="0.2">
      <c r="A362" s="165">
        <f t="shared" si="12"/>
        <v>361</v>
      </c>
      <c r="B362" s="164" t="s">
        <v>821</v>
      </c>
      <c r="C362" s="165">
        <v>1</v>
      </c>
      <c r="D362" s="165">
        <v>646</v>
      </c>
      <c r="E362" s="166" t="str">
        <f t="shared" si="13"/>
        <v>dio 555</v>
      </c>
      <c r="F362" s="165" t="str">
        <f>REPT("  ",Aop!$C362)&amp;VLOOKUP($A362,$A$2:$L$403,ID_Jezik+6,1)</f>
        <v xml:space="preserve">  Troškovi poreza na proizvode, carine, boravišne takse, porez na igre na sreću i sl.</v>
      </c>
      <c r="G362" s="164" t="s">
        <v>1561</v>
      </c>
      <c r="H362" s="164" t="s">
        <v>1604</v>
      </c>
      <c r="I362" s="164" t="s">
        <v>1726</v>
      </c>
      <c r="J362" s="167" t="s">
        <v>1625</v>
      </c>
      <c r="K362" s="167" t="s">
        <v>1638</v>
      </c>
      <c r="L362" s="167" t="s">
        <v>1651</v>
      </c>
    </row>
    <row r="363" spans="1:12" s="164" customFormat="1" x14ac:dyDescent="0.2">
      <c r="A363" s="165">
        <f t="shared" si="12"/>
        <v>362</v>
      </c>
      <c r="B363" s="164" t="s">
        <v>821</v>
      </c>
      <c r="C363" s="165">
        <v>1</v>
      </c>
      <c r="D363" s="165">
        <v>647</v>
      </c>
      <c r="E363" s="166" t="str">
        <f t="shared" si="13"/>
        <v>dio 555</v>
      </c>
      <c r="F363" s="165" t="str">
        <f>REPT("  ",Aop!$C363)&amp;VLOOKUP($A363,$A$2:$L$403,ID_Jezik+6,1)</f>
        <v xml:space="preserve">  Troškovi poreza na proizvodnju: na imovinu, na zemljište, za korišćenje voda i šuma, za protivpožarnu zaštitu i sl.</v>
      </c>
      <c r="G363" s="164" t="s">
        <v>1562</v>
      </c>
      <c r="H363" s="164" t="s">
        <v>1605</v>
      </c>
      <c r="I363" s="164" t="s">
        <v>1727</v>
      </c>
      <c r="J363" s="167" t="s">
        <v>1625</v>
      </c>
      <c r="K363" s="167" t="s">
        <v>1638</v>
      </c>
      <c r="L363" s="167" t="s">
        <v>1651</v>
      </c>
    </row>
    <row r="364" spans="1:12" s="164" customFormat="1" x14ac:dyDescent="0.2">
      <c r="A364" s="165">
        <f t="shared" si="12"/>
        <v>363</v>
      </c>
      <c r="B364" s="164" t="s">
        <v>821</v>
      </c>
      <c r="C364" s="165">
        <v>1</v>
      </c>
      <c r="D364" s="165">
        <v>648</v>
      </c>
      <c r="E364" s="166">
        <f t="shared" si="13"/>
        <v>559</v>
      </c>
      <c r="F364" s="165" t="str">
        <f>REPT("  ",Aop!$C364)&amp;VLOOKUP($A364,$A$2:$L$403,ID_Jezik+6,1)</f>
        <v xml:space="preserve">  Ostali nematerijalni troškovi</v>
      </c>
      <c r="G364" s="164" t="s">
        <v>1563</v>
      </c>
      <c r="H364" s="164" t="s">
        <v>1606</v>
      </c>
      <c r="I364" s="164" t="s">
        <v>1728</v>
      </c>
      <c r="J364" s="167">
        <v>559</v>
      </c>
      <c r="K364" s="181">
        <v>559</v>
      </c>
      <c r="L364" s="167">
        <v>559</v>
      </c>
    </row>
    <row r="365" spans="1:12" s="164" customFormat="1" x14ac:dyDescent="0.2">
      <c r="A365" s="165">
        <f>ROW()-ROW($A$1)</f>
        <v>364</v>
      </c>
      <c r="B365" s="164" t="s">
        <v>821</v>
      </c>
      <c r="C365" s="165">
        <v>0</v>
      </c>
      <c r="D365" s="165"/>
      <c r="E365" s="166">
        <f>VLOOKUP($A365,$A$2:$L$403,ID_Jezik+9,1)</f>
        <v>0</v>
      </c>
      <c r="F365" s="165" t="str">
        <f>REPT("  ",Aop!$C365)&amp;VLOOKUP($A365,$A$2:$L$403,ID_Jezik+6,1)</f>
        <v>OBAVEZE I POTRAŽIVANJA</v>
      </c>
      <c r="G365" s="164" t="s">
        <v>1729</v>
      </c>
      <c r="H365" s="164" t="s">
        <v>1730</v>
      </c>
      <c r="I365" s="164" t="s">
        <v>1731</v>
      </c>
      <c r="J365" s="167"/>
      <c r="K365" s="167"/>
      <c r="L365" s="167"/>
    </row>
    <row r="366" spans="1:12" s="164" customFormat="1" x14ac:dyDescent="0.2">
      <c r="A366" s="165">
        <f t="shared" si="12"/>
        <v>365</v>
      </c>
      <c r="B366" s="164" t="s">
        <v>821</v>
      </c>
      <c r="C366" s="165">
        <v>1</v>
      </c>
      <c r="D366" s="165">
        <v>649</v>
      </c>
      <c r="E366" s="166" t="str">
        <f t="shared" si="13"/>
        <v>47, osim 479</v>
      </c>
      <c r="F366" s="165" t="str">
        <f>REPT("  ",Aop!$C366)&amp;VLOOKUP($A366,$A$2:$L$403,ID_Jezik+6,1)</f>
        <v xml:space="preserve">  Obračunati (fakturisani) porez na dodatu vrijednost (kumulativan promet konta)</v>
      </c>
      <c r="G366" s="164" t="s">
        <v>1732</v>
      </c>
      <c r="H366" s="164" t="s">
        <v>1733</v>
      </c>
      <c r="I366" s="164" t="s">
        <v>1734</v>
      </c>
      <c r="J366" s="167" t="s">
        <v>398</v>
      </c>
      <c r="K366" s="167" t="s">
        <v>1481</v>
      </c>
      <c r="L366" s="167" t="s">
        <v>279</v>
      </c>
    </row>
    <row r="367" spans="1:12" s="164" customFormat="1" x14ac:dyDescent="0.2">
      <c r="A367" s="165">
        <f t="shared" si="12"/>
        <v>366</v>
      </c>
      <c r="B367" s="164" t="s">
        <v>821</v>
      </c>
      <c r="C367" s="165">
        <v>1</v>
      </c>
      <c r="D367" s="165">
        <v>650</v>
      </c>
      <c r="E367" s="166" t="str">
        <f t="shared" si="13"/>
        <v>27, osim 279</v>
      </c>
      <c r="F367" s="165" t="str">
        <f>REPT("  ",Aop!$C367)&amp;VLOOKUP($A367,$A$2:$L$403,ID_Jezik+6,1)</f>
        <v xml:space="preserve">  Ulazni porez na dodatu vrijednost (kumulativan promet konta)</v>
      </c>
      <c r="G367" s="164" t="s">
        <v>1735</v>
      </c>
      <c r="H367" s="164" t="s">
        <v>1736</v>
      </c>
      <c r="I367" s="164" t="s">
        <v>1737</v>
      </c>
      <c r="J367" s="167" t="s">
        <v>399</v>
      </c>
      <c r="K367" s="167" t="s">
        <v>1482</v>
      </c>
      <c r="L367" s="167" t="s">
        <v>280</v>
      </c>
    </row>
    <row r="368" spans="1:12" s="164" customFormat="1" x14ac:dyDescent="0.2">
      <c r="A368" s="165">
        <f t="shared" si="12"/>
        <v>367</v>
      </c>
      <c r="B368" s="164" t="s">
        <v>821</v>
      </c>
      <c r="C368" s="165">
        <v>1</v>
      </c>
      <c r="D368" s="165">
        <v>651</v>
      </c>
      <c r="E368" s="166">
        <f t="shared" si="13"/>
        <v>479</v>
      </c>
      <c r="F368" s="165" t="str">
        <f>REPT("  ",Aop!$C368)&amp;VLOOKUP($A368,$A$2:$L$403,ID_Jezik+6,1)</f>
        <v xml:space="preserve">  Obaveze za PDV na osnovu razlike između obračunatog i akontacionog PDV-a (saldo konta)</v>
      </c>
      <c r="G368" s="164" t="s">
        <v>1564</v>
      </c>
      <c r="H368" s="164" t="s">
        <v>1607</v>
      </c>
      <c r="I368" s="164" t="s">
        <v>1738</v>
      </c>
      <c r="J368" s="167">
        <v>479</v>
      </c>
      <c r="K368" s="181">
        <v>479</v>
      </c>
      <c r="L368" s="167">
        <v>479</v>
      </c>
    </row>
    <row r="369" spans="1:12" s="164" customFormat="1" x14ac:dyDescent="0.2">
      <c r="A369" s="165">
        <f t="shared" si="12"/>
        <v>368</v>
      </c>
      <c r="B369" s="164" t="s">
        <v>821</v>
      </c>
      <c r="C369" s="165">
        <v>1</v>
      </c>
      <c r="D369" s="165">
        <v>652</v>
      </c>
      <c r="E369" s="166">
        <f t="shared" si="13"/>
        <v>279</v>
      </c>
      <c r="F369" s="165" t="str">
        <f>REPT("  ",Aop!$C369)&amp;VLOOKUP($A369,$A$2:$L$403,ID_Jezik+6,1)</f>
        <v xml:space="preserve">  Potraživanja po osnovu razlike između akontacionog i obračunatog  PDV-a (saldo konta)</v>
      </c>
      <c r="G369" s="164" t="s">
        <v>1565</v>
      </c>
      <c r="H369" s="164" t="s">
        <v>1608</v>
      </c>
      <c r="I369" s="164" t="s">
        <v>1739</v>
      </c>
      <c r="J369" s="167">
        <v>279</v>
      </c>
      <c r="K369" s="181">
        <v>279</v>
      </c>
      <c r="L369" s="167">
        <v>279</v>
      </c>
    </row>
    <row r="370" spans="1:12" s="164" customFormat="1" x14ac:dyDescent="0.2">
      <c r="A370" s="165">
        <f t="shared" si="12"/>
        <v>369</v>
      </c>
      <c r="B370" s="164" t="s">
        <v>821</v>
      </c>
      <c r="C370" s="165">
        <v>1</v>
      </c>
      <c r="D370" s="165">
        <v>653</v>
      </c>
      <c r="E370" s="166">
        <f t="shared" si="13"/>
        <v>271</v>
      </c>
      <c r="F370" s="165" t="str">
        <f>REPT("  ",Aop!$C370)&amp;VLOOKUP($A370,$A$2:$L$403,ID_Jezik+6,1)</f>
        <v xml:space="preserve">  Porez na dodatu vrijednost plaćen pri uvozu (kumulativan promet konta)</v>
      </c>
      <c r="G370" s="164" t="s">
        <v>1740</v>
      </c>
      <c r="H370" s="164" t="s">
        <v>1741</v>
      </c>
      <c r="I370" s="164" t="s">
        <v>1742</v>
      </c>
      <c r="J370" s="167">
        <v>271</v>
      </c>
      <c r="K370" s="181">
        <v>271</v>
      </c>
      <c r="L370" s="167">
        <v>271</v>
      </c>
    </row>
    <row r="371" spans="1:12" s="164" customFormat="1" x14ac:dyDescent="0.2">
      <c r="A371" s="165">
        <f t="shared" si="12"/>
        <v>370</v>
      </c>
      <c r="B371" s="164" t="s">
        <v>821</v>
      </c>
      <c r="C371" s="165">
        <v>1</v>
      </c>
      <c r="D371" s="165">
        <v>654</v>
      </c>
      <c r="E371" s="166">
        <f t="shared" si="13"/>
        <v>484</v>
      </c>
      <c r="F371" s="165" t="str">
        <f>REPT("  ",Aop!$C371)&amp;VLOOKUP($A371,$A$2:$L$403,ID_Jezik+6,1)</f>
        <v xml:space="preserve">  Obaveze za PDV plaćen pri uvozu (kumulativan promet konta)</v>
      </c>
      <c r="G371" s="164" t="s">
        <v>1743</v>
      </c>
      <c r="H371" s="164" t="s">
        <v>1744</v>
      </c>
      <c r="I371" s="164" t="s">
        <v>1745</v>
      </c>
      <c r="J371" s="167">
        <v>484</v>
      </c>
      <c r="K371" s="181">
        <v>484</v>
      </c>
      <c r="L371" s="167">
        <v>484</v>
      </c>
    </row>
    <row r="372" spans="1:12" s="164" customFormat="1" x14ac:dyDescent="0.2">
      <c r="A372" s="165">
        <f t="shared" si="12"/>
        <v>371</v>
      </c>
      <c r="B372" s="164" t="s">
        <v>821</v>
      </c>
      <c r="C372" s="165">
        <v>1</v>
      </c>
      <c r="D372" s="165">
        <v>655</v>
      </c>
      <c r="E372" s="166">
        <f t="shared" si="13"/>
        <v>480</v>
      </c>
      <c r="F372" s="165" t="str">
        <f>REPT("  ",Aop!$C372)&amp;VLOOKUP($A372,$A$2:$L$403,ID_Jezik+6,1)</f>
        <v xml:space="preserve">  Obaveze za akcize (kumulativan promet konta)</v>
      </c>
      <c r="G372" s="164" t="s">
        <v>1746</v>
      </c>
      <c r="H372" s="164" t="s">
        <v>1747</v>
      </c>
      <c r="I372" s="164" t="s">
        <v>1748</v>
      </c>
      <c r="J372" s="167">
        <v>480</v>
      </c>
      <c r="K372" s="181">
        <v>480</v>
      </c>
      <c r="L372" s="167">
        <v>480</v>
      </c>
    </row>
    <row r="373" spans="1:12" s="164" customFormat="1" x14ac:dyDescent="0.2">
      <c r="A373" s="165">
        <f t="shared" si="12"/>
        <v>372</v>
      </c>
      <c r="B373" s="164" t="s">
        <v>821</v>
      </c>
      <c r="C373" s="165">
        <v>1</v>
      </c>
      <c r="D373" s="165">
        <v>656</v>
      </c>
      <c r="E373" s="166" t="str">
        <f t="shared" si="13"/>
        <v>010</v>
      </c>
      <c r="F373" s="165" t="str">
        <f>REPT("  ",Aop!$C373)&amp;VLOOKUP($A373,$A$2:$L$403,ID_Jezik+6,1)</f>
        <v xml:space="preserve">  Ulaganje u istraživanje i razvoj (kumulativan promet konta)</v>
      </c>
      <c r="G373" s="164" t="s">
        <v>1749</v>
      </c>
      <c r="H373" s="164" t="s">
        <v>1750</v>
      </c>
      <c r="I373" s="164" t="s">
        <v>1751</v>
      </c>
      <c r="J373" s="167" t="s">
        <v>1518</v>
      </c>
      <c r="K373" s="181" t="s">
        <v>1518</v>
      </c>
      <c r="L373" s="167" t="s">
        <v>1518</v>
      </c>
    </row>
    <row r="374" spans="1:12" s="164" customFormat="1" x14ac:dyDescent="0.2">
      <c r="A374" s="165">
        <f t="shared" si="12"/>
        <v>373</v>
      </c>
      <c r="B374" s="164" t="s">
        <v>821</v>
      </c>
      <c r="C374" s="165">
        <v>1</v>
      </c>
      <c r="D374" s="165">
        <v>657</v>
      </c>
      <c r="E374" s="166" t="str">
        <f t="shared" si="13"/>
        <v>dio 433</v>
      </c>
      <c r="F374" s="165" t="str">
        <f>REPT("  ",Aop!$C374)&amp;VLOOKUP($A374,$A$2:$L$403,ID_Jezik+6,1)</f>
        <v xml:space="preserve">  Ostvareni uvoz dobara iz inostranstva</v>
      </c>
      <c r="G374" s="164" t="s">
        <v>1566</v>
      </c>
      <c r="H374" s="164" t="s">
        <v>1609</v>
      </c>
      <c r="I374" s="164" t="s">
        <v>1752</v>
      </c>
      <c r="J374" s="167" t="s">
        <v>1626</v>
      </c>
      <c r="K374" s="167" t="s">
        <v>1639</v>
      </c>
      <c r="L374" s="167" t="s">
        <v>1652</v>
      </c>
    </row>
    <row r="375" spans="1:12" s="164" customFormat="1" x14ac:dyDescent="0.2">
      <c r="A375" s="165">
        <f t="shared" si="12"/>
        <v>374</v>
      </c>
      <c r="B375" s="164" t="s">
        <v>821</v>
      </c>
      <c r="C375" s="165">
        <v>1</v>
      </c>
      <c r="D375" s="165">
        <v>658</v>
      </c>
      <c r="E375" s="166" t="str">
        <f t="shared" si="13"/>
        <v>dio 433</v>
      </c>
      <c r="F375" s="165" t="str">
        <f>REPT("  ",Aop!$C375)&amp;VLOOKUP($A375,$A$2:$L$403,ID_Jezik+6,1)</f>
        <v xml:space="preserve">  Ostvareni uvoz usluga iz inostranstva</v>
      </c>
      <c r="G375" s="164" t="s">
        <v>1567</v>
      </c>
      <c r="H375" s="164" t="s">
        <v>1610</v>
      </c>
      <c r="I375" s="164" t="s">
        <v>1753</v>
      </c>
      <c r="J375" s="167" t="s">
        <v>1626</v>
      </c>
      <c r="K375" s="167" t="s">
        <v>1639</v>
      </c>
      <c r="L375" s="167" t="s">
        <v>1652</v>
      </c>
    </row>
    <row r="376" spans="1:12" s="164" customFormat="1" x14ac:dyDescent="0.2">
      <c r="A376" s="165">
        <f t="shared" si="12"/>
        <v>375</v>
      </c>
      <c r="B376" s="164" t="s">
        <v>821</v>
      </c>
      <c r="C376" s="165">
        <v>1</v>
      </c>
      <c r="D376" s="165">
        <v>659</v>
      </c>
      <c r="E376" s="166" t="str">
        <f t="shared" si="13"/>
        <v>dio 431 i 432</v>
      </c>
      <c r="F376" s="165" t="str">
        <f>REPT("  ",Aop!$C376)&amp;VLOOKUP($A376,$A$2:$L$403,ID_Jezik+6,1)</f>
        <v xml:space="preserve">  Nabavka dobara iz Federacije BiH ili Brčko Distrikta  BiH</v>
      </c>
      <c r="G376" s="164" t="s">
        <v>1568</v>
      </c>
      <c r="H376" s="164" t="s">
        <v>1611</v>
      </c>
      <c r="I376" s="164" t="s">
        <v>1754</v>
      </c>
      <c r="J376" s="167" t="s">
        <v>1627</v>
      </c>
      <c r="K376" s="167" t="s">
        <v>1640</v>
      </c>
      <c r="L376" s="167" t="s">
        <v>1656</v>
      </c>
    </row>
    <row r="377" spans="1:12" s="164" customFormat="1" x14ac:dyDescent="0.2">
      <c r="A377" s="165">
        <f t="shared" si="12"/>
        <v>376</v>
      </c>
      <c r="B377" s="164" t="s">
        <v>821</v>
      </c>
      <c r="C377" s="165">
        <v>1</v>
      </c>
      <c r="D377" s="165">
        <v>660</v>
      </c>
      <c r="E377" s="166" t="str">
        <f t="shared" si="13"/>
        <v>dio 431 i 432</v>
      </c>
      <c r="F377" s="165" t="str">
        <f>REPT("  ",Aop!$C377)&amp;VLOOKUP($A377,$A$2:$L$403,ID_Jezik+6,1)</f>
        <v xml:space="preserve">  Nabavka usluga iz Federacije BiH ili Brčko Distrikta  BiH</v>
      </c>
      <c r="G377" s="164" t="s">
        <v>1569</v>
      </c>
      <c r="H377" s="164" t="s">
        <v>1612</v>
      </c>
      <c r="I377" s="164" t="s">
        <v>1755</v>
      </c>
      <c r="J377" s="167" t="s">
        <v>1627</v>
      </c>
      <c r="K377" s="167" t="s">
        <v>1640</v>
      </c>
      <c r="L377" s="167" t="s">
        <v>1656</v>
      </c>
    </row>
    <row r="378" spans="1:12" s="164" customFormat="1" x14ac:dyDescent="0.2">
      <c r="A378" s="165">
        <f t="shared" si="12"/>
        <v>377</v>
      </c>
      <c r="B378" s="164" t="s">
        <v>821</v>
      </c>
      <c r="C378" s="165">
        <v>1</v>
      </c>
      <c r="D378" s="165">
        <v>661</v>
      </c>
      <c r="E378" s="166">
        <f t="shared" si="13"/>
        <v>0</v>
      </c>
      <c r="F378" s="165" t="str">
        <f>REPT("  ",Aop!$C378)&amp;VLOOKUP($A378,$A$2:$L$403,ID_Jezik+6,1)</f>
        <v xml:space="preserve">  Prihodi ostvareni na bazi podugovaranja</v>
      </c>
      <c r="G378" s="164" t="s">
        <v>1756</v>
      </c>
      <c r="H378" s="164" t="s">
        <v>1757</v>
      </c>
      <c r="I378" s="164" t="s">
        <v>1758</v>
      </c>
      <c r="J378" s="167"/>
      <c r="K378" s="167"/>
      <c r="L378" s="167"/>
    </row>
    <row r="379" spans="1:12" s="164" customFormat="1" x14ac:dyDescent="0.2">
      <c r="A379" s="165">
        <f t="shared" si="12"/>
        <v>378</v>
      </c>
      <c r="B379" s="164" t="s">
        <v>821</v>
      </c>
      <c r="C379" s="165">
        <v>1</v>
      </c>
      <c r="D379" s="165">
        <v>662</v>
      </c>
      <c r="E379" s="166">
        <f t="shared" si="13"/>
        <v>0</v>
      </c>
      <c r="F379" s="165" t="str">
        <f>REPT("  ",Aop!$C379)&amp;VLOOKUP($A379,$A$2:$L$403,ID_Jezik+6,1)</f>
        <v xml:space="preserve">  Plaćanja podugovaračima za rad, isporučene proizvode i usluge</v>
      </c>
      <c r="G379" s="164" t="s">
        <v>1570</v>
      </c>
      <c r="H379" s="164" t="s">
        <v>1613</v>
      </c>
      <c r="I379" s="164" t="s">
        <v>1759</v>
      </c>
      <c r="J379" s="167"/>
      <c r="K379" s="167"/>
      <c r="L379" s="167"/>
    </row>
    <row r="380" spans="1:12" x14ac:dyDescent="0.2">
      <c r="A380">
        <f t="shared" si="10"/>
        <v>379</v>
      </c>
      <c r="B380" t="s">
        <v>821</v>
      </c>
      <c r="C380">
        <v>1</v>
      </c>
      <c r="D380">
        <v>663</v>
      </c>
      <c r="E380" s="2">
        <f t="shared" si="11"/>
        <v>0</v>
      </c>
      <c r="F380" t="str">
        <f>REPT("  ",Aop!$C380)&amp;VLOOKUP($A380,$A$2:$L$403,ID_Jezik+6,1)</f>
        <v xml:space="preserve">  Ukupan broj odrađenih časova rada (efektivni časovi rada bez bolovanja, godišnjih odmora, državnih praznika i sl.)</v>
      </c>
      <c r="G380" t="s">
        <v>1571</v>
      </c>
      <c r="H380" t="s">
        <v>1614</v>
      </c>
      <c r="I380" t="s">
        <v>1760</v>
      </c>
      <c r="J380" s="104"/>
      <c r="K380" s="104"/>
      <c r="L380" s="104"/>
    </row>
    <row r="381" spans="1:12" x14ac:dyDescent="0.2">
      <c r="A381">
        <f t="shared" si="10"/>
        <v>380</v>
      </c>
      <c r="B381" t="s">
        <v>822</v>
      </c>
      <c r="C381" s="3">
        <v>0</v>
      </c>
      <c r="D381">
        <v>901</v>
      </c>
      <c r="E381" s="2">
        <f t="shared" si="11"/>
        <v>1</v>
      </c>
      <c r="F381" t="str">
        <f>REPT("  ",Aop!$C381)&amp;VLOOKUP($A381,$A$2:$L$403,ID_Jezik+6,1)</f>
        <v>Stanje na dan 01.01.2013. god.</v>
      </c>
      <c r="G381" s="236" t="str">
        <f>CONCATENATE("Stanje na dan ", Podesavanja!$W$6, " god.")</f>
        <v>Stanje na dan 01.01.2013. god.</v>
      </c>
      <c r="H381" s="236" t="str">
        <f>CONCATENATE("Стaњe нa дaн ",  Podesavanja!$W$6, " гoд.")</f>
        <v>Стaњe нa дaн 01.01.2013. гoд.</v>
      </c>
      <c r="I381" s="236" t="str">
        <f>CONCATENATE("Value on day ", Podesavanja!$X$6)</f>
        <v>Value on day 01.01.2013</v>
      </c>
      <c r="J381" s="104">
        <v>1</v>
      </c>
      <c r="K381" s="104">
        <v>1</v>
      </c>
      <c r="L381" s="104">
        <v>1</v>
      </c>
    </row>
    <row r="382" spans="1:12" x14ac:dyDescent="0.2">
      <c r="A382">
        <f t="shared" si="10"/>
        <v>381</v>
      </c>
      <c r="B382" t="s">
        <v>822</v>
      </c>
      <c r="C382" s="3">
        <v>2</v>
      </c>
      <c r="D382">
        <v>902</v>
      </c>
      <c r="E382" s="2">
        <f t="shared" si="11"/>
        <v>2</v>
      </c>
      <c r="F382" t="str">
        <f>REPT("  ",Aop!$C382)&amp;VLOOKUP($A382,$A$2:$L$403,ID_Jezik+6,1)</f>
        <v xml:space="preserve">    Efekti promjena u računovodstvenim politikama </v>
      </c>
      <c r="G382" t="s">
        <v>274</v>
      </c>
      <c r="H382" t="s">
        <v>1404</v>
      </c>
      <c r="I382" t="s">
        <v>288</v>
      </c>
      <c r="J382" s="104">
        <v>2</v>
      </c>
      <c r="K382" s="104">
        <v>2</v>
      </c>
      <c r="L382" s="104">
        <v>2</v>
      </c>
    </row>
    <row r="383" spans="1:12" x14ac:dyDescent="0.2">
      <c r="A383">
        <f t="shared" si="10"/>
        <v>382</v>
      </c>
      <c r="B383" t="s">
        <v>822</v>
      </c>
      <c r="C383" s="3">
        <v>2</v>
      </c>
      <c r="D383">
        <v>903</v>
      </c>
      <c r="E383" s="2">
        <f t="shared" si="11"/>
        <v>3</v>
      </c>
      <c r="F383" t="str">
        <f>REPT("  ",Aop!$C383)&amp;VLOOKUP($A383,$A$2:$L$403,ID_Jezik+6,1)</f>
        <v xml:space="preserve">    Efekti ispravke grešaka</v>
      </c>
      <c r="G383" t="s">
        <v>267</v>
      </c>
      <c r="H383" t="s">
        <v>1405</v>
      </c>
      <c r="I383" t="s">
        <v>289</v>
      </c>
      <c r="J383" s="104">
        <v>3</v>
      </c>
      <c r="K383" s="104">
        <v>3</v>
      </c>
      <c r="L383" s="104">
        <v>3</v>
      </c>
    </row>
    <row r="384" spans="1:12" x14ac:dyDescent="0.2">
      <c r="A384">
        <f t="shared" si="10"/>
        <v>383</v>
      </c>
      <c r="B384" t="s">
        <v>822</v>
      </c>
      <c r="C384" s="3">
        <v>0</v>
      </c>
      <c r="D384">
        <v>904</v>
      </c>
      <c r="E384" s="2">
        <f t="shared" si="11"/>
        <v>4</v>
      </c>
      <c r="F384" t="str">
        <f>REPT("  ",Aop!$C384)&amp;VLOOKUP($A384,$A$2:$L$403,ID_Jezik+6,1)</f>
        <v>Ponovo iskazano stanje na dan 01.01.2013. god. (901 ± 902 ± 903)</v>
      </c>
      <c r="G384" s="236" t="str">
        <f>CONCATENATE("Ponovo iskazano stanje na dan ", Podesavanja!$W$6, " god. (901 ± 902 ± 903)")</f>
        <v>Ponovo iskazano stanje na dan 01.01.2013. god. (901 ± 902 ± 903)</v>
      </c>
      <c r="H384" s="236" t="str">
        <f>CONCATENATE("Пoнoвo искaзaнo стaњe нa дaн ",  Podesavanja!$W$6, " гoд. (901 ± 902 ± 903)")</f>
        <v>Пoнoвo искaзaнo стaњe нa дaн 01.01.2013. гoд. (901 ± 902 ± 903)</v>
      </c>
      <c r="I384" s="236" t="str">
        <f>CONCATENATE("New value on day ",  Podesavanja!$X$6, " (901 ± 902 ± 903)")</f>
        <v>New value on day 01.01.2013 (901 ± 902 ± 903)</v>
      </c>
      <c r="J384" s="104">
        <v>4</v>
      </c>
      <c r="K384" s="104">
        <v>4</v>
      </c>
      <c r="L384" s="104">
        <v>4</v>
      </c>
    </row>
    <row r="385" spans="1:12" x14ac:dyDescent="0.2">
      <c r="A385">
        <f t="shared" si="10"/>
        <v>384</v>
      </c>
      <c r="B385" t="s">
        <v>822</v>
      </c>
      <c r="C385" s="3">
        <v>2</v>
      </c>
      <c r="D385">
        <v>905</v>
      </c>
      <c r="E385" s="2">
        <f t="shared" si="11"/>
        <v>5</v>
      </c>
      <c r="F385" t="str">
        <f>REPT("  ",Aop!$C385)&amp;VLOOKUP($A385,$A$2:$L$403,ID_Jezik+6,1)</f>
        <v xml:space="preserve">    Efekti revalorizacije materijalnih i nematerijalnih sredstava</v>
      </c>
      <c r="G385" t="s">
        <v>576</v>
      </c>
      <c r="H385" t="s">
        <v>1406</v>
      </c>
      <c r="I385" t="s">
        <v>290</v>
      </c>
      <c r="J385" s="104">
        <v>5</v>
      </c>
      <c r="K385" s="104">
        <v>5</v>
      </c>
      <c r="L385" s="104">
        <v>5</v>
      </c>
    </row>
    <row r="386" spans="1:12" x14ac:dyDescent="0.2">
      <c r="A386">
        <f t="shared" si="10"/>
        <v>385</v>
      </c>
      <c r="B386" t="s">
        <v>822</v>
      </c>
      <c r="C386" s="3">
        <v>2</v>
      </c>
      <c r="D386">
        <v>906</v>
      </c>
      <c r="E386" s="2">
        <f t="shared" si="11"/>
        <v>6</v>
      </c>
      <c r="F386" t="str">
        <f>REPT("  ",Aop!$C386)&amp;VLOOKUP($A386,$A$2:$L$403,ID_Jezik+6,1)</f>
        <v xml:space="preserve">    Nerealizovani dobici/gubici po osnovu finansijskih sredstava raspoloživih za prodaju</v>
      </c>
      <c r="G386" t="s">
        <v>268</v>
      </c>
      <c r="H386" t="s">
        <v>1407</v>
      </c>
      <c r="I386" t="s">
        <v>298</v>
      </c>
      <c r="J386" s="104">
        <v>6</v>
      </c>
      <c r="K386" s="104">
        <v>6</v>
      </c>
      <c r="L386" s="104">
        <v>6</v>
      </c>
    </row>
    <row r="387" spans="1:12" x14ac:dyDescent="0.2">
      <c r="A387">
        <f t="shared" si="10"/>
        <v>386</v>
      </c>
      <c r="B387" t="s">
        <v>822</v>
      </c>
      <c r="C387" s="3">
        <v>2</v>
      </c>
      <c r="D387">
        <v>907</v>
      </c>
      <c r="E387" s="2">
        <f t="shared" si="11"/>
        <v>7</v>
      </c>
      <c r="F387" t="str">
        <f>REPT("  ",Aop!$C387)&amp;VLOOKUP($A387,$A$2:$L$403,ID_Jezik+6,1)</f>
        <v xml:space="preserve">    Kursne razlike nastale po osnovu preračuna finansijskih izvještaja u drugu funkcionalnu valutu</v>
      </c>
      <c r="G387" t="s">
        <v>269</v>
      </c>
      <c r="H387" t="s">
        <v>1408</v>
      </c>
      <c r="I387" t="s">
        <v>303</v>
      </c>
      <c r="J387" s="104">
        <v>7</v>
      </c>
      <c r="K387" s="104">
        <v>7</v>
      </c>
      <c r="L387" s="104">
        <v>7</v>
      </c>
    </row>
    <row r="388" spans="1:12" x14ac:dyDescent="0.2">
      <c r="A388">
        <f t="shared" si="10"/>
        <v>387</v>
      </c>
      <c r="B388" t="s">
        <v>822</v>
      </c>
      <c r="C388" s="3">
        <v>2</v>
      </c>
      <c r="D388">
        <v>908</v>
      </c>
      <c r="E388" s="2">
        <f t="shared" si="11"/>
        <v>8</v>
      </c>
      <c r="F388" t="str">
        <f>REPT("  ",Aop!$C388)&amp;VLOOKUP($A388,$A$2:$L$403,ID_Jezik+6,1)</f>
        <v xml:space="preserve">    Neto dobitak/gubitak perioda iskazan u bilansu uspjeha</v>
      </c>
      <c r="G388" t="s">
        <v>270</v>
      </c>
      <c r="H388" t="s">
        <v>1409</v>
      </c>
      <c r="I388" t="s">
        <v>299</v>
      </c>
      <c r="J388" s="104">
        <v>8</v>
      </c>
      <c r="K388" s="104">
        <v>8</v>
      </c>
      <c r="L388" s="104">
        <v>8</v>
      </c>
    </row>
    <row r="389" spans="1:12" x14ac:dyDescent="0.2">
      <c r="A389">
        <f t="shared" si="10"/>
        <v>388</v>
      </c>
      <c r="B389" t="s">
        <v>822</v>
      </c>
      <c r="C389" s="3">
        <v>2</v>
      </c>
      <c r="D389">
        <v>909</v>
      </c>
      <c r="E389" s="2">
        <f t="shared" si="11"/>
        <v>9</v>
      </c>
      <c r="F389" t="str">
        <f>REPT("  ",Aop!$C389)&amp;VLOOKUP($A389,$A$2:$L$403,ID_Jezik+6,1)</f>
        <v xml:space="preserve">    Neto dobici/gubici perioda priznati direktno u kapitalu</v>
      </c>
      <c r="G389" t="s">
        <v>271</v>
      </c>
      <c r="H389" t="s">
        <v>1410</v>
      </c>
      <c r="I389" t="s">
        <v>300</v>
      </c>
      <c r="J389" s="104">
        <v>9</v>
      </c>
      <c r="K389" s="104">
        <v>9</v>
      </c>
      <c r="L389" s="104">
        <v>9</v>
      </c>
    </row>
    <row r="390" spans="1:12" x14ac:dyDescent="0.2">
      <c r="A390">
        <f t="shared" si="10"/>
        <v>389</v>
      </c>
      <c r="B390" t="s">
        <v>822</v>
      </c>
      <c r="C390" s="3">
        <v>2</v>
      </c>
      <c r="D390">
        <v>910</v>
      </c>
      <c r="E390" s="2">
        <f t="shared" si="11"/>
        <v>10</v>
      </c>
      <c r="F390" t="str">
        <f>REPT("  ",Aop!$C390)&amp;VLOOKUP($A390,$A$2:$L$403,ID_Jezik+6,1)</f>
        <v xml:space="preserve">    Objavljene dividende i drugi vidovi raspodjele dobitka i pokriće gubitka</v>
      </c>
      <c r="G390" t="s">
        <v>272</v>
      </c>
      <c r="H390" t="s">
        <v>1411</v>
      </c>
      <c r="I390" t="s">
        <v>291</v>
      </c>
      <c r="J390" s="104">
        <v>10</v>
      </c>
      <c r="K390" s="104">
        <v>10</v>
      </c>
      <c r="L390" s="104">
        <v>10</v>
      </c>
    </row>
    <row r="391" spans="1:12" x14ac:dyDescent="0.2">
      <c r="A391">
        <f t="shared" si="10"/>
        <v>390</v>
      </c>
      <c r="B391" t="s">
        <v>822</v>
      </c>
      <c r="C391" s="3">
        <v>2</v>
      </c>
      <c r="D391">
        <v>911</v>
      </c>
      <c r="E391" s="2">
        <f t="shared" si="11"/>
        <v>11</v>
      </c>
      <c r="F391" t="str">
        <f>REPT("  ",Aop!$C391)&amp;VLOOKUP($A391,$A$2:$L$403,ID_Jezik+6,1)</f>
        <v xml:space="preserve">    Emisija akcijskog kapitala i drugi vidovi povećanja ili smanjenje osnovnog kapitala</v>
      </c>
      <c r="G391" t="s">
        <v>273</v>
      </c>
      <c r="H391" t="s">
        <v>1412</v>
      </c>
      <c r="I391" t="s">
        <v>292</v>
      </c>
      <c r="J391" s="104">
        <v>11</v>
      </c>
      <c r="K391" s="104">
        <v>11</v>
      </c>
      <c r="L391" s="104">
        <v>11</v>
      </c>
    </row>
    <row r="392" spans="1:12" x14ac:dyDescent="0.2">
      <c r="A392">
        <f t="shared" si="10"/>
        <v>391</v>
      </c>
      <c r="B392" t="s">
        <v>822</v>
      </c>
      <c r="C392" s="3">
        <v>0</v>
      </c>
      <c r="D392">
        <v>912</v>
      </c>
      <c r="E392" s="2">
        <f t="shared" si="11"/>
        <v>12</v>
      </c>
      <c r="F392" t="str">
        <f>REPT("  ",Aop!$C392)&amp;VLOOKUP($A392,$A$2:$L$403,ID_Jezik+6,1)</f>
        <v>Stanje na dan 31.12.2013. god. / 01.01.2014. god. (904 ± 905 ± 906 ± 907 ± 908 ± 909 - 910 + 911)</v>
      </c>
      <c r="G392" s="236" t="str">
        <f>CONCATENATE("Stanje na dan ", Podesavanja!$W$5," god. / ", Podesavanja!$W$4, " god. (904 ± 905 ± 906 ± 907 ± 908 ± 909 - 910 + 911)")</f>
        <v>Stanje na dan 31.12.2013. god. / 01.01.2014. god. (904 ± 905 ± 906 ± 907 ± 908 ± 909 - 910 + 911)</v>
      </c>
      <c r="H392" s="236" t="str">
        <f>CONCATENATE("Стaњe нa дaн ", Podesavanja!$W$5, " гoд. / ", Podesavanja!$W$4, " гoд. (904 ± 905 ± 906 ± 907 ± 908 ± 909 - 910 + 911)")</f>
        <v>Стaњe нa дaн 31.12.2013. гoд. / 01.01.2014. гoд. (904 ± 905 ± 906 ± 907 ± 908 ± 909 - 910 + 911)</v>
      </c>
      <c r="I392" s="236" t="str">
        <f>CONCATENATE("Value on day ", Podesavanja!$X$5," / ", Podesavanja!$X$4, " (904 ± 905 ± 906 ± 907 ± 908 ± 909 - 910 + 911)")</f>
        <v>Value on day 31.12.2013 / 01.01.2014 (904 ± 905 ± 906 ± 907 ± 908 ± 909 - 910 + 911)</v>
      </c>
      <c r="J392" s="104">
        <v>12</v>
      </c>
      <c r="K392" s="104">
        <v>12</v>
      </c>
      <c r="L392" s="104">
        <v>12</v>
      </c>
    </row>
    <row r="393" spans="1:12" x14ac:dyDescent="0.2">
      <c r="A393">
        <f t="shared" si="10"/>
        <v>392</v>
      </c>
      <c r="B393" t="s">
        <v>822</v>
      </c>
      <c r="C393" s="3">
        <v>2</v>
      </c>
      <c r="D393">
        <v>913</v>
      </c>
      <c r="E393" s="2">
        <f t="shared" si="11"/>
        <v>13</v>
      </c>
      <c r="F393" t="str">
        <f>REPT("  ",Aop!$C393)&amp;VLOOKUP($A393,$A$2:$L$403,ID_Jezik+6,1)</f>
        <v xml:space="preserve">    Efekti promjena u računovodstvenim politikama</v>
      </c>
      <c r="G393" t="s">
        <v>577</v>
      </c>
      <c r="H393" t="s">
        <v>1413</v>
      </c>
      <c r="I393" t="s">
        <v>288</v>
      </c>
      <c r="J393" s="104">
        <v>13</v>
      </c>
      <c r="K393" s="104">
        <v>13</v>
      </c>
      <c r="L393" s="104">
        <v>13</v>
      </c>
    </row>
    <row r="394" spans="1:12" x14ac:dyDescent="0.2">
      <c r="A394">
        <f t="shared" si="10"/>
        <v>393</v>
      </c>
      <c r="B394" t="s">
        <v>822</v>
      </c>
      <c r="C394" s="3">
        <v>2</v>
      </c>
      <c r="D394">
        <v>914</v>
      </c>
      <c r="E394" s="2">
        <f t="shared" si="11"/>
        <v>14</v>
      </c>
      <c r="F394" t="str">
        <f>REPT("  ",Aop!$C394)&amp;VLOOKUP($A394,$A$2:$L$403,ID_Jezik+6,1)</f>
        <v xml:space="preserve">    Efekti ispravke grešaka</v>
      </c>
      <c r="G394" t="s">
        <v>267</v>
      </c>
      <c r="H394" t="s">
        <v>1405</v>
      </c>
      <c r="I394" t="s">
        <v>301</v>
      </c>
      <c r="J394" s="104">
        <v>14</v>
      </c>
      <c r="K394" s="104">
        <v>14</v>
      </c>
      <c r="L394" s="104">
        <v>14</v>
      </c>
    </row>
    <row r="395" spans="1:12" x14ac:dyDescent="0.2">
      <c r="A395">
        <f t="shared" si="10"/>
        <v>394</v>
      </c>
      <c r="B395" t="s">
        <v>822</v>
      </c>
      <c r="C395" s="3">
        <v>0</v>
      </c>
      <c r="D395">
        <v>915</v>
      </c>
      <c r="E395" s="2">
        <f t="shared" si="11"/>
        <v>15</v>
      </c>
      <c r="F395" t="str">
        <f>REPT("  ",Aop!$C395)&amp;VLOOKUP($A395,$A$2:$L$403,ID_Jezik+6,1)</f>
        <v>Ponovo iskazano stanje na dan 01.01.2014. god. (912 ± 913 ± 914)</v>
      </c>
      <c r="G395" s="236" t="str">
        <f>CONCATENATE("Ponovo iskazano stanje na dan ", Podesavanja!$W$4, " god. (912 ± 913 ± 914)")</f>
        <v>Ponovo iskazano stanje na dan 01.01.2014. god. (912 ± 913 ± 914)</v>
      </c>
      <c r="H395" s="236" t="str">
        <f>CONCATENATE("Пoнoвo искaзaнo стaњe нa дaн ", Podesavanja!$W$4, " гoд. (912 ± 913 ± 914)")</f>
        <v>Пoнoвo искaзaнo стaњe нa дaн 01.01.2014. гoд. (912 ± 913 ± 914)</v>
      </c>
      <c r="I395" s="236" t="str">
        <f>CONCATENATE("New value on day ",  Podesavanja!$X$4," (912 ± 913 ± 914)")</f>
        <v>New value on day 01.01.2014 (912 ± 913 ± 914)</v>
      </c>
      <c r="J395" s="104">
        <v>15</v>
      </c>
      <c r="K395" s="104">
        <v>15</v>
      </c>
      <c r="L395" s="104">
        <v>15</v>
      </c>
    </row>
    <row r="396" spans="1:12" x14ac:dyDescent="0.2">
      <c r="A396">
        <f t="shared" si="10"/>
        <v>395</v>
      </c>
      <c r="B396" t="s">
        <v>822</v>
      </c>
      <c r="C396" s="3">
        <v>2</v>
      </c>
      <c r="D396">
        <v>916</v>
      </c>
      <c r="E396" s="2">
        <f t="shared" si="11"/>
        <v>16</v>
      </c>
      <c r="F396" t="str">
        <f>REPT("  ",Aop!$C396)&amp;VLOOKUP($A396,$A$2:$L$403,ID_Jezik+6,1)</f>
        <v xml:space="preserve">    Efekti revalorizacije materijalnih i nematerijalnih sredstava</v>
      </c>
      <c r="G396" t="s">
        <v>576</v>
      </c>
      <c r="H396" t="s">
        <v>1406</v>
      </c>
      <c r="I396" t="s">
        <v>290</v>
      </c>
      <c r="J396" s="104">
        <v>16</v>
      </c>
      <c r="K396" s="104">
        <v>16</v>
      </c>
      <c r="L396" s="104">
        <v>16</v>
      </c>
    </row>
    <row r="397" spans="1:12" x14ac:dyDescent="0.2">
      <c r="A397">
        <f t="shared" si="10"/>
        <v>396</v>
      </c>
      <c r="B397" t="s">
        <v>822</v>
      </c>
      <c r="C397" s="3">
        <v>2</v>
      </c>
      <c r="D397">
        <v>917</v>
      </c>
      <c r="E397" s="2">
        <f t="shared" si="11"/>
        <v>17</v>
      </c>
      <c r="F397" t="str">
        <f>REPT("  ",Aop!$C397)&amp;VLOOKUP($A397,$A$2:$L$403,ID_Jezik+6,1)</f>
        <v xml:space="preserve">    Nerealizovani dobici/gubici po osnovu finansijskih sredstava raspoloživih za prodaju</v>
      </c>
      <c r="G397" t="s">
        <v>268</v>
      </c>
      <c r="H397" t="s">
        <v>1407</v>
      </c>
      <c r="I397" t="s">
        <v>298</v>
      </c>
      <c r="J397" s="104">
        <v>17</v>
      </c>
      <c r="K397" s="104">
        <v>17</v>
      </c>
      <c r="L397" s="104">
        <v>17</v>
      </c>
    </row>
    <row r="398" spans="1:12" x14ac:dyDescent="0.2">
      <c r="A398">
        <f t="shared" si="10"/>
        <v>397</v>
      </c>
      <c r="B398" t="s">
        <v>822</v>
      </c>
      <c r="C398" s="3">
        <v>2</v>
      </c>
      <c r="D398">
        <v>918</v>
      </c>
      <c r="E398" s="2">
        <f t="shared" si="11"/>
        <v>18</v>
      </c>
      <c r="F398" t="str">
        <f>REPT("  ",Aop!$C398)&amp;VLOOKUP($A398,$A$2:$L$403,ID_Jezik+6,1)</f>
        <v xml:space="preserve">    Kursne razlike nastale po osnovu preračuna finansijskih izvještaja u drugu funkcionalnu valutu</v>
      </c>
      <c r="G398" t="s">
        <v>269</v>
      </c>
      <c r="H398" t="s">
        <v>1408</v>
      </c>
      <c r="I398" t="s">
        <v>303</v>
      </c>
      <c r="J398" s="104">
        <v>18</v>
      </c>
      <c r="K398" s="104">
        <v>18</v>
      </c>
      <c r="L398" s="104">
        <v>18</v>
      </c>
    </row>
    <row r="399" spans="1:12" x14ac:dyDescent="0.2">
      <c r="A399">
        <f t="shared" si="10"/>
        <v>398</v>
      </c>
      <c r="B399" t="s">
        <v>822</v>
      </c>
      <c r="C399" s="3">
        <v>2</v>
      </c>
      <c r="D399">
        <v>919</v>
      </c>
      <c r="E399" s="2">
        <f t="shared" si="11"/>
        <v>19</v>
      </c>
      <c r="F399" t="str">
        <f>REPT("  ",Aop!$C399)&amp;VLOOKUP($A399,$A$2:$L$403,ID_Jezik+6,1)</f>
        <v xml:space="preserve">    Neto dobitak/gubitak perioda iskazan u bilansu uspjeha</v>
      </c>
      <c r="G399" t="s">
        <v>270</v>
      </c>
      <c r="H399" t="s">
        <v>1409</v>
      </c>
      <c r="I399" t="s">
        <v>299</v>
      </c>
      <c r="J399" s="104">
        <v>19</v>
      </c>
      <c r="K399" s="104">
        <v>19</v>
      </c>
      <c r="L399" s="104">
        <v>19</v>
      </c>
    </row>
    <row r="400" spans="1:12" x14ac:dyDescent="0.2">
      <c r="A400">
        <f t="shared" si="10"/>
        <v>399</v>
      </c>
      <c r="B400" t="s">
        <v>822</v>
      </c>
      <c r="C400" s="3">
        <v>2</v>
      </c>
      <c r="D400">
        <v>920</v>
      </c>
      <c r="E400" s="2">
        <f t="shared" si="11"/>
        <v>20</v>
      </c>
      <c r="F400" t="str">
        <f>REPT("  ",Aop!$C400)&amp;VLOOKUP($A400,$A$2:$L$403,ID_Jezik+6,1)</f>
        <v xml:space="preserve">    Neto dobici/gubici perioda priznati direktno u kapitalu</v>
      </c>
      <c r="G400" t="s">
        <v>271</v>
      </c>
      <c r="H400" t="s">
        <v>1410</v>
      </c>
      <c r="I400" t="s">
        <v>300</v>
      </c>
      <c r="J400" s="104">
        <v>20</v>
      </c>
      <c r="K400" s="104">
        <v>20</v>
      </c>
      <c r="L400" s="104">
        <v>20</v>
      </c>
    </row>
    <row r="401" spans="1:12" x14ac:dyDescent="0.2">
      <c r="A401">
        <f t="shared" si="10"/>
        <v>400</v>
      </c>
      <c r="B401" t="s">
        <v>822</v>
      </c>
      <c r="C401" s="3">
        <v>2</v>
      </c>
      <c r="D401">
        <v>921</v>
      </c>
      <c r="E401" s="2">
        <f t="shared" si="11"/>
        <v>21</v>
      </c>
      <c r="F401" t="str">
        <f>REPT("  ",Aop!$C401)&amp;VLOOKUP($A401,$A$2:$L$403,ID_Jezik+6,1)</f>
        <v xml:space="preserve">    Objavljene dividende i drugi vidovi raspodjele dobitka i pokriće gubitka</v>
      </c>
      <c r="G401" t="s">
        <v>272</v>
      </c>
      <c r="H401" t="s">
        <v>1411</v>
      </c>
      <c r="I401" t="s">
        <v>291</v>
      </c>
      <c r="J401" s="104">
        <v>21</v>
      </c>
      <c r="K401" s="104">
        <v>21</v>
      </c>
      <c r="L401" s="104">
        <v>21</v>
      </c>
    </row>
    <row r="402" spans="1:12" x14ac:dyDescent="0.2">
      <c r="A402">
        <f t="shared" si="10"/>
        <v>401</v>
      </c>
      <c r="B402" t="s">
        <v>822</v>
      </c>
      <c r="C402" s="3">
        <v>2</v>
      </c>
      <c r="D402">
        <v>922</v>
      </c>
      <c r="E402" s="2">
        <f t="shared" si="11"/>
        <v>22</v>
      </c>
      <c r="F402" t="str">
        <f>REPT("  ",Aop!$C402)&amp;VLOOKUP($A402,$A$2:$L$403,ID_Jezik+6,1)</f>
        <v xml:space="preserve">    Emisija akcijskog kapitala i drugi vidovi povećanja ili smanjenje osnovnog kapitala</v>
      </c>
      <c r="G402" t="s">
        <v>273</v>
      </c>
      <c r="H402" t="s">
        <v>1412</v>
      </c>
      <c r="I402" t="s">
        <v>293</v>
      </c>
      <c r="J402" s="104">
        <v>22</v>
      </c>
      <c r="K402" s="104">
        <v>22</v>
      </c>
      <c r="L402" s="104">
        <v>22</v>
      </c>
    </row>
    <row r="403" spans="1:12" x14ac:dyDescent="0.2">
      <c r="A403">
        <f t="shared" si="10"/>
        <v>402</v>
      </c>
      <c r="B403" t="s">
        <v>822</v>
      </c>
      <c r="C403" s="3">
        <v>0</v>
      </c>
      <c r="D403">
        <v>923</v>
      </c>
      <c r="E403" s="2">
        <f t="shared" si="11"/>
        <v>23</v>
      </c>
      <c r="F403" t="str">
        <f>REPT("  ",Aop!$C403)&amp;VLOOKUP($A403,$A$2:$L$403,ID_Jezik+6,1)</f>
        <v>Stanje na dan 31.12.2014. god. (915 ± 916 ± 917 ± 918 ± 919 ± 920 - 921 + 922)</v>
      </c>
      <c r="G403" s="236" t="str">
        <f>CONCATENATE("Stanje na dan ",Datum_Format," god. (915 ± 916 ± 917 ± 918 ± 919 ± 920 - 921 + 922)")</f>
        <v>Stanje na dan 31.12.2014. god. (915 ± 916 ± 917 ± 918 ± 919 ± 920 - 921 + 922)</v>
      </c>
      <c r="H403" s="236" t="str">
        <f>CONCATENATE("Стaњe нa дaн ",Datum_Format," гoд. (915 ± 916 ± 917 ± 918 ± 919 ± 920 - 921 + 922)")</f>
        <v>Стaњe нa дaн 31.12.2014. гoд. (915 ± 916 ± 917 ± 918 ± 919 ± 920 - 921 + 922)</v>
      </c>
      <c r="I403" s="236" t="str">
        <f>CONCATENATE("Value on day ",  Podesavanja!$X$3," (915 ± 916 ± 917 ± 918 ± 919 ± 920 - 921 + 922)")</f>
        <v>Value on day 31.12.2014 (915 ± 916 ± 917 ± 918 ± 919 ± 920 - 921 + 922)</v>
      </c>
      <c r="J403" s="104">
        <v>23</v>
      </c>
      <c r="K403" s="104">
        <v>23</v>
      </c>
      <c r="L403" s="104">
        <v>23</v>
      </c>
    </row>
    <row r="408" spans="1:12" x14ac:dyDescent="0.2">
      <c r="I408" s="11"/>
    </row>
    <row r="409" spans="1:12" x14ac:dyDescent="0.2">
      <c r="I409" s="11"/>
    </row>
  </sheetData>
  <sheetProtection password="FE56" sheet="1" objects="1" scenarios="1"/>
  <conditionalFormatting sqref="A2:L363 A366:L403">
    <cfRule type="expression" dxfId="59" priority="1" stopIfTrue="1">
      <formula>$B2&lt;&gt;$B3</formula>
    </cfRule>
  </conditionalFormatting>
  <conditionalFormatting sqref="A364:L365">
    <cfRule type="expression" dxfId="58" priority="4" stopIfTrue="1">
      <formula>$B364&lt;&gt;$B366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W1" sqref="W1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103">
        <v>1</v>
      </c>
      <c r="C1" t="str">
        <f>VLOOKUP(ID_Jezik, $B$3:$C$5, 2, 1)</f>
        <v>Srpski - latinica</v>
      </c>
      <c r="E1" s="295">
        <v>1</v>
      </c>
      <c r="F1" t="str">
        <f>VLOOKUP(E1, $E$3:$F$6, 2, 1)</f>
        <v/>
      </c>
      <c r="H1" s="5">
        <f>DATE( Godina, Period_Kraj_Mjesec, Period_Kraj_Dan)</f>
        <v>42004</v>
      </c>
      <c r="I1" s="237">
        <f>VLOOKUP(Datum_Broj, $H$3:$L$6, 2, 0)</f>
        <v>4</v>
      </c>
      <c r="J1">
        <f>VLOOKUP(ID_Izvjestaj,$I$3:$L$6,3,1)</f>
        <v>12</v>
      </c>
      <c r="T1">
        <f>Period_Kraj_Godina</f>
        <v>2014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31.12.2014.</v>
      </c>
      <c r="X1" s="6" t="str">
        <f>TEXT( DATE( Godina, Period_Kraj_Mjesec, Period_Kraj_Dan), "dd.mm.yyyy")</f>
        <v>31.12.2014</v>
      </c>
    </row>
    <row r="2" spans="2:24" x14ac:dyDescent="0.2">
      <c r="B2" t="s">
        <v>874</v>
      </c>
      <c r="C2" t="s">
        <v>807</v>
      </c>
      <c r="E2" s="9" t="s">
        <v>1837</v>
      </c>
      <c r="F2" s="164" t="s">
        <v>1838</v>
      </c>
      <c r="H2" t="s">
        <v>863</v>
      </c>
      <c r="I2" t="s">
        <v>873</v>
      </c>
      <c r="J2" t="s">
        <v>861</v>
      </c>
      <c r="K2" t="s">
        <v>868</v>
      </c>
      <c r="L2" t="s">
        <v>869</v>
      </c>
      <c r="N2" t="s">
        <v>942</v>
      </c>
      <c r="O2" t="s">
        <v>1008</v>
      </c>
      <c r="P2" t="s">
        <v>1009</v>
      </c>
      <c r="R2" t="s">
        <v>1842</v>
      </c>
      <c r="S2" t="s">
        <v>864</v>
      </c>
      <c r="T2" t="s">
        <v>868</v>
      </c>
      <c r="U2" t="s">
        <v>869</v>
      </c>
      <c r="V2" t="s">
        <v>1503</v>
      </c>
      <c r="W2" t="s">
        <v>1853</v>
      </c>
      <c r="X2" t="s">
        <v>1854</v>
      </c>
    </row>
    <row r="3" spans="2:24" x14ac:dyDescent="0.2">
      <c r="B3">
        <v>1</v>
      </c>
      <c r="C3" t="s">
        <v>808</v>
      </c>
      <c r="E3" s="9">
        <v>1</v>
      </c>
      <c r="F3" s="230" t="str">
        <f>IF( Revidiran_izvjestaj, Revizija_Pozitivno, "")</f>
        <v/>
      </c>
      <c r="H3" s="5">
        <f>DATE(Godina, K3, L3)</f>
        <v>41729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819</v>
      </c>
      <c r="O3">
        <f t="array" ref="O3">MIN(IF(Aop!$B$2:$B$403=Podesavanja!$N3,Aop!$A$2:$A$403))</f>
        <v>1</v>
      </c>
      <c r="P3">
        <f t="array" ref="P3">MAX(IF(Aop!$B$2:$B$403=Podesavanja!$N3,Aop!$A$2:$A$403))</f>
        <v>129</v>
      </c>
      <c r="R3" t="s">
        <v>1839</v>
      </c>
      <c r="S3">
        <v>0</v>
      </c>
      <c r="T3">
        <f>Period_Kraj_Mjesec</f>
        <v>12</v>
      </c>
      <c r="U3">
        <f>Period_Kraj_Dan</f>
        <v>31</v>
      </c>
      <c r="V3" s="229">
        <f>DATE( Godina + S3, T3, U3)</f>
        <v>42004</v>
      </c>
      <c r="W3" t="str">
        <f>TEXT(V3, "dd.mm.yyyy.")</f>
        <v>31.12.2014.</v>
      </c>
      <c r="X3" t="str">
        <f>TEXT(V3, "dd.mm.yyyy")</f>
        <v>31.12.2014</v>
      </c>
    </row>
    <row r="4" spans="2:24" x14ac:dyDescent="0.2">
      <c r="B4">
        <v>2</v>
      </c>
      <c r="C4" t="s">
        <v>809</v>
      </c>
      <c r="E4" s="9">
        <v>2</v>
      </c>
      <c r="F4" s="230" t="str">
        <f>IF( Revidiran_izvjestaj, Revizija_Sa_rezervom, "")</f>
        <v/>
      </c>
      <c r="H4" s="5">
        <f>DATE(Godina, K4, L4)</f>
        <v>41820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966</v>
      </c>
      <c r="O4">
        <f t="array" ref="O4">MIN(IF(Aop!$B$2:$B$403=Podesavanja!$N4,Aop!$A$2:$A$403))</f>
        <v>130</v>
      </c>
      <c r="P4">
        <f t="array" ref="P4">MAX(IF(Aop!$B$2:$B$403=Podesavanja!$N4,Aop!$A$2:$A$403))</f>
        <v>244</v>
      </c>
      <c r="R4" t="s">
        <v>1077</v>
      </c>
      <c r="S4">
        <v>0</v>
      </c>
      <c r="T4">
        <v>1</v>
      </c>
      <c r="U4">
        <v>1</v>
      </c>
      <c r="V4" s="229">
        <f>DATE( Godina + S4, T4, U4)</f>
        <v>41640</v>
      </c>
      <c r="W4" t="str">
        <f>TEXT(V4, "dd.mm.yyyy.")</f>
        <v>01.01.2014.</v>
      </c>
      <c r="X4" t="str">
        <f>TEXT(V4, "dd.mm.yyyy")</f>
        <v>01.01.2014</v>
      </c>
    </row>
    <row r="5" spans="2:24" x14ac:dyDescent="0.2">
      <c r="B5">
        <v>3</v>
      </c>
      <c r="C5" t="s">
        <v>787</v>
      </c>
      <c r="E5" s="9">
        <v>3</v>
      </c>
      <c r="F5" s="230" t="str">
        <f>IF( Revidiran_izvjestaj, Revizija_Negativno, "")</f>
        <v/>
      </c>
      <c r="H5" s="5">
        <f>DATE(Godina, K5, L5)</f>
        <v>41912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1018</v>
      </c>
      <c r="O5">
        <f t="array" ref="O5">MIN(IF(Aop!$B$2:$B$403=Podesavanja!$N5,Aop!$A$2:$A$403))</f>
        <v>245</v>
      </c>
      <c r="P5">
        <f t="array" ref="P5">MAX(IF(Aop!$B$2:$B$403=Podesavanja!$N5,Aop!$A$2:$A$403))</f>
        <v>264</v>
      </c>
      <c r="R5" t="s">
        <v>1840</v>
      </c>
      <c r="S5">
        <v>-1</v>
      </c>
      <c r="T5">
        <v>12</v>
      </c>
      <c r="U5">
        <v>31</v>
      </c>
      <c r="V5" s="229">
        <f>DATE( Godina + S5, T5, U5)</f>
        <v>41639</v>
      </c>
      <c r="W5" t="str">
        <f>TEXT(V5, "dd.mm.yyyy.")</f>
        <v>31.12.2013.</v>
      </c>
      <c r="X5" t="str">
        <f>TEXT(V5, "dd.mm.yyyy")</f>
        <v>31.12.2013</v>
      </c>
    </row>
    <row r="6" spans="2:24" x14ac:dyDescent="0.2">
      <c r="E6" s="9">
        <v>4</v>
      </c>
      <c r="F6" s="230" t="str">
        <f>IF( Revidiran_izvjestaj, Revizija_Uzdrzavanje, "")</f>
        <v/>
      </c>
      <c r="H6" s="5">
        <f>DATE(Godina, K6, L6)</f>
        <v>42004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820</v>
      </c>
      <c r="O6">
        <f t="array" ref="O6">MIN(IF(Aop!$B$2:$B$403=Podesavanja!$N6,Aop!$A$2:$A$403))</f>
        <v>265</v>
      </c>
      <c r="P6">
        <f t="array" ref="P6">MAX(IF(Aop!$B$2:$B$403=Podesavanja!$N6,Aop!$A$2:$A$403))</f>
        <v>315</v>
      </c>
      <c r="R6" t="s">
        <v>1841</v>
      </c>
      <c r="S6">
        <v>-1</v>
      </c>
      <c r="T6">
        <v>1</v>
      </c>
      <c r="U6">
        <v>1</v>
      </c>
      <c r="V6" s="229">
        <f>DATE( Godina + S6, T6, U6)</f>
        <v>41275</v>
      </c>
      <c r="W6" t="str">
        <f>TEXT(V6, "dd.mm.yyyy.")</f>
        <v>01.01.2013.</v>
      </c>
      <c r="X6" t="str">
        <f>TEXT(V6, "dd.mm.yyyy")</f>
        <v>01.01.2013</v>
      </c>
    </row>
    <row r="7" spans="2:24" x14ac:dyDescent="0.2">
      <c r="N7" t="s">
        <v>821</v>
      </c>
      <c r="O7">
        <f t="array" ref="O7">MIN(IF(Aop!$B$2:$B$403=Podesavanja!$N7,Aop!$A$2:$A$403))</f>
        <v>316</v>
      </c>
      <c r="P7">
        <f t="array" ref="P7">MIN(IF(Aop!$B$2:$B$403=Podesavanja!$N7,Aop!$A$2:$A$403))</f>
        <v>316</v>
      </c>
    </row>
    <row r="8" spans="2:24" x14ac:dyDescent="0.2">
      <c r="N8" t="s">
        <v>822</v>
      </c>
      <c r="O8">
        <f t="array" ref="O8">MIN(IF(Aop!$B$2:$B$403=Podesavanja!$N8,Aop!$A$2:$A$403))</f>
        <v>380</v>
      </c>
      <c r="P8">
        <f t="array" ref="P8">MIN(IF(Aop!$B$2:$B$403=Podesavanja!$N8,Aop!$A$2:$A$403))</f>
        <v>380</v>
      </c>
    </row>
    <row r="17" spans="23:23" x14ac:dyDescent="0.2">
      <c r="W17" s="228"/>
    </row>
    <row r="18" spans="23:23" x14ac:dyDescent="0.2">
      <c r="W18" s="228"/>
    </row>
    <row r="19" spans="23:23" x14ac:dyDescent="0.2">
      <c r="W19" s="228"/>
    </row>
    <row r="20" spans="23:23" x14ac:dyDescent="0.2">
      <c r="W20" s="228"/>
    </row>
  </sheetData>
  <sheetProtection password="FE56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66"/>
  <sheetViews>
    <sheetView showGridLines="0" workbookViewId="0"/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0" width="8.85546875" customWidth="1"/>
    <col min="11" max="11" width="10.7109375" customWidth="1"/>
    <col min="12" max="12" width="8.28515625" customWidth="1"/>
    <col min="13" max="13" width="9.28515625" customWidth="1"/>
  </cols>
  <sheetData>
    <row r="1" spans="1:19" ht="13.5" thickBot="1" x14ac:dyDescent="0.25">
      <c r="A1" s="212" t="s">
        <v>810</v>
      </c>
      <c r="B1" s="213" t="s">
        <v>942</v>
      </c>
      <c r="C1" s="214" t="s">
        <v>1078</v>
      </c>
      <c r="D1" s="215" t="s">
        <v>812</v>
      </c>
      <c r="E1" s="215" t="s">
        <v>574</v>
      </c>
      <c r="F1" s="215" t="s">
        <v>1762</v>
      </c>
      <c r="G1" s="214" t="s">
        <v>1503</v>
      </c>
      <c r="H1" t="s">
        <v>632</v>
      </c>
      <c r="I1" s="214" t="s">
        <v>864</v>
      </c>
      <c r="J1" s="214" t="s">
        <v>615</v>
      </c>
      <c r="K1" s="214" t="s">
        <v>1080</v>
      </c>
      <c r="L1" s="214" t="s">
        <v>1081</v>
      </c>
      <c r="M1" s="214" t="s">
        <v>1082</v>
      </c>
      <c r="N1" s="2"/>
      <c r="O1" s="2"/>
      <c r="P1" s="2"/>
      <c r="Q1" s="2"/>
      <c r="R1" s="2">
        <v>2</v>
      </c>
      <c r="S1" s="2">
        <v>3</v>
      </c>
    </row>
    <row r="2" spans="1:19" ht="13.5" thickTop="1" x14ac:dyDescent="0.2">
      <c r="A2" s="216">
        <v>2</v>
      </c>
      <c r="B2" s="217" t="s">
        <v>819</v>
      </c>
      <c r="C2" s="13">
        <f t="shared" ref="C2:C65" si="0">ID_Izvjestaj</f>
        <v>4</v>
      </c>
      <c r="D2" s="215" t="str">
        <f t="shared" ref="D2:D65" si="1">Podatak_MB</f>
        <v>11029752</v>
      </c>
      <c r="E2" s="215" t="str">
        <f>Podatak_JIB</f>
        <v>4402748120004</v>
      </c>
      <c r="F2" s="215" t="b">
        <f t="shared" ref="F2:F65" si="2">Konsolidovan_izvjestaj</f>
        <v>0</v>
      </c>
      <c r="G2" s="283">
        <f t="shared" ref="G2:G65" si="3">Datum_Broj</f>
        <v>42004</v>
      </c>
      <c r="H2" s="13">
        <v>1</v>
      </c>
      <c r="I2" s="13">
        <f t="shared" ref="I2:I65" si="4">Godina</f>
        <v>2014</v>
      </c>
      <c r="J2" s="90">
        <f t="shared" ref="J2:J65" ca="1" si="5">IF(VLOOKUP($H2,INDIRECT("Lookup_"&amp;$B2),IF($B2="BS",P$2,P$1),0)="","",VLOOKUP($H2,INDIRECT("Lookup_"&amp;$B2),IF($B2="BS",P$2,P$1),0))</f>
        <v>15591030</v>
      </c>
      <c r="K2" s="90">
        <f t="shared" ref="K2:K65" ca="1" si="6">IF(VLOOKUP($H2,INDIRECT("Lookup_"&amp;$B2),IF($B2="BS",Q$2,Q$1),0)="","",VLOOKUP($H2,INDIRECT("Lookup_"&amp;$B2),IF($B2="BS",Q$2,Q$1),0))</f>
        <v>12012834</v>
      </c>
      <c r="L2" s="90">
        <f t="shared" ref="L2:L65" ca="1" si="7">IF(VLOOKUP($H2,INDIRECT("Lookup_"&amp;$B2),IF($B2="BS",R$2,R$1),0)="","",VLOOKUP($H2,INDIRECT("Lookup_"&amp;$B2),IF($B2="BS",R$2,R$1),0))</f>
        <v>3578196</v>
      </c>
      <c r="M2" s="90">
        <f t="shared" ref="M2:M65" ca="1" si="8">IF(VLOOKUP($H2,INDIRECT("Lookup_"&amp;$B2),IF($B2="BS",S$2,S$1),0)="","",VLOOKUP($H2,INDIRECT("Lookup_"&amp;$B2),IF($B2="BS",S$2,S$1),0))</f>
        <v>3779085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216">
        <v>3</v>
      </c>
      <c r="B3" s="217" t="s">
        <v>819</v>
      </c>
      <c r="C3" s="13">
        <f t="shared" si="0"/>
        <v>4</v>
      </c>
      <c r="D3" s="215" t="str">
        <f t="shared" si="1"/>
        <v>11029752</v>
      </c>
      <c r="E3" s="215" t="str">
        <f t="shared" ref="E3:E65" si="9">Podatak_JIB</f>
        <v>4402748120004</v>
      </c>
      <c r="F3" s="215" t="b">
        <f t="shared" si="2"/>
        <v>0</v>
      </c>
      <c r="G3" s="283">
        <f t="shared" si="3"/>
        <v>42004</v>
      </c>
      <c r="H3" s="13">
        <v>2</v>
      </c>
      <c r="I3" s="13">
        <f t="shared" si="4"/>
        <v>2014</v>
      </c>
      <c r="J3" s="90">
        <f t="shared" ca="1" si="5"/>
        <v>138534</v>
      </c>
      <c r="K3" s="90">
        <f t="shared" ca="1" si="6"/>
        <v>100119</v>
      </c>
      <c r="L3" s="90">
        <f t="shared" ca="1" si="7"/>
        <v>38415</v>
      </c>
      <c r="M3" s="90">
        <f t="shared" ca="1" si="8"/>
        <v>60615</v>
      </c>
    </row>
    <row r="4" spans="1:19" x14ac:dyDescent="0.2">
      <c r="A4" s="216">
        <v>4</v>
      </c>
      <c r="B4" s="217" t="s">
        <v>819</v>
      </c>
      <c r="C4" s="13">
        <f t="shared" si="0"/>
        <v>4</v>
      </c>
      <c r="D4" s="215" t="str">
        <f t="shared" si="1"/>
        <v>11029752</v>
      </c>
      <c r="E4" s="215" t="str">
        <f t="shared" si="9"/>
        <v>4402748120004</v>
      </c>
      <c r="F4" s="215" t="b">
        <f t="shared" si="2"/>
        <v>0</v>
      </c>
      <c r="G4" s="283">
        <f t="shared" si="3"/>
        <v>42004</v>
      </c>
      <c r="H4" s="13">
        <v>3</v>
      </c>
      <c r="I4" s="13">
        <f t="shared" si="4"/>
        <v>2014</v>
      </c>
      <c r="J4" s="90" t="str">
        <f t="shared" ca="1" si="5"/>
        <v/>
      </c>
      <c r="K4" s="90" t="str">
        <f t="shared" ca="1" si="6"/>
        <v/>
      </c>
      <c r="L4" s="90">
        <f t="shared" ca="1" si="7"/>
        <v>0</v>
      </c>
      <c r="M4" s="90">
        <f t="shared" ca="1" si="8"/>
        <v>22576</v>
      </c>
    </row>
    <row r="5" spans="1:19" x14ac:dyDescent="0.2">
      <c r="A5" s="216">
        <v>5</v>
      </c>
      <c r="B5" s="217" t="s">
        <v>819</v>
      </c>
      <c r="C5" s="13">
        <f t="shared" si="0"/>
        <v>4</v>
      </c>
      <c r="D5" s="215" t="str">
        <f t="shared" si="1"/>
        <v>11029752</v>
      </c>
      <c r="E5" s="215" t="str">
        <f t="shared" si="9"/>
        <v>4402748120004</v>
      </c>
      <c r="F5" s="215" t="b">
        <f t="shared" si="2"/>
        <v>0</v>
      </c>
      <c r="G5" s="283">
        <f t="shared" si="3"/>
        <v>42004</v>
      </c>
      <c r="H5" s="13">
        <v>4</v>
      </c>
      <c r="I5" s="13">
        <f t="shared" si="4"/>
        <v>2014</v>
      </c>
      <c r="J5" s="90">
        <f t="shared" ca="1" si="5"/>
        <v>45779</v>
      </c>
      <c r="K5" s="90">
        <f t="shared" ca="1" si="6"/>
        <v>16896</v>
      </c>
      <c r="L5" s="90">
        <f t="shared" ca="1" si="7"/>
        <v>28883</v>
      </c>
      <c r="M5" s="90">
        <f t="shared" ca="1" si="8"/>
        <v>38039</v>
      </c>
    </row>
    <row r="6" spans="1:19" x14ac:dyDescent="0.2">
      <c r="A6" s="216">
        <v>6</v>
      </c>
      <c r="B6" s="217" t="s">
        <v>819</v>
      </c>
      <c r="C6" s="13">
        <f t="shared" si="0"/>
        <v>4</v>
      </c>
      <c r="D6" s="215" t="str">
        <f t="shared" si="1"/>
        <v>11029752</v>
      </c>
      <c r="E6" s="215" t="str">
        <f t="shared" si="9"/>
        <v>4402748120004</v>
      </c>
      <c r="F6" s="215" t="b">
        <f t="shared" si="2"/>
        <v>0</v>
      </c>
      <c r="G6" s="283">
        <f t="shared" si="3"/>
        <v>42004</v>
      </c>
      <c r="H6" s="13">
        <v>5</v>
      </c>
      <c r="I6" s="13">
        <f t="shared" si="4"/>
        <v>2014</v>
      </c>
      <c r="J6" s="90" t="str">
        <f t="shared" ca="1" si="5"/>
        <v/>
      </c>
      <c r="K6" s="90" t="str">
        <f t="shared" ca="1" si="6"/>
        <v/>
      </c>
      <c r="L6" s="90">
        <f t="shared" ca="1" si="7"/>
        <v>0</v>
      </c>
      <c r="M6" s="90" t="str">
        <f t="shared" ca="1" si="8"/>
        <v/>
      </c>
    </row>
    <row r="7" spans="1:19" x14ac:dyDescent="0.2">
      <c r="A7" s="216">
        <v>7</v>
      </c>
      <c r="B7" s="217" t="s">
        <v>819</v>
      </c>
      <c r="C7" s="13">
        <f t="shared" si="0"/>
        <v>4</v>
      </c>
      <c r="D7" s="215" t="str">
        <f t="shared" si="1"/>
        <v>11029752</v>
      </c>
      <c r="E7" s="215" t="str">
        <f t="shared" si="9"/>
        <v>4402748120004</v>
      </c>
      <c r="F7" s="215" t="b">
        <f t="shared" si="2"/>
        <v>0</v>
      </c>
      <c r="G7" s="283">
        <f t="shared" si="3"/>
        <v>42004</v>
      </c>
      <c r="H7" s="13">
        <v>6</v>
      </c>
      <c r="I7" s="13">
        <f t="shared" si="4"/>
        <v>2014</v>
      </c>
      <c r="J7" s="90">
        <f t="shared" ca="1" si="5"/>
        <v>92755</v>
      </c>
      <c r="K7" s="90">
        <f t="shared" ca="1" si="6"/>
        <v>83223</v>
      </c>
      <c r="L7" s="90">
        <f t="shared" ca="1" si="7"/>
        <v>9532</v>
      </c>
      <c r="M7" s="90" t="str">
        <f t="shared" ca="1" si="8"/>
        <v/>
      </c>
    </row>
    <row r="8" spans="1:19" x14ac:dyDescent="0.2">
      <c r="A8" s="216">
        <v>8</v>
      </c>
      <c r="B8" s="217" t="s">
        <v>819</v>
      </c>
      <c r="C8" s="13">
        <f t="shared" si="0"/>
        <v>4</v>
      </c>
      <c r="D8" s="215" t="str">
        <f t="shared" si="1"/>
        <v>11029752</v>
      </c>
      <c r="E8" s="215" t="str">
        <f t="shared" si="9"/>
        <v>4402748120004</v>
      </c>
      <c r="F8" s="215" t="b">
        <f t="shared" si="2"/>
        <v>0</v>
      </c>
      <c r="G8" s="283">
        <f t="shared" si="3"/>
        <v>42004</v>
      </c>
      <c r="H8" s="13">
        <v>7</v>
      </c>
      <c r="I8" s="13">
        <f t="shared" si="4"/>
        <v>2014</v>
      </c>
      <c r="J8" s="90" t="str">
        <f t="shared" ca="1" si="5"/>
        <v/>
      </c>
      <c r="K8" s="90" t="str">
        <f t="shared" ca="1" si="6"/>
        <v/>
      </c>
      <c r="L8" s="90">
        <f t="shared" ca="1" si="7"/>
        <v>0</v>
      </c>
      <c r="M8" s="90" t="str">
        <f t="shared" ca="1" si="8"/>
        <v/>
      </c>
    </row>
    <row r="9" spans="1:19" x14ac:dyDescent="0.2">
      <c r="A9" s="216">
        <v>9</v>
      </c>
      <c r="B9" s="217" t="s">
        <v>819</v>
      </c>
      <c r="C9" s="13">
        <f t="shared" si="0"/>
        <v>4</v>
      </c>
      <c r="D9" s="215" t="str">
        <f t="shared" si="1"/>
        <v>11029752</v>
      </c>
      <c r="E9" s="215" t="str">
        <f t="shared" si="9"/>
        <v>4402748120004</v>
      </c>
      <c r="F9" s="215" t="b">
        <f t="shared" si="2"/>
        <v>0</v>
      </c>
      <c r="G9" s="283">
        <f t="shared" si="3"/>
        <v>42004</v>
      </c>
      <c r="H9" s="13">
        <v>8</v>
      </c>
      <c r="I9" s="13">
        <f t="shared" si="4"/>
        <v>2014</v>
      </c>
      <c r="J9" s="90">
        <f t="shared" ca="1" si="5"/>
        <v>15452496</v>
      </c>
      <c r="K9" s="90">
        <f t="shared" ca="1" si="6"/>
        <v>11912715</v>
      </c>
      <c r="L9" s="90">
        <f t="shared" ca="1" si="7"/>
        <v>3539781</v>
      </c>
      <c r="M9" s="90">
        <f t="shared" ca="1" si="8"/>
        <v>3718470</v>
      </c>
    </row>
    <row r="10" spans="1:19" x14ac:dyDescent="0.2">
      <c r="A10" s="216">
        <v>10</v>
      </c>
      <c r="B10" s="217" t="s">
        <v>819</v>
      </c>
      <c r="C10" s="13">
        <f t="shared" si="0"/>
        <v>4</v>
      </c>
      <c r="D10" s="215" t="str">
        <f t="shared" si="1"/>
        <v>11029752</v>
      </c>
      <c r="E10" s="215" t="str">
        <f t="shared" si="9"/>
        <v>4402748120004</v>
      </c>
      <c r="F10" s="215" t="b">
        <f t="shared" si="2"/>
        <v>0</v>
      </c>
      <c r="G10" s="283">
        <f t="shared" si="3"/>
        <v>42004</v>
      </c>
      <c r="H10" s="13">
        <v>9</v>
      </c>
      <c r="I10" s="13">
        <f t="shared" si="4"/>
        <v>2014</v>
      </c>
      <c r="J10" s="90">
        <f t="shared" ca="1" si="5"/>
        <v>400924</v>
      </c>
      <c r="K10" s="90" t="str">
        <f t="shared" ca="1" si="6"/>
        <v/>
      </c>
      <c r="L10" s="90">
        <f t="shared" ca="1" si="7"/>
        <v>400924</v>
      </c>
      <c r="M10" s="90">
        <f t="shared" ca="1" si="8"/>
        <v>400924</v>
      </c>
    </row>
    <row r="11" spans="1:19" x14ac:dyDescent="0.2">
      <c r="A11" s="216">
        <v>11</v>
      </c>
      <c r="B11" s="217" t="s">
        <v>819</v>
      </c>
      <c r="C11" s="13">
        <f t="shared" si="0"/>
        <v>4</v>
      </c>
      <c r="D11" s="215" t="str">
        <f t="shared" si="1"/>
        <v>11029752</v>
      </c>
      <c r="E11" s="215" t="str">
        <f t="shared" si="9"/>
        <v>4402748120004</v>
      </c>
      <c r="F11" s="215" t="b">
        <f t="shared" si="2"/>
        <v>0</v>
      </c>
      <c r="G11" s="283">
        <f t="shared" si="3"/>
        <v>42004</v>
      </c>
      <c r="H11" s="13">
        <v>10</v>
      </c>
      <c r="I11" s="13">
        <f t="shared" si="4"/>
        <v>2014</v>
      </c>
      <c r="J11" s="90">
        <f t="shared" ca="1" si="5"/>
        <v>7393504</v>
      </c>
      <c r="K11" s="90">
        <f t="shared" ca="1" si="6"/>
        <v>6655838</v>
      </c>
      <c r="L11" s="90">
        <f t="shared" ca="1" si="7"/>
        <v>737666</v>
      </c>
      <c r="M11" s="90">
        <f t="shared" ca="1" si="8"/>
        <v>1003434</v>
      </c>
    </row>
    <row r="12" spans="1:19" x14ac:dyDescent="0.2">
      <c r="A12" s="216">
        <v>12</v>
      </c>
      <c r="B12" s="217" t="s">
        <v>819</v>
      </c>
      <c r="C12" s="13">
        <f t="shared" si="0"/>
        <v>4</v>
      </c>
      <c r="D12" s="215" t="str">
        <f t="shared" si="1"/>
        <v>11029752</v>
      </c>
      <c r="E12" s="215" t="str">
        <f t="shared" si="9"/>
        <v>4402748120004</v>
      </c>
      <c r="F12" s="215" t="b">
        <f t="shared" si="2"/>
        <v>0</v>
      </c>
      <c r="G12" s="283">
        <f t="shared" si="3"/>
        <v>42004</v>
      </c>
      <c r="H12" s="13">
        <v>11</v>
      </c>
      <c r="I12" s="13">
        <f t="shared" si="4"/>
        <v>2014</v>
      </c>
      <c r="J12" s="90">
        <f t="shared" ca="1" si="5"/>
        <v>7392233</v>
      </c>
      <c r="K12" s="90">
        <f t="shared" ca="1" si="6"/>
        <v>5130293</v>
      </c>
      <c r="L12" s="90">
        <f t="shared" ca="1" si="7"/>
        <v>2261940</v>
      </c>
      <c r="M12" s="90">
        <f t="shared" ca="1" si="8"/>
        <v>2279450</v>
      </c>
    </row>
    <row r="13" spans="1:19" x14ac:dyDescent="0.2">
      <c r="A13" s="216">
        <v>13</v>
      </c>
      <c r="B13" s="217" t="s">
        <v>819</v>
      </c>
      <c r="C13" s="13">
        <f t="shared" si="0"/>
        <v>4</v>
      </c>
      <c r="D13" s="215" t="str">
        <f t="shared" si="1"/>
        <v>11029752</v>
      </c>
      <c r="E13" s="215" t="str">
        <f t="shared" si="9"/>
        <v>4402748120004</v>
      </c>
      <c r="F13" s="215" t="b">
        <f t="shared" si="2"/>
        <v>0</v>
      </c>
      <c r="G13" s="283">
        <f t="shared" si="3"/>
        <v>42004</v>
      </c>
      <c r="H13" s="13">
        <v>12</v>
      </c>
      <c r="I13" s="13">
        <f t="shared" si="4"/>
        <v>2014</v>
      </c>
      <c r="J13" s="90" t="str">
        <f t="shared" ca="1" si="5"/>
        <v/>
      </c>
      <c r="K13" s="90" t="str">
        <f t="shared" ca="1" si="6"/>
        <v/>
      </c>
      <c r="L13" s="90">
        <f t="shared" ca="1" si="7"/>
        <v>0</v>
      </c>
      <c r="M13" s="90" t="str">
        <f t="shared" ca="1" si="8"/>
        <v/>
      </c>
    </row>
    <row r="14" spans="1:19" x14ac:dyDescent="0.2">
      <c r="A14" s="216">
        <v>14</v>
      </c>
      <c r="B14" s="217" t="s">
        <v>819</v>
      </c>
      <c r="C14" s="13">
        <f t="shared" si="0"/>
        <v>4</v>
      </c>
      <c r="D14" s="215" t="str">
        <f t="shared" si="1"/>
        <v>11029752</v>
      </c>
      <c r="E14" s="215" t="str">
        <f t="shared" si="9"/>
        <v>4402748120004</v>
      </c>
      <c r="F14" s="215" t="b">
        <f t="shared" si="2"/>
        <v>0</v>
      </c>
      <c r="G14" s="283">
        <f t="shared" si="3"/>
        <v>42004</v>
      </c>
      <c r="H14" s="13">
        <v>13</v>
      </c>
      <c r="I14" s="13">
        <f t="shared" si="4"/>
        <v>2014</v>
      </c>
      <c r="J14" s="90">
        <f t="shared" ca="1" si="5"/>
        <v>109475</v>
      </c>
      <c r="K14" s="90" t="str">
        <f t="shared" ca="1" si="6"/>
        <v/>
      </c>
      <c r="L14" s="90">
        <f t="shared" ca="1" si="7"/>
        <v>109475</v>
      </c>
      <c r="M14" s="90">
        <f t="shared" ca="1" si="8"/>
        <v>7025</v>
      </c>
    </row>
    <row r="15" spans="1:19" x14ac:dyDescent="0.2">
      <c r="A15" s="216">
        <v>15</v>
      </c>
      <c r="B15" s="217" t="s">
        <v>819</v>
      </c>
      <c r="C15" s="13">
        <f t="shared" si="0"/>
        <v>4</v>
      </c>
      <c r="D15" s="215" t="str">
        <f t="shared" si="1"/>
        <v>11029752</v>
      </c>
      <c r="E15" s="215" t="str">
        <f t="shared" si="9"/>
        <v>4402748120004</v>
      </c>
      <c r="F15" s="215" t="b">
        <f t="shared" si="2"/>
        <v>0</v>
      </c>
      <c r="G15" s="283">
        <f t="shared" si="3"/>
        <v>42004</v>
      </c>
      <c r="H15" s="13">
        <v>14</v>
      </c>
      <c r="I15" s="13">
        <f t="shared" si="4"/>
        <v>2014</v>
      </c>
      <c r="J15" s="90">
        <f t="shared" ca="1" si="5"/>
        <v>156360</v>
      </c>
      <c r="K15" s="90">
        <f t="shared" ca="1" si="6"/>
        <v>126584</v>
      </c>
      <c r="L15" s="90">
        <f t="shared" ca="1" si="7"/>
        <v>29776</v>
      </c>
      <c r="M15" s="90">
        <f t="shared" ca="1" si="8"/>
        <v>27637</v>
      </c>
    </row>
    <row r="16" spans="1:19" x14ac:dyDescent="0.2">
      <c r="A16" s="216">
        <v>16</v>
      </c>
      <c r="B16" s="217" t="s">
        <v>819</v>
      </c>
      <c r="C16" s="13">
        <f t="shared" si="0"/>
        <v>4</v>
      </c>
      <c r="D16" s="215" t="str">
        <f t="shared" si="1"/>
        <v>11029752</v>
      </c>
      <c r="E16" s="215" t="str">
        <f t="shared" si="9"/>
        <v>4402748120004</v>
      </c>
      <c r="F16" s="215" t="b">
        <f t="shared" si="2"/>
        <v>0</v>
      </c>
      <c r="G16" s="283">
        <f t="shared" si="3"/>
        <v>42004</v>
      </c>
      <c r="H16" s="13">
        <v>15</v>
      </c>
      <c r="I16" s="13">
        <f t="shared" si="4"/>
        <v>2014</v>
      </c>
      <c r="J16" s="90">
        <f t="shared" ca="1" si="5"/>
        <v>0</v>
      </c>
      <c r="K16" s="90">
        <f t="shared" ca="1" si="6"/>
        <v>0</v>
      </c>
      <c r="L16" s="90">
        <f t="shared" ca="1" si="7"/>
        <v>0</v>
      </c>
      <c r="M16" s="90">
        <f t="shared" ca="1" si="8"/>
        <v>0</v>
      </c>
    </row>
    <row r="17" spans="1:13" x14ac:dyDescent="0.2">
      <c r="A17" s="216">
        <v>17</v>
      </c>
      <c r="B17" s="217" t="s">
        <v>819</v>
      </c>
      <c r="C17" s="13">
        <f t="shared" si="0"/>
        <v>4</v>
      </c>
      <c r="D17" s="215" t="str">
        <f t="shared" si="1"/>
        <v>11029752</v>
      </c>
      <c r="E17" s="215" t="str">
        <f t="shared" si="9"/>
        <v>4402748120004</v>
      </c>
      <c r="F17" s="215" t="b">
        <f t="shared" si="2"/>
        <v>0</v>
      </c>
      <c r="G17" s="283">
        <f t="shared" si="3"/>
        <v>42004</v>
      </c>
      <c r="H17" s="13">
        <v>16</v>
      </c>
      <c r="I17" s="13">
        <f t="shared" si="4"/>
        <v>2014</v>
      </c>
      <c r="J17" s="90" t="str">
        <f t="shared" ca="1" si="5"/>
        <v/>
      </c>
      <c r="K17" s="90" t="str">
        <f t="shared" ca="1" si="6"/>
        <v/>
      </c>
      <c r="L17" s="90">
        <f t="shared" ca="1" si="7"/>
        <v>0</v>
      </c>
      <c r="M17" s="90" t="str">
        <f t="shared" ca="1" si="8"/>
        <v/>
      </c>
    </row>
    <row r="18" spans="1:13" x14ac:dyDescent="0.2">
      <c r="A18" s="216">
        <v>18</v>
      </c>
      <c r="B18" s="217" t="s">
        <v>819</v>
      </c>
      <c r="C18" s="13">
        <f t="shared" si="0"/>
        <v>4</v>
      </c>
      <c r="D18" s="215" t="str">
        <f t="shared" si="1"/>
        <v>11029752</v>
      </c>
      <c r="E18" s="215" t="str">
        <f t="shared" si="9"/>
        <v>4402748120004</v>
      </c>
      <c r="F18" s="215" t="b">
        <f t="shared" si="2"/>
        <v>0</v>
      </c>
      <c r="G18" s="283">
        <f t="shared" si="3"/>
        <v>42004</v>
      </c>
      <c r="H18" s="13">
        <v>17</v>
      </c>
      <c r="I18" s="13">
        <f t="shared" si="4"/>
        <v>2014</v>
      </c>
      <c r="J18" s="90" t="str">
        <f t="shared" ca="1" si="5"/>
        <v/>
      </c>
      <c r="K18" s="90" t="str">
        <f t="shared" ca="1" si="6"/>
        <v/>
      </c>
      <c r="L18" s="90">
        <f t="shared" ca="1" si="7"/>
        <v>0</v>
      </c>
      <c r="M18" s="90" t="str">
        <f t="shared" ca="1" si="8"/>
        <v/>
      </c>
    </row>
    <row r="19" spans="1:13" x14ac:dyDescent="0.2">
      <c r="A19" s="216">
        <v>19</v>
      </c>
      <c r="B19" s="217" t="s">
        <v>819</v>
      </c>
      <c r="C19" s="13">
        <f t="shared" si="0"/>
        <v>4</v>
      </c>
      <c r="D19" s="215" t="str">
        <f t="shared" si="1"/>
        <v>11029752</v>
      </c>
      <c r="E19" s="215" t="str">
        <f t="shared" si="9"/>
        <v>4402748120004</v>
      </c>
      <c r="F19" s="215" t="b">
        <f t="shared" si="2"/>
        <v>0</v>
      </c>
      <c r="G19" s="283">
        <f t="shared" si="3"/>
        <v>42004</v>
      </c>
      <c r="H19" s="13">
        <v>18</v>
      </c>
      <c r="I19" s="13">
        <f t="shared" si="4"/>
        <v>2014</v>
      </c>
      <c r="J19" s="90" t="str">
        <f t="shared" ca="1" si="5"/>
        <v/>
      </c>
      <c r="K19" s="90" t="str">
        <f t="shared" ca="1" si="6"/>
        <v/>
      </c>
      <c r="L19" s="90">
        <f t="shared" ca="1" si="7"/>
        <v>0</v>
      </c>
      <c r="M19" s="90" t="str">
        <f t="shared" ca="1" si="8"/>
        <v/>
      </c>
    </row>
    <row r="20" spans="1:13" x14ac:dyDescent="0.2">
      <c r="A20" s="216">
        <v>20</v>
      </c>
      <c r="B20" s="217" t="s">
        <v>819</v>
      </c>
      <c r="C20" s="13">
        <f t="shared" si="0"/>
        <v>4</v>
      </c>
      <c r="D20" s="215" t="str">
        <f t="shared" si="1"/>
        <v>11029752</v>
      </c>
      <c r="E20" s="215" t="str">
        <f t="shared" si="9"/>
        <v>4402748120004</v>
      </c>
      <c r="F20" s="215" t="b">
        <f t="shared" si="2"/>
        <v>0</v>
      </c>
      <c r="G20" s="283">
        <f t="shared" si="3"/>
        <v>42004</v>
      </c>
      <c r="H20" s="13">
        <v>19</v>
      </c>
      <c r="I20" s="13">
        <f t="shared" si="4"/>
        <v>2014</v>
      </c>
      <c r="J20" s="90" t="str">
        <f t="shared" ca="1" si="5"/>
        <v/>
      </c>
      <c r="K20" s="90" t="str">
        <f t="shared" ca="1" si="6"/>
        <v/>
      </c>
      <c r="L20" s="90">
        <f t="shared" ca="1" si="7"/>
        <v>0</v>
      </c>
      <c r="M20" s="90" t="str">
        <f t="shared" ca="1" si="8"/>
        <v/>
      </c>
    </row>
    <row r="21" spans="1:13" x14ac:dyDescent="0.2">
      <c r="A21" s="216">
        <v>21</v>
      </c>
      <c r="B21" s="217" t="s">
        <v>819</v>
      </c>
      <c r="C21" s="13">
        <f t="shared" si="0"/>
        <v>4</v>
      </c>
      <c r="D21" s="215" t="str">
        <f t="shared" si="1"/>
        <v>11029752</v>
      </c>
      <c r="E21" s="215" t="str">
        <f t="shared" si="9"/>
        <v>4402748120004</v>
      </c>
      <c r="F21" s="215" t="b">
        <f t="shared" si="2"/>
        <v>0</v>
      </c>
      <c r="G21" s="283">
        <f t="shared" si="3"/>
        <v>42004</v>
      </c>
      <c r="H21" s="13">
        <v>20</v>
      </c>
      <c r="I21" s="13">
        <f t="shared" si="4"/>
        <v>2014</v>
      </c>
      <c r="J21" s="90" t="str">
        <f t="shared" ca="1" si="5"/>
        <v/>
      </c>
      <c r="K21" s="90" t="str">
        <f t="shared" ca="1" si="6"/>
        <v/>
      </c>
      <c r="L21" s="90">
        <f t="shared" ca="1" si="7"/>
        <v>0</v>
      </c>
      <c r="M21" s="90" t="str">
        <f t="shared" ca="1" si="8"/>
        <v/>
      </c>
    </row>
    <row r="22" spans="1:13" x14ac:dyDescent="0.2">
      <c r="A22" s="216">
        <v>22</v>
      </c>
      <c r="B22" s="217" t="s">
        <v>819</v>
      </c>
      <c r="C22" s="13">
        <f t="shared" si="0"/>
        <v>4</v>
      </c>
      <c r="D22" s="215" t="str">
        <f t="shared" si="1"/>
        <v>11029752</v>
      </c>
      <c r="E22" s="215" t="str">
        <f t="shared" si="9"/>
        <v>4402748120004</v>
      </c>
      <c r="F22" s="215" t="b">
        <f t="shared" si="2"/>
        <v>0</v>
      </c>
      <c r="G22" s="283">
        <f t="shared" si="3"/>
        <v>42004</v>
      </c>
      <c r="H22" s="13">
        <v>21</v>
      </c>
      <c r="I22" s="13">
        <f t="shared" si="4"/>
        <v>2014</v>
      </c>
      <c r="J22" s="90">
        <f t="shared" ca="1" si="5"/>
        <v>0</v>
      </c>
      <c r="K22" s="90">
        <f t="shared" ca="1" si="6"/>
        <v>0</v>
      </c>
      <c r="L22" s="90">
        <f t="shared" ca="1" si="7"/>
        <v>0</v>
      </c>
      <c r="M22" s="90">
        <f t="shared" ca="1" si="8"/>
        <v>0</v>
      </c>
    </row>
    <row r="23" spans="1:13" x14ac:dyDescent="0.2">
      <c r="A23" s="216">
        <v>23</v>
      </c>
      <c r="B23" s="217" t="s">
        <v>819</v>
      </c>
      <c r="C23" s="13">
        <f t="shared" si="0"/>
        <v>4</v>
      </c>
      <c r="D23" s="215" t="str">
        <f t="shared" si="1"/>
        <v>11029752</v>
      </c>
      <c r="E23" s="215" t="str">
        <f t="shared" si="9"/>
        <v>4402748120004</v>
      </c>
      <c r="F23" s="215" t="b">
        <f t="shared" si="2"/>
        <v>0</v>
      </c>
      <c r="G23" s="283">
        <f t="shared" si="3"/>
        <v>42004</v>
      </c>
      <c r="H23" s="13">
        <v>22</v>
      </c>
      <c r="I23" s="13">
        <f t="shared" si="4"/>
        <v>2014</v>
      </c>
      <c r="J23" s="90" t="str">
        <f t="shared" ca="1" si="5"/>
        <v/>
      </c>
      <c r="K23" s="90" t="str">
        <f t="shared" ca="1" si="6"/>
        <v/>
      </c>
      <c r="L23" s="90">
        <f t="shared" ca="1" si="7"/>
        <v>0</v>
      </c>
      <c r="M23" s="90" t="str">
        <f t="shared" ca="1" si="8"/>
        <v/>
      </c>
    </row>
    <row r="24" spans="1:13" x14ac:dyDescent="0.2">
      <c r="A24" s="216">
        <v>24</v>
      </c>
      <c r="B24" s="217" t="s">
        <v>819</v>
      </c>
      <c r="C24" s="13">
        <f t="shared" si="0"/>
        <v>4</v>
      </c>
      <c r="D24" s="215" t="str">
        <f t="shared" si="1"/>
        <v>11029752</v>
      </c>
      <c r="E24" s="215" t="str">
        <f t="shared" si="9"/>
        <v>4402748120004</v>
      </c>
      <c r="F24" s="215" t="b">
        <f t="shared" si="2"/>
        <v>0</v>
      </c>
      <c r="G24" s="283">
        <f t="shared" si="3"/>
        <v>42004</v>
      </c>
      <c r="H24" s="13">
        <v>23</v>
      </c>
      <c r="I24" s="13">
        <f t="shared" si="4"/>
        <v>2014</v>
      </c>
      <c r="J24" s="90" t="str">
        <f t="shared" ca="1" si="5"/>
        <v/>
      </c>
      <c r="K24" s="90" t="str">
        <f t="shared" ca="1" si="6"/>
        <v/>
      </c>
      <c r="L24" s="90">
        <f t="shared" ca="1" si="7"/>
        <v>0</v>
      </c>
      <c r="M24" s="90" t="str">
        <f t="shared" ca="1" si="8"/>
        <v/>
      </c>
    </row>
    <row r="25" spans="1:13" x14ac:dyDescent="0.2">
      <c r="A25" s="216">
        <v>25</v>
      </c>
      <c r="B25" s="217" t="s">
        <v>819</v>
      </c>
      <c r="C25" s="13">
        <f t="shared" si="0"/>
        <v>4</v>
      </c>
      <c r="D25" s="215" t="str">
        <f t="shared" si="1"/>
        <v>11029752</v>
      </c>
      <c r="E25" s="215" t="str">
        <f t="shared" si="9"/>
        <v>4402748120004</v>
      </c>
      <c r="F25" s="215" t="b">
        <f t="shared" si="2"/>
        <v>0</v>
      </c>
      <c r="G25" s="283">
        <f t="shared" si="3"/>
        <v>42004</v>
      </c>
      <c r="H25" s="13">
        <v>24</v>
      </c>
      <c r="I25" s="13">
        <f t="shared" si="4"/>
        <v>2014</v>
      </c>
      <c r="J25" s="90" t="str">
        <f t="shared" ca="1" si="5"/>
        <v/>
      </c>
      <c r="K25" s="90" t="str">
        <f t="shared" ca="1" si="6"/>
        <v/>
      </c>
      <c r="L25" s="90">
        <f t="shared" ca="1" si="7"/>
        <v>0</v>
      </c>
      <c r="M25" s="90" t="str">
        <f t="shared" ca="1" si="8"/>
        <v/>
      </c>
    </row>
    <row r="26" spans="1:13" x14ac:dyDescent="0.2">
      <c r="A26" s="216">
        <v>26</v>
      </c>
      <c r="B26" s="217" t="s">
        <v>819</v>
      </c>
      <c r="C26" s="13">
        <f t="shared" si="0"/>
        <v>4</v>
      </c>
      <c r="D26" s="215" t="str">
        <f t="shared" si="1"/>
        <v>11029752</v>
      </c>
      <c r="E26" s="215" t="str">
        <f t="shared" si="9"/>
        <v>4402748120004</v>
      </c>
      <c r="F26" s="215" t="b">
        <f t="shared" si="2"/>
        <v>0</v>
      </c>
      <c r="G26" s="283">
        <f t="shared" si="3"/>
        <v>42004</v>
      </c>
      <c r="H26" s="13">
        <v>25</v>
      </c>
      <c r="I26" s="13">
        <f t="shared" si="4"/>
        <v>2014</v>
      </c>
      <c r="J26" s="90" t="str">
        <f t="shared" ca="1" si="5"/>
        <v/>
      </c>
      <c r="K26" s="90" t="str">
        <f t="shared" ca="1" si="6"/>
        <v/>
      </c>
      <c r="L26" s="90">
        <f t="shared" ca="1" si="7"/>
        <v>0</v>
      </c>
      <c r="M26" s="90" t="str">
        <f t="shared" ca="1" si="8"/>
        <v/>
      </c>
    </row>
    <row r="27" spans="1:13" x14ac:dyDescent="0.2">
      <c r="A27" s="216">
        <v>27</v>
      </c>
      <c r="B27" s="217" t="s">
        <v>819</v>
      </c>
      <c r="C27" s="13">
        <f t="shared" si="0"/>
        <v>4</v>
      </c>
      <c r="D27" s="215" t="str">
        <f t="shared" si="1"/>
        <v>11029752</v>
      </c>
      <c r="E27" s="215" t="str">
        <f t="shared" si="9"/>
        <v>4402748120004</v>
      </c>
      <c r="F27" s="215" t="b">
        <f t="shared" si="2"/>
        <v>0</v>
      </c>
      <c r="G27" s="283">
        <f t="shared" si="3"/>
        <v>42004</v>
      </c>
      <c r="H27" s="13">
        <v>26</v>
      </c>
      <c r="I27" s="13">
        <f t="shared" si="4"/>
        <v>2014</v>
      </c>
      <c r="J27" s="90" t="str">
        <f t="shared" ca="1" si="5"/>
        <v/>
      </c>
      <c r="K27" s="90" t="str">
        <f t="shared" ca="1" si="6"/>
        <v/>
      </c>
      <c r="L27" s="90">
        <f t="shared" ca="1" si="7"/>
        <v>0</v>
      </c>
      <c r="M27" s="90" t="str">
        <f t="shared" ca="1" si="8"/>
        <v/>
      </c>
    </row>
    <row r="28" spans="1:13" x14ac:dyDescent="0.2">
      <c r="A28" s="216">
        <v>28</v>
      </c>
      <c r="B28" s="217" t="s">
        <v>819</v>
      </c>
      <c r="C28" s="13">
        <f t="shared" si="0"/>
        <v>4</v>
      </c>
      <c r="D28" s="215" t="str">
        <f t="shared" si="1"/>
        <v>11029752</v>
      </c>
      <c r="E28" s="215" t="str">
        <f t="shared" si="9"/>
        <v>4402748120004</v>
      </c>
      <c r="F28" s="215" t="b">
        <f t="shared" si="2"/>
        <v>0</v>
      </c>
      <c r="G28" s="283">
        <f t="shared" si="3"/>
        <v>42004</v>
      </c>
      <c r="H28" s="13">
        <v>27</v>
      </c>
      <c r="I28" s="13">
        <f t="shared" si="4"/>
        <v>2014</v>
      </c>
      <c r="J28" s="90" t="str">
        <f t="shared" ca="1" si="5"/>
        <v/>
      </c>
      <c r="K28" s="90" t="str">
        <f t="shared" ca="1" si="6"/>
        <v/>
      </c>
      <c r="L28" s="90">
        <f t="shared" ca="1" si="7"/>
        <v>0</v>
      </c>
      <c r="M28" s="90" t="str">
        <f t="shared" ca="1" si="8"/>
        <v/>
      </c>
    </row>
    <row r="29" spans="1:13" x14ac:dyDescent="0.2">
      <c r="A29" s="216">
        <v>29</v>
      </c>
      <c r="B29" s="217" t="s">
        <v>819</v>
      </c>
      <c r="C29" s="13">
        <f t="shared" si="0"/>
        <v>4</v>
      </c>
      <c r="D29" s="215" t="str">
        <f t="shared" si="1"/>
        <v>11029752</v>
      </c>
      <c r="E29" s="215" t="str">
        <f t="shared" si="9"/>
        <v>4402748120004</v>
      </c>
      <c r="F29" s="215" t="b">
        <f t="shared" si="2"/>
        <v>0</v>
      </c>
      <c r="G29" s="283">
        <f t="shared" si="3"/>
        <v>42004</v>
      </c>
      <c r="H29" s="13">
        <v>28</v>
      </c>
      <c r="I29" s="13">
        <f t="shared" si="4"/>
        <v>2014</v>
      </c>
      <c r="J29" s="90" t="str">
        <f t="shared" ca="1" si="5"/>
        <v/>
      </c>
      <c r="K29" s="90" t="str">
        <f t="shared" ca="1" si="6"/>
        <v/>
      </c>
      <c r="L29" s="90">
        <f t="shared" ca="1" si="7"/>
        <v>0</v>
      </c>
      <c r="M29" s="90" t="str">
        <f t="shared" ca="1" si="8"/>
        <v/>
      </c>
    </row>
    <row r="30" spans="1:13" x14ac:dyDescent="0.2">
      <c r="A30" s="216">
        <v>30</v>
      </c>
      <c r="B30" s="217" t="s">
        <v>819</v>
      </c>
      <c r="C30" s="13">
        <f t="shared" si="0"/>
        <v>4</v>
      </c>
      <c r="D30" s="215" t="str">
        <f t="shared" si="1"/>
        <v>11029752</v>
      </c>
      <c r="E30" s="215" t="str">
        <f t="shared" si="9"/>
        <v>4402748120004</v>
      </c>
      <c r="F30" s="215" t="b">
        <f t="shared" si="2"/>
        <v>0</v>
      </c>
      <c r="G30" s="283">
        <f t="shared" si="3"/>
        <v>42004</v>
      </c>
      <c r="H30" s="13">
        <v>29</v>
      </c>
      <c r="I30" s="13">
        <f t="shared" si="4"/>
        <v>2014</v>
      </c>
      <c r="J30" s="90" t="str">
        <f t="shared" ca="1" si="5"/>
        <v/>
      </c>
      <c r="K30" s="90" t="str">
        <f t="shared" ca="1" si="6"/>
        <v/>
      </c>
      <c r="L30" s="90">
        <f t="shared" ca="1" si="7"/>
        <v>0</v>
      </c>
      <c r="M30" s="90" t="str">
        <f t="shared" ca="1" si="8"/>
        <v/>
      </c>
    </row>
    <row r="31" spans="1:13" x14ac:dyDescent="0.2">
      <c r="A31" s="216">
        <v>31</v>
      </c>
      <c r="B31" s="217" t="s">
        <v>819</v>
      </c>
      <c r="C31" s="13">
        <f t="shared" si="0"/>
        <v>4</v>
      </c>
      <c r="D31" s="215" t="str">
        <f t="shared" si="1"/>
        <v>11029752</v>
      </c>
      <c r="E31" s="215" t="str">
        <f t="shared" si="9"/>
        <v>4402748120004</v>
      </c>
      <c r="F31" s="215" t="b">
        <f t="shared" si="2"/>
        <v>0</v>
      </c>
      <c r="G31" s="283">
        <f t="shared" si="3"/>
        <v>42004</v>
      </c>
      <c r="H31" s="13">
        <v>30</v>
      </c>
      <c r="I31" s="13">
        <f t="shared" si="4"/>
        <v>2014</v>
      </c>
      <c r="J31" s="90" t="str">
        <f t="shared" ca="1" si="5"/>
        <v/>
      </c>
      <c r="K31" s="90" t="str">
        <f t="shared" ca="1" si="6"/>
        <v/>
      </c>
      <c r="L31" s="90">
        <f t="shared" ca="1" si="7"/>
        <v>0</v>
      </c>
      <c r="M31" s="90" t="str">
        <f t="shared" ca="1" si="8"/>
        <v/>
      </c>
    </row>
    <row r="32" spans="1:13" x14ac:dyDescent="0.2">
      <c r="A32" s="216">
        <v>32</v>
      </c>
      <c r="B32" s="217" t="s">
        <v>819</v>
      </c>
      <c r="C32" s="13">
        <f t="shared" si="0"/>
        <v>4</v>
      </c>
      <c r="D32" s="215" t="str">
        <f t="shared" si="1"/>
        <v>11029752</v>
      </c>
      <c r="E32" s="215" t="str">
        <f t="shared" si="9"/>
        <v>4402748120004</v>
      </c>
      <c r="F32" s="215" t="b">
        <f t="shared" si="2"/>
        <v>0</v>
      </c>
      <c r="G32" s="283">
        <f t="shared" si="3"/>
        <v>42004</v>
      </c>
      <c r="H32" s="13">
        <v>31</v>
      </c>
      <c r="I32" s="13">
        <f t="shared" si="4"/>
        <v>2014</v>
      </c>
      <c r="J32" s="90">
        <f t="shared" ca="1" si="5"/>
        <v>4322299</v>
      </c>
      <c r="K32" s="90">
        <f t="shared" ca="1" si="6"/>
        <v>466186</v>
      </c>
      <c r="L32" s="90">
        <f t="shared" ca="1" si="7"/>
        <v>3856113</v>
      </c>
      <c r="M32" s="90">
        <f t="shared" ca="1" si="8"/>
        <v>2720495</v>
      </c>
    </row>
    <row r="33" spans="1:13" x14ac:dyDescent="0.2">
      <c r="A33" s="216">
        <v>33</v>
      </c>
      <c r="B33" s="217" t="s">
        <v>819</v>
      </c>
      <c r="C33" s="13">
        <f t="shared" si="0"/>
        <v>4</v>
      </c>
      <c r="D33" s="215" t="str">
        <f t="shared" si="1"/>
        <v>11029752</v>
      </c>
      <c r="E33" s="215" t="str">
        <f t="shared" si="9"/>
        <v>4402748120004</v>
      </c>
      <c r="F33" s="215" t="b">
        <f t="shared" si="2"/>
        <v>0</v>
      </c>
      <c r="G33" s="283">
        <f t="shared" si="3"/>
        <v>42004</v>
      </c>
      <c r="H33" s="13">
        <v>32</v>
      </c>
      <c r="I33" s="13">
        <f t="shared" si="4"/>
        <v>2014</v>
      </c>
      <c r="J33" s="90">
        <f t="shared" ca="1" si="5"/>
        <v>1636644</v>
      </c>
      <c r="K33" s="90">
        <f t="shared" ca="1" si="6"/>
        <v>127520</v>
      </c>
      <c r="L33" s="90">
        <f t="shared" ca="1" si="7"/>
        <v>1509124</v>
      </c>
      <c r="M33" s="90">
        <f t="shared" ca="1" si="8"/>
        <v>2117037</v>
      </c>
    </row>
    <row r="34" spans="1:13" x14ac:dyDescent="0.2">
      <c r="A34" s="216">
        <v>34</v>
      </c>
      <c r="B34" s="217" t="s">
        <v>819</v>
      </c>
      <c r="C34" s="13">
        <f t="shared" si="0"/>
        <v>4</v>
      </c>
      <c r="D34" s="215" t="str">
        <f t="shared" si="1"/>
        <v>11029752</v>
      </c>
      <c r="E34" s="215" t="str">
        <f t="shared" si="9"/>
        <v>4402748120004</v>
      </c>
      <c r="F34" s="215" t="b">
        <f t="shared" si="2"/>
        <v>0</v>
      </c>
      <c r="G34" s="283">
        <f t="shared" si="3"/>
        <v>42004</v>
      </c>
      <c r="H34" s="13">
        <v>33</v>
      </c>
      <c r="I34" s="13">
        <f t="shared" si="4"/>
        <v>2014</v>
      </c>
      <c r="J34" s="90">
        <f t="shared" ca="1" si="5"/>
        <v>228764</v>
      </c>
      <c r="K34" s="90">
        <f t="shared" ca="1" si="6"/>
        <v>127520</v>
      </c>
      <c r="L34" s="90">
        <f t="shared" ca="1" si="7"/>
        <v>101244</v>
      </c>
      <c r="M34" s="90">
        <f t="shared" ca="1" si="8"/>
        <v>83516</v>
      </c>
    </row>
    <row r="35" spans="1:13" x14ac:dyDescent="0.2">
      <c r="A35" s="216">
        <v>35</v>
      </c>
      <c r="B35" s="217" t="s">
        <v>819</v>
      </c>
      <c r="C35" s="13">
        <f t="shared" si="0"/>
        <v>4</v>
      </c>
      <c r="D35" s="215" t="str">
        <f t="shared" si="1"/>
        <v>11029752</v>
      </c>
      <c r="E35" s="215" t="str">
        <f t="shared" si="9"/>
        <v>4402748120004</v>
      </c>
      <c r="F35" s="215" t="b">
        <f t="shared" si="2"/>
        <v>0</v>
      </c>
      <c r="G35" s="283">
        <f t="shared" si="3"/>
        <v>42004</v>
      </c>
      <c r="H35" s="13">
        <v>34</v>
      </c>
      <c r="I35" s="13">
        <f t="shared" si="4"/>
        <v>2014</v>
      </c>
      <c r="J35" s="90" t="str">
        <f t="shared" ca="1" si="5"/>
        <v/>
      </c>
      <c r="K35" s="90" t="str">
        <f t="shared" ca="1" si="6"/>
        <v/>
      </c>
      <c r="L35" s="90">
        <f t="shared" ca="1" si="7"/>
        <v>0</v>
      </c>
      <c r="M35" s="90" t="str">
        <f t="shared" ca="1" si="8"/>
        <v/>
      </c>
    </row>
    <row r="36" spans="1:13" x14ac:dyDescent="0.2">
      <c r="A36" s="216">
        <v>36</v>
      </c>
      <c r="B36" s="217" t="s">
        <v>819</v>
      </c>
      <c r="C36" s="13">
        <f t="shared" si="0"/>
        <v>4</v>
      </c>
      <c r="D36" s="215" t="str">
        <f t="shared" si="1"/>
        <v>11029752</v>
      </c>
      <c r="E36" s="215" t="str">
        <f t="shared" si="9"/>
        <v>4402748120004</v>
      </c>
      <c r="F36" s="215" t="b">
        <f t="shared" si="2"/>
        <v>0</v>
      </c>
      <c r="G36" s="283">
        <f t="shared" si="3"/>
        <v>42004</v>
      </c>
      <c r="H36" s="13">
        <v>35</v>
      </c>
      <c r="I36" s="13">
        <f t="shared" si="4"/>
        <v>2014</v>
      </c>
      <c r="J36" s="90">
        <f t="shared" ca="1" si="5"/>
        <v>1399514</v>
      </c>
      <c r="K36" s="90" t="str">
        <f t="shared" ca="1" si="6"/>
        <v/>
      </c>
      <c r="L36" s="90">
        <f t="shared" ca="1" si="7"/>
        <v>1399514</v>
      </c>
      <c r="M36" s="90">
        <f t="shared" ca="1" si="8"/>
        <v>2009504</v>
      </c>
    </row>
    <row r="37" spans="1:13" x14ac:dyDescent="0.2">
      <c r="A37" s="216">
        <v>37</v>
      </c>
      <c r="B37" s="217" t="s">
        <v>819</v>
      </c>
      <c r="C37" s="13">
        <f t="shared" si="0"/>
        <v>4</v>
      </c>
      <c r="D37" s="215" t="str">
        <f t="shared" si="1"/>
        <v>11029752</v>
      </c>
      <c r="E37" s="215" t="str">
        <f t="shared" si="9"/>
        <v>4402748120004</v>
      </c>
      <c r="F37" s="215" t="b">
        <f t="shared" si="2"/>
        <v>0</v>
      </c>
      <c r="G37" s="283">
        <f t="shared" si="3"/>
        <v>42004</v>
      </c>
      <c r="H37" s="13">
        <v>36</v>
      </c>
      <c r="I37" s="13">
        <f t="shared" si="4"/>
        <v>2014</v>
      </c>
      <c r="J37" s="90" t="str">
        <f t="shared" ca="1" si="5"/>
        <v/>
      </c>
      <c r="K37" s="90" t="str">
        <f t="shared" ca="1" si="6"/>
        <v/>
      </c>
      <c r="L37" s="90">
        <f t="shared" ca="1" si="7"/>
        <v>0</v>
      </c>
      <c r="M37" s="90">
        <f t="shared" ca="1" si="8"/>
        <v>32</v>
      </c>
    </row>
    <row r="38" spans="1:13" x14ac:dyDescent="0.2">
      <c r="A38" s="216">
        <v>38</v>
      </c>
      <c r="B38" s="217" t="s">
        <v>819</v>
      </c>
      <c r="C38" s="13">
        <f t="shared" si="0"/>
        <v>4</v>
      </c>
      <c r="D38" s="215" t="str">
        <f t="shared" si="1"/>
        <v>11029752</v>
      </c>
      <c r="E38" s="215" t="str">
        <f t="shared" si="9"/>
        <v>4402748120004</v>
      </c>
      <c r="F38" s="215" t="b">
        <f t="shared" si="2"/>
        <v>0</v>
      </c>
      <c r="G38" s="283">
        <f t="shared" si="3"/>
        <v>42004</v>
      </c>
      <c r="H38" s="13">
        <v>37</v>
      </c>
      <c r="I38" s="13">
        <f t="shared" si="4"/>
        <v>2014</v>
      </c>
      <c r="J38" s="90" t="str">
        <f t="shared" ca="1" si="5"/>
        <v/>
      </c>
      <c r="K38" s="90" t="str">
        <f t="shared" ca="1" si="6"/>
        <v/>
      </c>
      <c r="L38" s="90">
        <f t="shared" ca="1" si="7"/>
        <v>0</v>
      </c>
      <c r="M38" s="90" t="str">
        <f t="shared" ca="1" si="8"/>
        <v/>
      </c>
    </row>
    <row r="39" spans="1:13" x14ac:dyDescent="0.2">
      <c r="A39" s="216">
        <v>39</v>
      </c>
      <c r="B39" s="217" t="s">
        <v>819</v>
      </c>
      <c r="C39" s="13">
        <f t="shared" si="0"/>
        <v>4</v>
      </c>
      <c r="D39" s="215" t="str">
        <f t="shared" si="1"/>
        <v>11029752</v>
      </c>
      <c r="E39" s="215" t="str">
        <f t="shared" si="9"/>
        <v>4402748120004</v>
      </c>
      <c r="F39" s="215" t="b">
        <f t="shared" si="2"/>
        <v>0</v>
      </c>
      <c r="G39" s="283">
        <f t="shared" si="3"/>
        <v>42004</v>
      </c>
      <c r="H39" s="13">
        <v>38</v>
      </c>
      <c r="I39" s="13">
        <f t="shared" si="4"/>
        <v>2014</v>
      </c>
      <c r="J39" s="90">
        <f t="shared" ca="1" si="5"/>
        <v>8366</v>
      </c>
      <c r="K39" s="90" t="str">
        <f t="shared" ca="1" si="6"/>
        <v/>
      </c>
      <c r="L39" s="90">
        <f t="shared" ca="1" si="7"/>
        <v>8366</v>
      </c>
      <c r="M39" s="90">
        <f t="shared" ca="1" si="8"/>
        <v>23985</v>
      </c>
    </row>
    <row r="40" spans="1:13" x14ac:dyDescent="0.2">
      <c r="A40" s="216">
        <v>40</v>
      </c>
      <c r="B40" s="217" t="s">
        <v>819</v>
      </c>
      <c r="C40" s="13">
        <f t="shared" si="0"/>
        <v>4</v>
      </c>
      <c r="D40" s="215" t="str">
        <f t="shared" si="1"/>
        <v>11029752</v>
      </c>
      <c r="E40" s="215" t="str">
        <f t="shared" si="9"/>
        <v>4402748120004</v>
      </c>
      <c r="F40" s="215" t="b">
        <f t="shared" si="2"/>
        <v>0</v>
      </c>
      <c r="G40" s="283">
        <f t="shared" si="3"/>
        <v>42004</v>
      </c>
      <c r="H40" s="13">
        <v>39</v>
      </c>
      <c r="I40" s="13">
        <f t="shared" si="4"/>
        <v>2014</v>
      </c>
      <c r="J40" s="90">
        <f t="shared" ca="1" si="5"/>
        <v>2685655</v>
      </c>
      <c r="K40" s="90">
        <f t="shared" ca="1" si="6"/>
        <v>338666</v>
      </c>
      <c r="L40" s="90">
        <f t="shared" ca="1" si="7"/>
        <v>2346989</v>
      </c>
      <c r="M40" s="90">
        <f t="shared" ca="1" si="8"/>
        <v>603458</v>
      </c>
    </row>
    <row r="41" spans="1:13" x14ac:dyDescent="0.2">
      <c r="A41" s="216">
        <v>41</v>
      </c>
      <c r="B41" s="217" t="s">
        <v>819</v>
      </c>
      <c r="C41" s="13">
        <f t="shared" si="0"/>
        <v>4</v>
      </c>
      <c r="D41" s="215" t="str">
        <f t="shared" si="1"/>
        <v>11029752</v>
      </c>
      <c r="E41" s="215" t="str">
        <f t="shared" si="9"/>
        <v>4402748120004</v>
      </c>
      <c r="F41" s="215" t="b">
        <f t="shared" si="2"/>
        <v>0</v>
      </c>
      <c r="G41" s="283">
        <f t="shared" si="3"/>
        <v>42004</v>
      </c>
      <c r="H41" s="13">
        <v>40</v>
      </c>
      <c r="I41" s="13">
        <f t="shared" si="4"/>
        <v>2014</v>
      </c>
      <c r="J41" s="90">
        <f t="shared" ca="1" si="5"/>
        <v>1840390</v>
      </c>
      <c r="K41" s="90">
        <f t="shared" ca="1" si="6"/>
        <v>338666</v>
      </c>
      <c r="L41" s="90">
        <f t="shared" ca="1" si="7"/>
        <v>1501724</v>
      </c>
      <c r="M41" s="90">
        <f t="shared" ca="1" si="8"/>
        <v>521949</v>
      </c>
    </row>
    <row r="42" spans="1:13" x14ac:dyDescent="0.2">
      <c r="A42" s="216">
        <v>42</v>
      </c>
      <c r="B42" s="217" t="s">
        <v>819</v>
      </c>
      <c r="C42" s="13">
        <f t="shared" si="0"/>
        <v>4</v>
      </c>
      <c r="D42" s="215" t="str">
        <f t="shared" si="1"/>
        <v>11029752</v>
      </c>
      <c r="E42" s="215" t="str">
        <f t="shared" si="9"/>
        <v>4402748120004</v>
      </c>
      <c r="F42" s="215" t="b">
        <f t="shared" si="2"/>
        <v>0</v>
      </c>
      <c r="G42" s="283">
        <f t="shared" si="3"/>
        <v>42004</v>
      </c>
      <c r="H42" s="13">
        <v>41</v>
      </c>
      <c r="I42" s="13">
        <f t="shared" si="4"/>
        <v>2014</v>
      </c>
      <c r="J42" s="90">
        <f t="shared" ca="1" si="5"/>
        <v>443352</v>
      </c>
      <c r="K42" s="90" t="str">
        <f t="shared" ca="1" si="6"/>
        <v/>
      </c>
      <c r="L42" s="90">
        <f t="shared" ca="1" si="7"/>
        <v>443352</v>
      </c>
      <c r="M42" s="90">
        <f t="shared" ca="1" si="8"/>
        <v>270917</v>
      </c>
    </row>
    <row r="43" spans="1:13" x14ac:dyDescent="0.2">
      <c r="A43" s="216">
        <v>43</v>
      </c>
      <c r="B43" s="217" t="s">
        <v>819</v>
      </c>
      <c r="C43" s="13">
        <f t="shared" si="0"/>
        <v>4</v>
      </c>
      <c r="D43" s="215" t="str">
        <f t="shared" si="1"/>
        <v>11029752</v>
      </c>
      <c r="E43" s="215" t="str">
        <f t="shared" si="9"/>
        <v>4402748120004</v>
      </c>
      <c r="F43" s="215" t="b">
        <f t="shared" si="2"/>
        <v>0</v>
      </c>
      <c r="G43" s="283">
        <f t="shared" si="3"/>
        <v>42004</v>
      </c>
      <c r="H43" s="13">
        <v>42</v>
      </c>
      <c r="I43" s="13">
        <f t="shared" si="4"/>
        <v>2014</v>
      </c>
      <c r="J43" s="90">
        <f t="shared" ca="1" si="5"/>
        <v>1294085</v>
      </c>
      <c r="K43" s="90">
        <f t="shared" ca="1" si="6"/>
        <v>338666</v>
      </c>
      <c r="L43" s="90">
        <f t="shared" ca="1" si="7"/>
        <v>955419</v>
      </c>
      <c r="M43" s="90">
        <f t="shared" ca="1" si="8"/>
        <v>189507</v>
      </c>
    </row>
    <row r="44" spans="1:13" x14ac:dyDescent="0.2">
      <c r="A44" s="216">
        <v>44</v>
      </c>
      <c r="B44" s="217" t="s">
        <v>819</v>
      </c>
      <c r="C44" s="13">
        <f t="shared" si="0"/>
        <v>4</v>
      </c>
      <c r="D44" s="215" t="str">
        <f t="shared" si="1"/>
        <v>11029752</v>
      </c>
      <c r="E44" s="215" t="str">
        <f t="shared" si="9"/>
        <v>4402748120004</v>
      </c>
      <c r="F44" s="215" t="b">
        <f t="shared" si="2"/>
        <v>0</v>
      </c>
      <c r="G44" s="283">
        <f t="shared" si="3"/>
        <v>42004</v>
      </c>
      <c r="H44" s="13">
        <v>43</v>
      </c>
      <c r="I44" s="13">
        <f t="shared" si="4"/>
        <v>2014</v>
      </c>
      <c r="J44" s="90" t="str">
        <f t="shared" ca="1" si="5"/>
        <v/>
      </c>
      <c r="K44" s="90" t="str">
        <f t="shared" ca="1" si="6"/>
        <v/>
      </c>
      <c r="L44" s="90">
        <f t="shared" ca="1" si="7"/>
        <v>0</v>
      </c>
      <c r="M44" s="90" t="str">
        <f t="shared" ca="1" si="8"/>
        <v/>
      </c>
    </row>
    <row r="45" spans="1:13" x14ac:dyDescent="0.2">
      <c r="A45" s="216">
        <v>45</v>
      </c>
      <c r="B45" s="217" t="s">
        <v>819</v>
      </c>
      <c r="C45" s="13">
        <f t="shared" si="0"/>
        <v>4</v>
      </c>
      <c r="D45" s="215" t="str">
        <f t="shared" si="1"/>
        <v>11029752</v>
      </c>
      <c r="E45" s="215" t="str">
        <f t="shared" si="9"/>
        <v>4402748120004</v>
      </c>
      <c r="F45" s="215" t="b">
        <f t="shared" si="2"/>
        <v>0</v>
      </c>
      <c r="G45" s="283">
        <f t="shared" si="3"/>
        <v>42004</v>
      </c>
      <c r="H45" s="13">
        <v>44</v>
      </c>
      <c r="I45" s="13">
        <f t="shared" si="4"/>
        <v>2014</v>
      </c>
      <c r="J45" s="90" t="str">
        <f t="shared" ca="1" si="5"/>
        <v/>
      </c>
      <c r="K45" s="90" t="str">
        <f t="shared" ca="1" si="6"/>
        <v/>
      </c>
      <c r="L45" s="90">
        <f t="shared" ca="1" si="7"/>
        <v>0</v>
      </c>
      <c r="M45" s="90" t="str">
        <f t="shared" ca="1" si="8"/>
        <v/>
      </c>
    </row>
    <row r="46" spans="1:13" x14ac:dyDescent="0.2">
      <c r="A46" s="216">
        <v>46</v>
      </c>
      <c r="B46" s="217" t="s">
        <v>819</v>
      </c>
      <c r="C46" s="13">
        <f t="shared" si="0"/>
        <v>4</v>
      </c>
      <c r="D46" s="215" t="str">
        <f t="shared" si="1"/>
        <v>11029752</v>
      </c>
      <c r="E46" s="215" t="str">
        <f t="shared" si="9"/>
        <v>4402748120004</v>
      </c>
      <c r="F46" s="215" t="b">
        <f t="shared" si="2"/>
        <v>0</v>
      </c>
      <c r="G46" s="283">
        <f t="shared" si="3"/>
        <v>42004</v>
      </c>
      <c r="H46" s="13">
        <v>45</v>
      </c>
      <c r="I46" s="13">
        <f t="shared" si="4"/>
        <v>2014</v>
      </c>
      <c r="J46" s="90">
        <f t="shared" ca="1" si="5"/>
        <v>102953</v>
      </c>
      <c r="K46" s="90" t="str">
        <f t="shared" ca="1" si="6"/>
        <v/>
      </c>
      <c r="L46" s="90">
        <f t="shared" ca="1" si="7"/>
        <v>102953</v>
      </c>
      <c r="M46" s="90">
        <f t="shared" ca="1" si="8"/>
        <v>61525</v>
      </c>
    </row>
    <row r="47" spans="1:13" x14ac:dyDescent="0.2">
      <c r="A47" s="216">
        <v>47</v>
      </c>
      <c r="B47" s="217" t="s">
        <v>819</v>
      </c>
      <c r="C47" s="13">
        <f t="shared" si="0"/>
        <v>4</v>
      </c>
      <c r="D47" s="215" t="str">
        <f t="shared" si="1"/>
        <v>11029752</v>
      </c>
      <c r="E47" s="215" t="str">
        <f t="shared" si="9"/>
        <v>4402748120004</v>
      </c>
      <c r="F47" s="215" t="b">
        <f t="shared" si="2"/>
        <v>0</v>
      </c>
      <c r="G47" s="283">
        <f t="shared" si="3"/>
        <v>42004</v>
      </c>
      <c r="H47" s="13">
        <v>46</v>
      </c>
      <c r="I47" s="13">
        <f t="shared" si="4"/>
        <v>2014</v>
      </c>
      <c r="J47" s="90">
        <f t="shared" ca="1" si="5"/>
        <v>0</v>
      </c>
      <c r="K47" s="90">
        <f t="shared" ca="1" si="6"/>
        <v>0</v>
      </c>
      <c r="L47" s="90">
        <f t="shared" ca="1" si="7"/>
        <v>0</v>
      </c>
      <c r="M47" s="90">
        <f t="shared" ca="1" si="8"/>
        <v>0</v>
      </c>
    </row>
    <row r="48" spans="1:13" x14ac:dyDescent="0.2">
      <c r="A48" s="216">
        <v>48</v>
      </c>
      <c r="B48" s="217" t="s">
        <v>819</v>
      </c>
      <c r="C48" s="13">
        <f t="shared" si="0"/>
        <v>4</v>
      </c>
      <c r="D48" s="215" t="str">
        <f t="shared" si="1"/>
        <v>11029752</v>
      </c>
      <c r="E48" s="215" t="str">
        <f t="shared" si="9"/>
        <v>4402748120004</v>
      </c>
      <c r="F48" s="215" t="b">
        <f t="shared" si="2"/>
        <v>0</v>
      </c>
      <c r="G48" s="283">
        <f t="shared" si="3"/>
        <v>42004</v>
      </c>
      <c r="H48" s="13">
        <v>47</v>
      </c>
      <c r="I48" s="13">
        <f t="shared" si="4"/>
        <v>2014</v>
      </c>
      <c r="J48" s="90" t="str">
        <f t="shared" ca="1" si="5"/>
        <v/>
      </c>
      <c r="K48" s="90" t="str">
        <f t="shared" ca="1" si="6"/>
        <v/>
      </c>
      <c r="L48" s="90">
        <f t="shared" ca="1" si="7"/>
        <v>0</v>
      </c>
      <c r="M48" s="90" t="str">
        <f t="shared" ca="1" si="8"/>
        <v/>
      </c>
    </row>
    <row r="49" spans="1:13" x14ac:dyDescent="0.2">
      <c r="A49" s="216">
        <v>49</v>
      </c>
      <c r="B49" s="217" t="s">
        <v>819</v>
      </c>
      <c r="C49" s="13">
        <f t="shared" si="0"/>
        <v>4</v>
      </c>
      <c r="D49" s="215" t="str">
        <f t="shared" si="1"/>
        <v>11029752</v>
      </c>
      <c r="E49" s="215" t="str">
        <f t="shared" si="9"/>
        <v>4402748120004</v>
      </c>
      <c r="F49" s="215" t="b">
        <f t="shared" si="2"/>
        <v>0</v>
      </c>
      <c r="G49" s="283">
        <f t="shared" si="3"/>
        <v>42004</v>
      </c>
      <c r="H49" s="13">
        <v>48</v>
      </c>
      <c r="I49" s="13">
        <f t="shared" si="4"/>
        <v>2014</v>
      </c>
      <c r="J49" s="90" t="str">
        <f t="shared" ca="1" si="5"/>
        <v/>
      </c>
      <c r="K49" s="90" t="str">
        <f t="shared" ca="1" si="6"/>
        <v/>
      </c>
      <c r="L49" s="90">
        <f t="shared" ca="1" si="7"/>
        <v>0</v>
      </c>
      <c r="M49" s="90" t="str">
        <f t="shared" ca="1" si="8"/>
        <v/>
      </c>
    </row>
    <row r="50" spans="1:13" x14ac:dyDescent="0.2">
      <c r="A50" s="216">
        <v>50</v>
      </c>
      <c r="B50" s="217" t="s">
        <v>819</v>
      </c>
      <c r="C50" s="13">
        <f t="shared" si="0"/>
        <v>4</v>
      </c>
      <c r="D50" s="215" t="str">
        <f t="shared" si="1"/>
        <v>11029752</v>
      </c>
      <c r="E50" s="215" t="str">
        <f t="shared" si="9"/>
        <v>4402748120004</v>
      </c>
      <c r="F50" s="215" t="b">
        <f t="shared" si="2"/>
        <v>0</v>
      </c>
      <c r="G50" s="283">
        <f t="shared" si="3"/>
        <v>42004</v>
      </c>
      <c r="H50" s="13">
        <v>49</v>
      </c>
      <c r="I50" s="13">
        <f t="shared" si="4"/>
        <v>2014</v>
      </c>
      <c r="J50" s="90" t="str">
        <f t="shared" ca="1" si="5"/>
        <v/>
      </c>
      <c r="K50" s="90" t="str">
        <f t="shared" ca="1" si="6"/>
        <v/>
      </c>
      <c r="L50" s="90">
        <f t="shared" ca="1" si="7"/>
        <v>0</v>
      </c>
      <c r="M50" s="90" t="str">
        <f t="shared" ca="1" si="8"/>
        <v/>
      </c>
    </row>
    <row r="51" spans="1:13" x14ac:dyDescent="0.2">
      <c r="A51" s="216">
        <v>51</v>
      </c>
      <c r="B51" s="217" t="s">
        <v>819</v>
      </c>
      <c r="C51" s="13">
        <f t="shared" si="0"/>
        <v>4</v>
      </c>
      <c r="D51" s="215" t="str">
        <f t="shared" si="1"/>
        <v>11029752</v>
      </c>
      <c r="E51" s="215" t="str">
        <f t="shared" si="9"/>
        <v>4402748120004</v>
      </c>
      <c r="F51" s="215" t="b">
        <f t="shared" si="2"/>
        <v>0</v>
      </c>
      <c r="G51" s="283">
        <f t="shared" si="3"/>
        <v>42004</v>
      </c>
      <c r="H51" s="13">
        <v>50</v>
      </c>
      <c r="I51" s="13">
        <f t="shared" si="4"/>
        <v>2014</v>
      </c>
      <c r="J51" s="90" t="str">
        <f t="shared" ca="1" si="5"/>
        <v/>
      </c>
      <c r="K51" s="90" t="str">
        <f t="shared" ca="1" si="6"/>
        <v/>
      </c>
      <c r="L51" s="90">
        <f t="shared" ca="1" si="7"/>
        <v>0</v>
      </c>
      <c r="M51" s="90" t="str">
        <f t="shared" ca="1" si="8"/>
        <v/>
      </c>
    </row>
    <row r="52" spans="1:13" x14ac:dyDescent="0.2">
      <c r="A52" s="216">
        <v>52</v>
      </c>
      <c r="B52" s="217" t="s">
        <v>819</v>
      </c>
      <c r="C52" s="13">
        <f t="shared" si="0"/>
        <v>4</v>
      </c>
      <c r="D52" s="215" t="str">
        <f t="shared" si="1"/>
        <v>11029752</v>
      </c>
      <c r="E52" s="215" t="str">
        <f t="shared" si="9"/>
        <v>4402748120004</v>
      </c>
      <c r="F52" s="215" t="b">
        <f t="shared" si="2"/>
        <v>0</v>
      </c>
      <c r="G52" s="283">
        <f t="shared" si="3"/>
        <v>42004</v>
      </c>
      <c r="H52" s="13">
        <v>51</v>
      </c>
      <c r="I52" s="13">
        <f t="shared" si="4"/>
        <v>2014</v>
      </c>
      <c r="J52" s="90" t="str">
        <f t="shared" ca="1" si="5"/>
        <v/>
      </c>
      <c r="K52" s="90" t="str">
        <f t="shared" ca="1" si="6"/>
        <v/>
      </c>
      <c r="L52" s="90">
        <f t="shared" ca="1" si="7"/>
        <v>0</v>
      </c>
      <c r="M52" s="90" t="str">
        <f t="shared" ca="1" si="8"/>
        <v/>
      </c>
    </row>
    <row r="53" spans="1:13" x14ac:dyDescent="0.2">
      <c r="A53" s="216">
        <v>53</v>
      </c>
      <c r="B53" s="217" t="s">
        <v>819</v>
      </c>
      <c r="C53" s="13">
        <f t="shared" si="0"/>
        <v>4</v>
      </c>
      <c r="D53" s="215" t="str">
        <f t="shared" si="1"/>
        <v>11029752</v>
      </c>
      <c r="E53" s="215" t="str">
        <f t="shared" si="9"/>
        <v>4402748120004</v>
      </c>
      <c r="F53" s="215" t="b">
        <f t="shared" si="2"/>
        <v>0</v>
      </c>
      <c r="G53" s="283">
        <f t="shared" si="3"/>
        <v>42004</v>
      </c>
      <c r="H53" s="13">
        <v>52</v>
      </c>
      <c r="I53" s="13">
        <f t="shared" si="4"/>
        <v>2014</v>
      </c>
      <c r="J53" s="90" t="str">
        <f t="shared" ca="1" si="5"/>
        <v/>
      </c>
      <c r="K53" s="90" t="str">
        <f t="shared" ca="1" si="6"/>
        <v/>
      </c>
      <c r="L53" s="90">
        <f t="shared" ca="1" si="7"/>
        <v>0</v>
      </c>
      <c r="M53" s="90" t="str">
        <f t="shared" ca="1" si="8"/>
        <v/>
      </c>
    </row>
    <row r="54" spans="1:13" x14ac:dyDescent="0.2">
      <c r="A54" s="216">
        <v>54</v>
      </c>
      <c r="B54" s="217" t="s">
        <v>819</v>
      </c>
      <c r="C54" s="13">
        <f t="shared" si="0"/>
        <v>4</v>
      </c>
      <c r="D54" s="215" t="str">
        <f t="shared" si="1"/>
        <v>11029752</v>
      </c>
      <c r="E54" s="215" t="str">
        <f t="shared" si="9"/>
        <v>4402748120004</v>
      </c>
      <c r="F54" s="215" t="b">
        <f t="shared" si="2"/>
        <v>0</v>
      </c>
      <c r="G54" s="283">
        <f t="shared" si="3"/>
        <v>42004</v>
      </c>
      <c r="H54" s="13">
        <v>53</v>
      </c>
      <c r="I54" s="13">
        <f t="shared" si="4"/>
        <v>2014</v>
      </c>
      <c r="J54" s="90" t="str">
        <f t="shared" ca="1" si="5"/>
        <v/>
      </c>
      <c r="K54" s="90" t="str">
        <f t="shared" ca="1" si="6"/>
        <v/>
      </c>
      <c r="L54" s="90">
        <f t="shared" ca="1" si="7"/>
        <v>0</v>
      </c>
      <c r="M54" s="90" t="str">
        <f t="shared" ca="1" si="8"/>
        <v/>
      </c>
    </row>
    <row r="55" spans="1:13" x14ac:dyDescent="0.2">
      <c r="A55" s="216">
        <v>55</v>
      </c>
      <c r="B55" s="217" t="s">
        <v>819</v>
      </c>
      <c r="C55" s="13">
        <f t="shared" si="0"/>
        <v>4</v>
      </c>
      <c r="D55" s="215" t="str">
        <f t="shared" si="1"/>
        <v>11029752</v>
      </c>
      <c r="E55" s="215" t="str">
        <f t="shared" si="9"/>
        <v>4402748120004</v>
      </c>
      <c r="F55" s="215" t="b">
        <f t="shared" si="2"/>
        <v>0</v>
      </c>
      <c r="G55" s="283">
        <f t="shared" si="3"/>
        <v>42004</v>
      </c>
      <c r="H55" s="13">
        <v>54</v>
      </c>
      <c r="I55" s="13">
        <f t="shared" si="4"/>
        <v>2014</v>
      </c>
      <c r="J55" s="90" t="str">
        <f t="shared" ca="1" si="5"/>
        <v/>
      </c>
      <c r="K55" s="90" t="str">
        <f t="shared" ca="1" si="6"/>
        <v/>
      </c>
      <c r="L55" s="90">
        <f t="shared" ca="1" si="7"/>
        <v>0</v>
      </c>
      <c r="M55" s="90" t="str">
        <f t="shared" ca="1" si="8"/>
        <v/>
      </c>
    </row>
    <row r="56" spans="1:13" x14ac:dyDescent="0.2">
      <c r="A56" s="216">
        <v>56</v>
      </c>
      <c r="B56" s="217" t="s">
        <v>819</v>
      </c>
      <c r="C56" s="13">
        <f t="shared" si="0"/>
        <v>4</v>
      </c>
      <c r="D56" s="215" t="str">
        <f t="shared" si="1"/>
        <v>11029752</v>
      </c>
      <c r="E56" s="215" t="str">
        <f t="shared" si="9"/>
        <v>4402748120004</v>
      </c>
      <c r="F56" s="215" t="b">
        <f t="shared" si="2"/>
        <v>0</v>
      </c>
      <c r="G56" s="283">
        <f t="shared" si="3"/>
        <v>42004</v>
      </c>
      <c r="H56" s="13">
        <v>55</v>
      </c>
      <c r="I56" s="13">
        <f t="shared" si="4"/>
        <v>2014</v>
      </c>
      <c r="J56" s="90">
        <f t="shared" ca="1" si="5"/>
        <v>817458</v>
      </c>
      <c r="K56" s="90">
        <f t="shared" ca="1" si="6"/>
        <v>0</v>
      </c>
      <c r="L56" s="90">
        <f t="shared" ca="1" si="7"/>
        <v>817458</v>
      </c>
      <c r="M56" s="90">
        <f t="shared" ca="1" si="8"/>
        <v>67138</v>
      </c>
    </row>
    <row r="57" spans="1:13" x14ac:dyDescent="0.2">
      <c r="A57" s="216">
        <v>57</v>
      </c>
      <c r="B57" s="217" t="s">
        <v>819</v>
      </c>
      <c r="C57" s="13">
        <f t="shared" si="0"/>
        <v>4</v>
      </c>
      <c r="D57" s="215" t="str">
        <f t="shared" si="1"/>
        <v>11029752</v>
      </c>
      <c r="E57" s="215" t="str">
        <f t="shared" si="9"/>
        <v>4402748120004</v>
      </c>
      <c r="F57" s="215" t="b">
        <f t="shared" si="2"/>
        <v>0</v>
      </c>
      <c r="G57" s="283">
        <f t="shared" si="3"/>
        <v>42004</v>
      </c>
      <c r="H57" s="13">
        <v>56</v>
      </c>
      <c r="I57" s="13">
        <f t="shared" si="4"/>
        <v>2014</v>
      </c>
      <c r="J57" s="90" t="str">
        <f t="shared" ca="1" si="5"/>
        <v/>
      </c>
      <c r="K57" s="90" t="str">
        <f t="shared" ca="1" si="6"/>
        <v/>
      </c>
      <c r="L57" s="90">
        <f t="shared" ca="1" si="7"/>
        <v>0</v>
      </c>
      <c r="M57" s="90" t="str">
        <f t="shared" ca="1" si="8"/>
        <v/>
      </c>
    </row>
    <row r="58" spans="1:13" x14ac:dyDescent="0.2">
      <c r="A58" s="216">
        <v>58</v>
      </c>
      <c r="B58" s="217" t="s">
        <v>819</v>
      </c>
      <c r="C58" s="13">
        <f t="shared" si="0"/>
        <v>4</v>
      </c>
      <c r="D58" s="215" t="str">
        <f t="shared" si="1"/>
        <v>11029752</v>
      </c>
      <c r="E58" s="215" t="str">
        <f t="shared" si="9"/>
        <v>4402748120004</v>
      </c>
      <c r="F58" s="215" t="b">
        <f t="shared" si="2"/>
        <v>0</v>
      </c>
      <c r="G58" s="283">
        <f t="shared" si="3"/>
        <v>42004</v>
      </c>
      <c r="H58" s="13">
        <v>57</v>
      </c>
      <c r="I58" s="13">
        <f t="shared" si="4"/>
        <v>2014</v>
      </c>
      <c r="J58" s="90">
        <f t="shared" ca="1" si="5"/>
        <v>817458</v>
      </c>
      <c r="K58" s="90" t="str">
        <f t="shared" ca="1" si="6"/>
        <v/>
      </c>
      <c r="L58" s="90">
        <f t="shared" ca="1" si="7"/>
        <v>817458</v>
      </c>
      <c r="M58" s="90">
        <f t="shared" ca="1" si="8"/>
        <v>67138</v>
      </c>
    </row>
    <row r="59" spans="1:13" x14ac:dyDescent="0.2">
      <c r="A59" s="216">
        <v>59</v>
      </c>
      <c r="B59" s="217" t="s">
        <v>819</v>
      </c>
      <c r="C59" s="13">
        <f t="shared" si="0"/>
        <v>4</v>
      </c>
      <c r="D59" s="215" t="str">
        <f t="shared" si="1"/>
        <v>11029752</v>
      </c>
      <c r="E59" s="215" t="str">
        <f t="shared" si="9"/>
        <v>4402748120004</v>
      </c>
      <c r="F59" s="215" t="b">
        <f t="shared" si="2"/>
        <v>0</v>
      </c>
      <c r="G59" s="283">
        <f t="shared" si="3"/>
        <v>42004</v>
      </c>
      <c r="H59" s="13">
        <v>58</v>
      </c>
      <c r="I59" s="13">
        <f t="shared" si="4"/>
        <v>2014</v>
      </c>
      <c r="J59" s="90">
        <f t="shared" ca="1" si="5"/>
        <v>21210</v>
      </c>
      <c r="K59" s="90" t="str">
        <f t="shared" ca="1" si="6"/>
        <v/>
      </c>
      <c r="L59" s="90">
        <f t="shared" ca="1" si="7"/>
        <v>21210</v>
      </c>
      <c r="M59" s="90" t="str">
        <f t="shared" ca="1" si="8"/>
        <v/>
      </c>
    </row>
    <row r="60" spans="1:13" x14ac:dyDescent="0.2">
      <c r="A60" s="216">
        <v>60</v>
      </c>
      <c r="B60" s="217" t="s">
        <v>819</v>
      </c>
      <c r="C60" s="13">
        <f t="shared" si="0"/>
        <v>4</v>
      </c>
      <c r="D60" s="215" t="str">
        <f t="shared" si="1"/>
        <v>11029752</v>
      </c>
      <c r="E60" s="215" t="str">
        <f t="shared" si="9"/>
        <v>4402748120004</v>
      </c>
      <c r="F60" s="215" t="b">
        <f t="shared" si="2"/>
        <v>0</v>
      </c>
      <c r="G60" s="283">
        <f t="shared" si="3"/>
        <v>42004</v>
      </c>
      <c r="H60" s="13">
        <v>59</v>
      </c>
      <c r="I60" s="13">
        <f t="shared" si="4"/>
        <v>2014</v>
      </c>
      <c r="J60" s="90">
        <f t="shared" ca="1" si="5"/>
        <v>6597</v>
      </c>
      <c r="K60" s="90" t="str">
        <f t="shared" ca="1" si="6"/>
        <v/>
      </c>
      <c r="L60" s="90">
        <f t="shared" ca="1" si="7"/>
        <v>6597</v>
      </c>
      <c r="M60" s="90">
        <f t="shared" ca="1" si="8"/>
        <v>14371</v>
      </c>
    </row>
    <row r="61" spans="1:13" x14ac:dyDescent="0.2">
      <c r="A61" s="216">
        <v>61</v>
      </c>
      <c r="B61" s="217" t="s">
        <v>819</v>
      </c>
      <c r="C61" s="13">
        <f t="shared" si="0"/>
        <v>4</v>
      </c>
      <c r="D61" s="215" t="str">
        <f t="shared" si="1"/>
        <v>11029752</v>
      </c>
      <c r="E61" s="215" t="str">
        <f t="shared" si="9"/>
        <v>4402748120004</v>
      </c>
      <c r="F61" s="215" t="b">
        <f t="shared" si="2"/>
        <v>0</v>
      </c>
      <c r="G61" s="283">
        <f t="shared" si="3"/>
        <v>42004</v>
      </c>
      <c r="H61" s="13">
        <v>60</v>
      </c>
      <c r="I61" s="13">
        <f t="shared" si="4"/>
        <v>2014</v>
      </c>
      <c r="J61" s="90" t="str">
        <f t="shared" ca="1" si="5"/>
        <v/>
      </c>
      <c r="K61" s="90" t="str">
        <f t="shared" ca="1" si="6"/>
        <v/>
      </c>
      <c r="L61" s="90">
        <f t="shared" ca="1" si="7"/>
        <v>0</v>
      </c>
      <c r="M61" s="90" t="str">
        <f t="shared" ca="1" si="8"/>
        <v/>
      </c>
    </row>
    <row r="62" spans="1:13" x14ac:dyDescent="0.2">
      <c r="A62" s="216">
        <v>62</v>
      </c>
      <c r="B62" s="217" t="s">
        <v>819</v>
      </c>
      <c r="C62" s="13">
        <f t="shared" si="0"/>
        <v>4</v>
      </c>
      <c r="D62" s="215" t="str">
        <f t="shared" si="1"/>
        <v>11029752</v>
      </c>
      <c r="E62" s="215" t="str">
        <f t="shared" si="9"/>
        <v>4402748120004</v>
      </c>
      <c r="F62" s="215" t="b">
        <f t="shared" si="2"/>
        <v>0</v>
      </c>
      <c r="G62" s="283">
        <f t="shared" si="3"/>
        <v>42004</v>
      </c>
      <c r="H62" s="13">
        <v>61</v>
      </c>
      <c r="I62" s="13">
        <f t="shared" si="4"/>
        <v>2014</v>
      </c>
      <c r="J62" s="90" t="str">
        <f t="shared" ca="1" si="5"/>
        <v/>
      </c>
      <c r="K62" s="90" t="str">
        <f t="shared" ca="1" si="6"/>
        <v/>
      </c>
      <c r="L62" s="90">
        <f t="shared" ca="1" si="7"/>
        <v>0</v>
      </c>
      <c r="M62" s="90" t="str">
        <f t="shared" ca="1" si="8"/>
        <v/>
      </c>
    </row>
    <row r="63" spans="1:13" x14ac:dyDescent="0.2">
      <c r="A63" s="216">
        <v>63</v>
      </c>
      <c r="B63" s="217" t="s">
        <v>819</v>
      </c>
      <c r="C63" s="13">
        <f t="shared" si="0"/>
        <v>4</v>
      </c>
      <c r="D63" s="215" t="str">
        <f t="shared" si="1"/>
        <v>11029752</v>
      </c>
      <c r="E63" s="215" t="str">
        <f t="shared" si="9"/>
        <v>4402748120004</v>
      </c>
      <c r="F63" s="215" t="b">
        <f t="shared" si="2"/>
        <v>0</v>
      </c>
      <c r="G63" s="283">
        <f t="shared" si="3"/>
        <v>42004</v>
      </c>
      <c r="H63" s="13">
        <v>62</v>
      </c>
      <c r="I63" s="13">
        <f t="shared" si="4"/>
        <v>2014</v>
      </c>
      <c r="J63" s="90">
        <f t="shared" ca="1" si="5"/>
        <v>19913329</v>
      </c>
      <c r="K63" s="90">
        <f t="shared" ca="1" si="6"/>
        <v>12479020</v>
      </c>
      <c r="L63" s="90">
        <f t="shared" ca="1" si="7"/>
        <v>7434309</v>
      </c>
      <c r="M63" s="90">
        <f t="shared" ca="1" si="8"/>
        <v>6499580</v>
      </c>
    </row>
    <row r="64" spans="1:13" x14ac:dyDescent="0.2">
      <c r="A64" s="216">
        <v>64</v>
      </c>
      <c r="B64" s="217" t="s">
        <v>819</v>
      </c>
      <c r="C64" s="13">
        <f t="shared" si="0"/>
        <v>4</v>
      </c>
      <c r="D64" s="215" t="str">
        <f t="shared" si="1"/>
        <v>11029752</v>
      </c>
      <c r="E64" s="215" t="str">
        <f t="shared" si="9"/>
        <v>4402748120004</v>
      </c>
      <c r="F64" s="215" t="b">
        <f t="shared" si="2"/>
        <v>0</v>
      </c>
      <c r="G64" s="283">
        <f t="shared" si="3"/>
        <v>42004</v>
      </c>
      <c r="H64" s="13">
        <v>63</v>
      </c>
      <c r="I64" s="13">
        <f t="shared" si="4"/>
        <v>2014</v>
      </c>
      <c r="J64" s="90" t="str">
        <f t="shared" ca="1" si="5"/>
        <v/>
      </c>
      <c r="K64" s="90" t="str">
        <f t="shared" ca="1" si="6"/>
        <v/>
      </c>
      <c r="L64" s="90">
        <f t="shared" ca="1" si="7"/>
        <v>0</v>
      </c>
      <c r="M64" s="90" t="str">
        <f t="shared" ca="1" si="8"/>
        <v/>
      </c>
    </row>
    <row r="65" spans="1:13" x14ac:dyDescent="0.2">
      <c r="A65" s="216">
        <v>65</v>
      </c>
      <c r="B65" s="217" t="s">
        <v>819</v>
      </c>
      <c r="C65" s="13">
        <f t="shared" si="0"/>
        <v>4</v>
      </c>
      <c r="D65" s="215" t="str">
        <f t="shared" si="1"/>
        <v>11029752</v>
      </c>
      <c r="E65" s="215" t="str">
        <f t="shared" si="9"/>
        <v>4402748120004</v>
      </c>
      <c r="F65" s="215" t="b">
        <f t="shared" si="2"/>
        <v>0</v>
      </c>
      <c r="G65" s="283">
        <f t="shared" si="3"/>
        <v>42004</v>
      </c>
      <c r="H65" s="13">
        <v>64</v>
      </c>
      <c r="I65" s="13">
        <f t="shared" si="4"/>
        <v>2014</v>
      </c>
      <c r="J65" s="90">
        <f t="shared" ca="1" si="5"/>
        <v>19913329</v>
      </c>
      <c r="K65" s="90">
        <f t="shared" ca="1" si="6"/>
        <v>12479020</v>
      </c>
      <c r="L65" s="90">
        <f t="shared" ca="1" si="7"/>
        <v>7434309</v>
      </c>
      <c r="M65" s="90">
        <f t="shared" ca="1" si="8"/>
        <v>6499580</v>
      </c>
    </row>
    <row r="66" spans="1:13" x14ac:dyDescent="0.2">
      <c r="A66" s="216">
        <v>67</v>
      </c>
      <c r="B66" s="217" t="s">
        <v>819</v>
      </c>
      <c r="C66" s="13">
        <f t="shared" ref="C66:C129" si="10">ID_Izvjestaj</f>
        <v>4</v>
      </c>
      <c r="D66" s="215" t="str">
        <f t="shared" ref="D66:D128" si="11">Podatak_MB</f>
        <v>11029752</v>
      </c>
      <c r="E66" s="215" t="str">
        <f t="shared" ref="E66:E128" si="12">Podatak_JIB</f>
        <v>4402748120004</v>
      </c>
      <c r="F66" s="215" t="b">
        <f t="shared" ref="F66:F129" si="13">Konsolidovan_izvjestaj</f>
        <v>0</v>
      </c>
      <c r="G66" s="283">
        <f t="shared" ref="G66:G129" si="14">Datum_Broj</f>
        <v>42004</v>
      </c>
      <c r="H66" s="13">
        <v>101</v>
      </c>
      <c r="I66" s="13">
        <f t="shared" ref="I66:I128" si="15">Godina</f>
        <v>2014</v>
      </c>
      <c r="J66" s="90" t="str">
        <f t="shared" ref="J66:J128" ca="1" si="16">IF(VLOOKUP($H66,INDIRECT("Lookup_"&amp;$B66),IF($B66="BS",P$2,P$1),0)="","",VLOOKUP($H66,INDIRECT("Lookup_"&amp;$B66),IF($B66="BS",P$2,P$1),0))</f>
        <v/>
      </c>
      <c r="K66" s="90" t="str">
        <f t="shared" ref="K66:K127" ca="1" si="17">IF(VLOOKUP($H66,INDIRECT("Lookup_"&amp;$B66),IF($B66="BS",Q$2,Q$1),0)="","",VLOOKUP($H66,INDIRECT("Lookup_"&amp;$B66),IF($B66="BS",Q$2,Q$1),0))</f>
        <v/>
      </c>
      <c r="L66" s="90">
        <f t="shared" ref="L66:L129" ca="1" si="18">IF(VLOOKUP($H66,INDIRECT("Lookup_"&amp;$B66),IF($B66="BS",R$2,R$1),0)="","",VLOOKUP($H66,INDIRECT("Lookup_"&amp;$B66),IF($B66="BS",R$2,R$1),0))</f>
        <v>2982807</v>
      </c>
      <c r="M66" s="90">
        <f t="shared" ref="M66:M129" ca="1" si="19">IF(VLOOKUP($H66,INDIRECT("Lookup_"&amp;$B66),IF($B66="BS",S$2,S$1),0)="","",VLOOKUP($H66,INDIRECT("Lookup_"&amp;$B66),IF($B66="BS",S$2,S$1),0))</f>
        <v>2997387</v>
      </c>
    </row>
    <row r="67" spans="1:13" x14ac:dyDescent="0.2">
      <c r="A67" s="216">
        <v>68</v>
      </c>
      <c r="B67" s="217" t="s">
        <v>819</v>
      </c>
      <c r="C67" s="13">
        <f t="shared" si="10"/>
        <v>4</v>
      </c>
      <c r="D67" s="215" t="str">
        <f t="shared" si="11"/>
        <v>11029752</v>
      </c>
      <c r="E67" s="215" t="str">
        <f t="shared" si="12"/>
        <v>4402748120004</v>
      </c>
      <c r="F67" s="215" t="b">
        <f t="shared" si="13"/>
        <v>0</v>
      </c>
      <c r="G67" s="283">
        <f t="shared" si="14"/>
        <v>42004</v>
      </c>
      <c r="H67" s="13">
        <v>102</v>
      </c>
      <c r="I67" s="13">
        <f t="shared" si="15"/>
        <v>2014</v>
      </c>
      <c r="J67" s="90" t="str">
        <f t="shared" ca="1" si="16"/>
        <v/>
      </c>
      <c r="K67" s="90" t="str">
        <f t="shared" ca="1" si="17"/>
        <v/>
      </c>
      <c r="L67" s="90">
        <f t="shared" ca="1" si="18"/>
        <v>5762636</v>
      </c>
      <c r="M67" s="90">
        <f t="shared" ca="1" si="19"/>
        <v>5762636</v>
      </c>
    </row>
    <row r="68" spans="1:13" x14ac:dyDescent="0.2">
      <c r="A68" s="216">
        <v>69</v>
      </c>
      <c r="B68" s="217" t="s">
        <v>819</v>
      </c>
      <c r="C68" s="13">
        <f t="shared" si="10"/>
        <v>4</v>
      </c>
      <c r="D68" s="215" t="str">
        <f t="shared" si="11"/>
        <v>11029752</v>
      </c>
      <c r="E68" s="215" t="str">
        <f t="shared" si="12"/>
        <v>4402748120004</v>
      </c>
      <c r="F68" s="215" t="b">
        <f t="shared" si="13"/>
        <v>0</v>
      </c>
      <c r="G68" s="283">
        <f t="shared" si="14"/>
        <v>42004</v>
      </c>
      <c r="H68" s="13">
        <v>103</v>
      </c>
      <c r="I68" s="13">
        <f t="shared" si="15"/>
        <v>2014</v>
      </c>
      <c r="J68" s="90" t="str">
        <f t="shared" ca="1" si="16"/>
        <v/>
      </c>
      <c r="K68" s="90" t="str">
        <f t="shared" ca="1" si="17"/>
        <v/>
      </c>
      <c r="L68" s="90">
        <f t="shared" ca="1" si="18"/>
        <v>5762636</v>
      </c>
      <c r="M68" s="90">
        <f t="shared" ca="1" si="19"/>
        <v>5762636</v>
      </c>
    </row>
    <row r="69" spans="1:13" x14ac:dyDescent="0.2">
      <c r="A69" s="216">
        <v>70</v>
      </c>
      <c r="B69" s="217" t="s">
        <v>819</v>
      </c>
      <c r="C69" s="13">
        <f t="shared" si="10"/>
        <v>4</v>
      </c>
      <c r="D69" s="215" t="str">
        <f t="shared" si="11"/>
        <v>11029752</v>
      </c>
      <c r="E69" s="215" t="str">
        <f t="shared" si="12"/>
        <v>4402748120004</v>
      </c>
      <c r="F69" s="215" t="b">
        <f t="shared" si="13"/>
        <v>0</v>
      </c>
      <c r="G69" s="283">
        <f t="shared" si="14"/>
        <v>42004</v>
      </c>
      <c r="H69" s="13">
        <v>104</v>
      </c>
      <c r="I69" s="13">
        <f t="shared" si="15"/>
        <v>2014</v>
      </c>
      <c r="J69" s="90" t="str">
        <f t="shared" ca="1" si="16"/>
        <v/>
      </c>
      <c r="K69" s="90" t="str">
        <f t="shared" ca="1" si="17"/>
        <v/>
      </c>
      <c r="L69" s="90" t="str">
        <f t="shared" ca="1" si="18"/>
        <v/>
      </c>
      <c r="M69" s="90" t="str">
        <f t="shared" ca="1" si="19"/>
        <v/>
      </c>
    </row>
    <row r="70" spans="1:13" x14ac:dyDescent="0.2">
      <c r="A70" s="216">
        <v>71</v>
      </c>
      <c r="B70" s="217" t="s">
        <v>819</v>
      </c>
      <c r="C70" s="13">
        <f t="shared" si="10"/>
        <v>4</v>
      </c>
      <c r="D70" s="215" t="str">
        <f t="shared" si="11"/>
        <v>11029752</v>
      </c>
      <c r="E70" s="215" t="str">
        <f t="shared" si="12"/>
        <v>4402748120004</v>
      </c>
      <c r="F70" s="215" t="b">
        <f t="shared" si="13"/>
        <v>0</v>
      </c>
      <c r="G70" s="283">
        <f t="shared" si="14"/>
        <v>42004</v>
      </c>
      <c r="H70" s="13">
        <v>105</v>
      </c>
      <c r="I70" s="13">
        <f t="shared" si="15"/>
        <v>2014</v>
      </c>
      <c r="J70" s="90" t="str">
        <f t="shared" ca="1" si="16"/>
        <v/>
      </c>
      <c r="K70" s="90" t="str">
        <f t="shared" ca="1" si="17"/>
        <v/>
      </c>
      <c r="L70" s="90" t="str">
        <f t="shared" ca="1" si="18"/>
        <v/>
      </c>
      <c r="M70" s="90" t="str">
        <f t="shared" ca="1" si="19"/>
        <v/>
      </c>
    </row>
    <row r="71" spans="1:13" x14ac:dyDescent="0.2">
      <c r="A71" s="216">
        <v>72</v>
      </c>
      <c r="B71" s="217" t="s">
        <v>819</v>
      </c>
      <c r="C71" s="13">
        <f t="shared" si="10"/>
        <v>4</v>
      </c>
      <c r="D71" s="215" t="str">
        <f t="shared" si="11"/>
        <v>11029752</v>
      </c>
      <c r="E71" s="215" t="str">
        <f t="shared" si="12"/>
        <v>4402748120004</v>
      </c>
      <c r="F71" s="215" t="b">
        <f t="shared" si="13"/>
        <v>0</v>
      </c>
      <c r="G71" s="283">
        <f t="shared" si="14"/>
        <v>42004</v>
      </c>
      <c r="H71" s="13">
        <v>106</v>
      </c>
      <c r="I71" s="13">
        <f t="shared" si="15"/>
        <v>2014</v>
      </c>
      <c r="J71" s="90" t="str">
        <f t="shared" ca="1" si="16"/>
        <v/>
      </c>
      <c r="K71" s="90" t="str">
        <f t="shared" ca="1" si="17"/>
        <v/>
      </c>
      <c r="L71" s="90" t="str">
        <f t="shared" ca="1" si="18"/>
        <v/>
      </c>
      <c r="M71" s="90" t="str">
        <f t="shared" ca="1" si="19"/>
        <v/>
      </c>
    </row>
    <row r="72" spans="1:13" x14ac:dyDescent="0.2">
      <c r="A72" s="216">
        <v>73</v>
      </c>
      <c r="B72" s="217" t="s">
        <v>819</v>
      </c>
      <c r="C72" s="13">
        <f t="shared" si="10"/>
        <v>4</v>
      </c>
      <c r="D72" s="215" t="str">
        <f t="shared" si="11"/>
        <v>11029752</v>
      </c>
      <c r="E72" s="215" t="str">
        <f t="shared" si="12"/>
        <v>4402748120004</v>
      </c>
      <c r="F72" s="215" t="b">
        <f t="shared" si="13"/>
        <v>0</v>
      </c>
      <c r="G72" s="283">
        <f t="shared" si="14"/>
        <v>42004</v>
      </c>
      <c r="H72" s="13">
        <v>107</v>
      </c>
      <c r="I72" s="13">
        <f t="shared" si="15"/>
        <v>2014</v>
      </c>
      <c r="J72" s="90" t="str">
        <f t="shared" ca="1" si="16"/>
        <v/>
      </c>
      <c r="K72" s="90" t="str">
        <f t="shared" ca="1" si="17"/>
        <v/>
      </c>
      <c r="L72" s="90" t="str">
        <f t="shared" ca="1" si="18"/>
        <v/>
      </c>
      <c r="M72" s="90" t="str">
        <f t="shared" ca="1" si="19"/>
        <v/>
      </c>
    </row>
    <row r="73" spans="1:13" x14ac:dyDescent="0.2">
      <c r="A73" s="216">
        <v>74</v>
      </c>
      <c r="B73" s="217" t="s">
        <v>819</v>
      </c>
      <c r="C73" s="13">
        <f t="shared" si="10"/>
        <v>4</v>
      </c>
      <c r="D73" s="215" t="str">
        <f t="shared" si="11"/>
        <v>11029752</v>
      </c>
      <c r="E73" s="215" t="str">
        <f t="shared" si="12"/>
        <v>4402748120004</v>
      </c>
      <c r="F73" s="215" t="b">
        <f t="shared" si="13"/>
        <v>0</v>
      </c>
      <c r="G73" s="283">
        <f t="shared" si="14"/>
        <v>42004</v>
      </c>
      <c r="H73" s="13">
        <v>108</v>
      </c>
      <c r="I73" s="13">
        <f t="shared" si="15"/>
        <v>2014</v>
      </c>
      <c r="J73" s="90" t="str">
        <f t="shared" ca="1" si="16"/>
        <v/>
      </c>
      <c r="K73" s="90" t="str">
        <f t="shared" ca="1" si="17"/>
        <v/>
      </c>
      <c r="L73" s="90" t="str">
        <f t="shared" ca="1" si="18"/>
        <v/>
      </c>
      <c r="M73" s="90" t="str">
        <f t="shared" ca="1" si="19"/>
        <v/>
      </c>
    </row>
    <row r="74" spans="1:13" x14ac:dyDescent="0.2">
      <c r="A74" s="216">
        <v>75</v>
      </c>
      <c r="B74" s="217" t="s">
        <v>819</v>
      </c>
      <c r="C74" s="13">
        <f t="shared" si="10"/>
        <v>4</v>
      </c>
      <c r="D74" s="215" t="str">
        <f t="shared" si="11"/>
        <v>11029752</v>
      </c>
      <c r="E74" s="215" t="str">
        <f t="shared" si="12"/>
        <v>4402748120004</v>
      </c>
      <c r="F74" s="215" t="b">
        <f t="shared" si="13"/>
        <v>0</v>
      </c>
      <c r="G74" s="283">
        <f t="shared" si="14"/>
        <v>42004</v>
      </c>
      <c r="H74" s="13">
        <v>109</v>
      </c>
      <c r="I74" s="13">
        <f t="shared" si="15"/>
        <v>2014</v>
      </c>
      <c r="J74" s="90" t="str">
        <f t="shared" ca="1" si="16"/>
        <v/>
      </c>
      <c r="K74" s="90" t="str">
        <f t="shared" ca="1" si="17"/>
        <v/>
      </c>
      <c r="L74" s="90" t="str">
        <f t="shared" ca="1" si="18"/>
        <v/>
      </c>
      <c r="M74" s="90" t="str">
        <f t="shared" ca="1" si="19"/>
        <v/>
      </c>
    </row>
    <row r="75" spans="1:13" x14ac:dyDescent="0.2">
      <c r="A75" s="216">
        <v>76</v>
      </c>
      <c r="B75" s="217" t="s">
        <v>819</v>
      </c>
      <c r="C75" s="13">
        <f t="shared" si="10"/>
        <v>4</v>
      </c>
      <c r="D75" s="215" t="str">
        <f t="shared" si="11"/>
        <v>11029752</v>
      </c>
      <c r="E75" s="215" t="str">
        <f t="shared" si="12"/>
        <v>4402748120004</v>
      </c>
      <c r="F75" s="215" t="b">
        <f t="shared" si="13"/>
        <v>0</v>
      </c>
      <c r="G75" s="283">
        <f t="shared" si="14"/>
        <v>42004</v>
      </c>
      <c r="H75" s="13">
        <v>110</v>
      </c>
      <c r="I75" s="13">
        <f t="shared" si="15"/>
        <v>2014</v>
      </c>
      <c r="J75" s="90" t="str">
        <f t="shared" ca="1" si="16"/>
        <v/>
      </c>
      <c r="K75" s="90" t="str">
        <f t="shared" ca="1" si="17"/>
        <v/>
      </c>
      <c r="L75" s="90" t="str">
        <f t="shared" ca="1" si="18"/>
        <v/>
      </c>
      <c r="M75" s="90" t="str">
        <f t="shared" ca="1" si="19"/>
        <v/>
      </c>
    </row>
    <row r="76" spans="1:13" x14ac:dyDescent="0.2">
      <c r="A76" s="216">
        <v>77</v>
      </c>
      <c r="B76" s="217" t="s">
        <v>819</v>
      </c>
      <c r="C76" s="13">
        <f t="shared" si="10"/>
        <v>4</v>
      </c>
      <c r="D76" s="215" t="str">
        <f t="shared" si="11"/>
        <v>11029752</v>
      </c>
      <c r="E76" s="215" t="str">
        <f t="shared" si="12"/>
        <v>4402748120004</v>
      </c>
      <c r="F76" s="215" t="b">
        <f t="shared" si="13"/>
        <v>0</v>
      </c>
      <c r="G76" s="283">
        <f t="shared" si="14"/>
        <v>42004</v>
      </c>
      <c r="H76" s="13">
        <v>111</v>
      </c>
      <c r="I76" s="13">
        <f t="shared" si="15"/>
        <v>2014</v>
      </c>
      <c r="J76" s="90" t="str">
        <f t="shared" ca="1" si="16"/>
        <v/>
      </c>
      <c r="K76" s="90" t="str">
        <f t="shared" ca="1" si="17"/>
        <v/>
      </c>
      <c r="L76" s="90">
        <f t="shared" ca="1" si="18"/>
        <v>0</v>
      </c>
      <c r="M76" s="90">
        <f t="shared" ca="1" si="19"/>
        <v>0</v>
      </c>
    </row>
    <row r="77" spans="1:13" x14ac:dyDescent="0.2">
      <c r="A77" s="216">
        <v>78</v>
      </c>
      <c r="B77" s="217" t="s">
        <v>819</v>
      </c>
      <c r="C77" s="13">
        <f t="shared" si="10"/>
        <v>4</v>
      </c>
      <c r="D77" s="215" t="str">
        <f t="shared" si="11"/>
        <v>11029752</v>
      </c>
      <c r="E77" s="215" t="str">
        <f t="shared" si="12"/>
        <v>4402748120004</v>
      </c>
      <c r="F77" s="215" t="b">
        <f t="shared" si="13"/>
        <v>0</v>
      </c>
      <c r="G77" s="283">
        <f t="shared" si="14"/>
        <v>42004</v>
      </c>
      <c r="H77" s="13">
        <v>112</v>
      </c>
      <c r="I77" s="13">
        <f t="shared" si="15"/>
        <v>2014</v>
      </c>
      <c r="J77" s="90" t="str">
        <f t="shared" ca="1" si="16"/>
        <v/>
      </c>
      <c r="K77" s="90" t="str">
        <f t="shared" ca="1" si="17"/>
        <v/>
      </c>
      <c r="L77" s="90" t="str">
        <f t="shared" ca="1" si="18"/>
        <v/>
      </c>
      <c r="M77" s="90" t="str">
        <f t="shared" ca="1" si="19"/>
        <v/>
      </c>
    </row>
    <row r="78" spans="1:13" x14ac:dyDescent="0.2">
      <c r="A78" s="216">
        <v>79</v>
      </c>
      <c r="B78" s="217" t="s">
        <v>819</v>
      </c>
      <c r="C78" s="13">
        <f t="shared" si="10"/>
        <v>4</v>
      </c>
      <c r="D78" s="215" t="str">
        <f t="shared" si="11"/>
        <v>11029752</v>
      </c>
      <c r="E78" s="215" t="str">
        <f t="shared" si="12"/>
        <v>4402748120004</v>
      </c>
      <c r="F78" s="215" t="b">
        <f t="shared" si="13"/>
        <v>0</v>
      </c>
      <c r="G78" s="283">
        <f t="shared" si="14"/>
        <v>42004</v>
      </c>
      <c r="H78" s="13">
        <v>113</v>
      </c>
      <c r="I78" s="13">
        <f t="shared" si="15"/>
        <v>2014</v>
      </c>
      <c r="J78" s="90" t="str">
        <f t="shared" ca="1" si="16"/>
        <v/>
      </c>
      <c r="K78" s="90" t="str">
        <f t="shared" ca="1" si="17"/>
        <v/>
      </c>
      <c r="L78" s="90" t="str">
        <f t="shared" ca="1" si="18"/>
        <v/>
      </c>
      <c r="M78" s="90" t="str">
        <f t="shared" ca="1" si="19"/>
        <v/>
      </c>
    </row>
    <row r="79" spans="1:13" x14ac:dyDescent="0.2">
      <c r="A79" s="216">
        <v>80</v>
      </c>
      <c r="B79" s="217" t="s">
        <v>819</v>
      </c>
      <c r="C79" s="13">
        <f t="shared" si="10"/>
        <v>4</v>
      </c>
      <c r="D79" s="215" t="str">
        <f t="shared" si="11"/>
        <v>11029752</v>
      </c>
      <c r="E79" s="215" t="str">
        <f t="shared" si="12"/>
        <v>4402748120004</v>
      </c>
      <c r="F79" s="215" t="b">
        <f t="shared" si="13"/>
        <v>0</v>
      </c>
      <c r="G79" s="283">
        <f t="shared" si="14"/>
        <v>42004</v>
      </c>
      <c r="H79" s="13">
        <v>114</v>
      </c>
      <c r="I79" s="13">
        <f t="shared" si="15"/>
        <v>2014</v>
      </c>
      <c r="J79" s="90" t="str">
        <f t="shared" ca="1" si="16"/>
        <v/>
      </c>
      <c r="K79" s="90" t="str">
        <f t="shared" ca="1" si="17"/>
        <v/>
      </c>
      <c r="L79" s="90">
        <f t="shared" ca="1" si="18"/>
        <v>254285</v>
      </c>
      <c r="M79" s="90">
        <f t="shared" ca="1" si="19"/>
        <v>254285</v>
      </c>
    </row>
    <row r="80" spans="1:13" x14ac:dyDescent="0.2">
      <c r="A80" s="216">
        <v>81</v>
      </c>
      <c r="B80" s="217" t="s">
        <v>819</v>
      </c>
      <c r="C80" s="13">
        <f t="shared" si="10"/>
        <v>4</v>
      </c>
      <c r="D80" s="215" t="str">
        <f t="shared" si="11"/>
        <v>11029752</v>
      </c>
      <c r="E80" s="215" t="str">
        <f t="shared" si="12"/>
        <v>4402748120004</v>
      </c>
      <c r="F80" s="215" t="b">
        <f t="shared" si="13"/>
        <v>0</v>
      </c>
      <c r="G80" s="283">
        <f t="shared" si="14"/>
        <v>42004</v>
      </c>
      <c r="H80" s="13">
        <v>115</v>
      </c>
      <c r="I80" s="13">
        <f t="shared" si="15"/>
        <v>2014</v>
      </c>
      <c r="J80" s="90" t="str">
        <f t="shared" ca="1" si="16"/>
        <v/>
      </c>
      <c r="K80" s="90" t="str">
        <f t="shared" ca="1" si="17"/>
        <v/>
      </c>
      <c r="L80" s="90" t="str">
        <f t="shared" ca="1" si="18"/>
        <v/>
      </c>
      <c r="M80" s="90" t="str">
        <f t="shared" ca="1" si="19"/>
        <v/>
      </c>
    </row>
    <row r="81" spans="1:13" x14ac:dyDescent="0.2">
      <c r="A81" s="216">
        <v>82</v>
      </c>
      <c r="B81" s="217" t="s">
        <v>819</v>
      </c>
      <c r="C81" s="13">
        <f t="shared" si="10"/>
        <v>4</v>
      </c>
      <c r="D81" s="215" t="str">
        <f t="shared" si="11"/>
        <v>11029752</v>
      </c>
      <c r="E81" s="215" t="str">
        <f t="shared" si="12"/>
        <v>4402748120004</v>
      </c>
      <c r="F81" s="215" t="b">
        <f t="shared" si="13"/>
        <v>0</v>
      </c>
      <c r="G81" s="283">
        <f t="shared" si="14"/>
        <v>42004</v>
      </c>
      <c r="H81" s="13">
        <v>116</v>
      </c>
      <c r="I81" s="13">
        <f t="shared" si="15"/>
        <v>2014</v>
      </c>
      <c r="J81" s="90" t="str">
        <f t="shared" ca="1" si="16"/>
        <v/>
      </c>
      <c r="K81" s="90" t="str">
        <f t="shared" ca="1" si="17"/>
        <v/>
      </c>
      <c r="L81" s="90" t="str">
        <f t="shared" ca="1" si="18"/>
        <v/>
      </c>
      <c r="M81" s="90" t="str">
        <f t="shared" ca="1" si="19"/>
        <v/>
      </c>
    </row>
    <row r="82" spans="1:13" x14ac:dyDescent="0.2">
      <c r="A82" s="216">
        <v>83</v>
      </c>
      <c r="B82" s="217" t="s">
        <v>819</v>
      </c>
      <c r="C82" s="13">
        <f t="shared" si="10"/>
        <v>4</v>
      </c>
      <c r="D82" s="215" t="str">
        <f t="shared" si="11"/>
        <v>11029752</v>
      </c>
      <c r="E82" s="215" t="str">
        <f t="shared" si="12"/>
        <v>4402748120004</v>
      </c>
      <c r="F82" s="215" t="b">
        <f t="shared" si="13"/>
        <v>0</v>
      </c>
      <c r="G82" s="283">
        <f t="shared" si="14"/>
        <v>42004</v>
      </c>
      <c r="H82" s="13">
        <v>117</v>
      </c>
      <c r="I82" s="13">
        <f t="shared" si="15"/>
        <v>2014</v>
      </c>
      <c r="J82" s="90" t="str">
        <f t="shared" ca="1" si="16"/>
        <v/>
      </c>
      <c r="K82" s="90" t="str">
        <f t="shared" ca="1" si="17"/>
        <v/>
      </c>
      <c r="L82" s="90">
        <f t="shared" ca="1" si="18"/>
        <v>1529117</v>
      </c>
      <c r="M82" s="90">
        <f t="shared" ca="1" si="19"/>
        <v>1529117</v>
      </c>
    </row>
    <row r="83" spans="1:13" x14ac:dyDescent="0.2">
      <c r="A83" s="216">
        <v>84</v>
      </c>
      <c r="B83" s="217" t="s">
        <v>819</v>
      </c>
      <c r="C83" s="13">
        <f t="shared" si="10"/>
        <v>4</v>
      </c>
      <c r="D83" s="215" t="str">
        <f t="shared" si="11"/>
        <v>11029752</v>
      </c>
      <c r="E83" s="215" t="str">
        <f t="shared" si="12"/>
        <v>4402748120004</v>
      </c>
      <c r="F83" s="215" t="b">
        <f t="shared" si="13"/>
        <v>0</v>
      </c>
      <c r="G83" s="283">
        <f t="shared" si="14"/>
        <v>42004</v>
      </c>
      <c r="H83" s="13">
        <v>118</v>
      </c>
      <c r="I83" s="13">
        <f t="shared" si="15"/>
        <v>2014</v>
      </c>
      <c r="J83" s="90" t="str">
        <f t="shared" ca="1" si="16"/>
        <v/>
      </c>
      <c r="K83" s="90" t="str">
        <f t="shared" ca="1" si="17"/>
        <v/>
      </c>
      <c r="L83" s="90">
        <f t="shared" ca="1" si="18"/>
        <v>1529117</v>
      </c>
      <c r="M83" s="90">
        <f t="shared" ca="1" si="19"/>
        <v>1529117</v>
      </c>
    </row>
    <row r="84" spans="1:13" x14ac:dyDescent="0.2">
      <c r="A84" s="216">
        <v>85</v>
      </c>
      <c r="B84" s="217" t="s">
        <v>819</v>
      </c>
      <c r="C84" s="13">
        <f t="shared" si="10"/>
        <v>4</v>
      </c>
      <c r="D84" s="215" t="str">
        <f t="shared" si="11"/>
        <v>11029752</v>
      </c>
      <c r="E84" s="215" t="str">
        <f t="shared" si="12"/>
        <v>4402748120004</v>
      </c>
      <c r="F84" s="215" t="b">
        <f t="shared" si="13"/>
        <v>0</v>
      </c>
      <c r="G84" s="283">
        <f t="shared" si="14"/>
        <v>42004</v>
      </c>
      <c r="H84" s="13">
        <v>119</v>
      </c>
      <c r="I84" s="13">
        <f t="shared" si="15"/>
        <v>2014</v>
      </c>
      <c r="J84" s="90" t="str">
        <f t="shared" ca="1" si="16"/>
        <v/>
      </c>
      <c r="K84" s="90" t="str">
        <f t="shared" ca="1" si="17"/>
        <v/>
      </c>
      <c r="L84" s="90" t="str">
        <f t="shared" ca="1" si="18"/>
        <v/>
      </c>
      <c r="M84" s="90" t="str">
        <f t="shared" ca="1" si="19"/>
        <v/>
      </c>
    </row>
    <row r="85" spans="1:13" x14ac:dyDescent="0.2">
      <c r="A85" s="216">
        <v>86</v>
      </c>
      <c r="B85" s="217" t="s">
        <v>819</v>
      </c>
      <c r="C85" s="13">
        <f t="shared" si="10"/>
        <v>4</v>
      </c>
      <c r="D85" s="215" t="str">
        <f t="shared" si="11"/>
        <v>11029752</v>
      </c>
      <c r="E85" s="215" t="str">
        <f t="shared" si="12"/>
        <v>4402748120004</v>
      </c>
      <c r="F85" s="215" t="b">
        <f t="shared" si="13"/>
        <v>0</v>
      </c>
      <c r="G85" s="283">
        <f t="shared" si="14"/>
        <v>42004</v>
      </c>
      <c r="H85" s="13">
        <v>120</v>
      </c>
      <c r="I85" s="13">
        <f t="shared" si="15"/>
        <v>2014</v>
      </c>
      <c r="J85" s="90" t="str">
        <f t="shared" ca="1" si="16"/>
        <v/>
      </c>
      <c r="K85" s="90" t="str">
        <f t="shared" ca="1" si="17"/>
        <v/>
      </c>
      <c r="L85" s="90" t="str">
        <f t="shared" ca="1" si="18"/>
        <v/>
      </c>
      <c r="M85" s="90" t="str">
        <f t="shared" ca="1" si="19"/>
        <v/>
      </c>
    </row>
    <row r="86" spans="1:13" x14ac:dyDescent="0.2">
      <c r="A86" s="216">
        <v>87</v>
      </c>
      <c r="B86" s="217" t="s">
        <v>819</v>
      </c>
      <c r="C86" s="13">
        <f t="shared" si="10"/>
        <v>4</v>
      </c>
      <c r="D86" s="215" t="str">
        <f t="shared" si="11"/>
        <v>11029752</v>
      </c>
      <c r="E86" s="215" t="str">
        <f t="shared" si="12"/>
        <v>4402748120004</v>
      </c>
      <c r="F86" s="215" t="b">
        <f t="shared" si="13"/>
        <v>0</v>
      </c>
      <c r="G86" s="283">
        <f t="shared" si="14"/>
        <v>42004</v>
      </c>
      <c r="H86" s="13">
        <v>121</v>
      </c>
      <c r="I86" s="13">
        <f t="shared" si="15"/>
        <v>2014</v>
      </c>
      <c r="J86" s="90" t="str">
        <f t="shared" ca="1" si="16"/>
        <v/>
      </c>
      <c r="K86" s="90" t="str">
        <f t="shared" ca="1" si="17"/>
        <v/>
      </c>
      <c r="L86" s="90" t="str">
        <f t="shared" ca="1" si="18"/>
        <v/>
      </c>
      <c r="M86" s="90" t="str">
        <f t="shared" ca="1" si="19"/>
        <v/>
      </c>
    </row>
    <row r="87" spans="1:13" x14ac:dyDescent="0.2">
      <c r="A87" s="216">
        <v>88</v>
      </c>
      <c r="B87" s="217" t="s">
        <v>819</v>
      </c>
      <c r="C87" s="13">
        <f t="shared" si="10"/>
        <v>4</v>
      </c>
      <c r="D87" s="215" t="str">
        <f t="shared" si="11"/>
        <v>11029752</v>
      </c>
      <c r="E87" s="215" t="str">
        <f t="shared" si="12"/>
        <v>4402748120004</v>
      </c>
      <c r="F87" s="215" t="b">
        <f t="shared" si="13"/>
        <v>0</v>
      </c>
      <c r="G87" s="283">
        <f t="shared" si="14"/>
        <v>42004</v>
      </c>
      <c r="H87" s="13">
        <v>122</v>
      </c>
      <c r="I87" s="13">
        <f t="shared" si="15"/>
        <v>2014</v>
      </c>
      <c r="J87" s="90" t="str">
        <f t="shared" ca="1" si="16"/>
        <v/>
      </c>
      <c r="K87" s="90" t="str">
        <f t="shared" ca="1" si="17"/>
        <v/>
      </c>
      <c r="L87" s="90">
        <f t="shared" ca="1" si="18"/>
        <v>4563231</v>
      </c>
      <c r="M87" s="90">
        <f t="shared" ca="1" si="19"/>
        <v>4548651</v>
      </c>
    </row>
    <row r="88" spans="1:13" x14ac:dyDescent="0.2">
      <c r="A88" s="216">
        <v>89</v>
      </c>
      <c r="B88" s="217" t="s">
        <v>819</v>
      </c>
      <c r="C88" s="13">
        <f t="shared" si="10"/>
        <v>4</v>
      </c>
      <c r="D88" s="215" t="str">
        <f t="shared" si="11"/>
        <v>11029752</v>
      </c>
      <c r="E88" s="215" t="str">
        <f t="shared" si="12"/>
        <v>4402748120004</v>
      </c>
      <c r="F88" s="215" t="b">
        <f t="shared" si="13"/>
        <v>0</v>
      </c>
      <c r="G88" s="283">
        <f t="shared" si="14"/>
        <v>42004</v>
      </c>
      <c r="H88" s="13">
        <v>123</v>
      </c>
      <c r="I88" s="13">
        <f t="shared" si="15"/>
        <v>2014</v>
      </c>
      <c r="J88" s="90" t="str">
        <f t="shared" ca="1" si="16"/>
        <v/>
      </c>
      <c r="K88" s="90" t="str">
        <f t="shared" ca="1" si="17"/>
        <v/>
      </c>
      <c r="L88" s="90">
        <f t="shared" ca="1" si="18"/>
        <v>4548651</v>
      </c>
      <c r="M88" s="90">
        <f t="shared" ca="1" si="19"/>
        <v>4415817</v>
      </c>
    </row>
    <row r="89" spans="1:13" x14ac:dyDescent="0.2">
      <c r="A89" s="216">
        <v>90</v>
      </c>
      <c r="B89" s="217" t="s">
        <v>819</v>
      </c>
      <c r="C89" s="13">
        <f t="shared" si="10"/>
        <v>4</v>
      </c>
      <c r="D89" s="215" t="str">
        <f t="shared" si="11"/>
        <v>11029752</v>
      </c>
      <c r="E89" s="215" t="str">
        <f t="shared" si="12"/>
        <v>4402748120004</v>
      </c>
      <c r="F89" s="215" t="b">
        <f t="shared" si="13"/>
        <v>0</v>
      </c>
      <c r="G89" s="283">
        <f t="shared" si="14"/>
        <v>42004</v>
      </c>
      <c r="H89" s="13">
        <v>124</v>
      </c>
      <c r="I89" s="13">
        <f t="shared" si="15"/>
        <v>2014</v>
      </c>
      <c r="J89" s="90" t="str">
        <f t="shared" ca="1" si="16"/>
        <v/>
      </c>
      <c r="K89" s="90" t="str">
        <f t="shared" ca="1" si="17"/>
        <v/>
      </c>
      <c r="L89" s="90">
        <f t="shared" ca="1" si="18"/>
        <v>14580</v>
      </c>
      <c r="M89" s="90">
        <f t="shared" ca="1" si="19"/>
        <v>132834</v>
      </c>
    </row>
    <row r="90" spans="1:13" x14ac:dyDescent="0.2">
      <c r="A90" s="216">
        <v>91</v>
      </c>
      <c r="B90" s="217" t="s">
        <v>819</v>
      </c>
      <c r="C90" s="13">
        <f t="shared" si="10"/>
        <v>4</v>
      </c>
      <c r="D90" s="215" t="str">
        <f t="shared" si="11"/>
        <v>11029752</v>
      </c>
      <c r="E90" s="215" t="str">
        <f t="shared" si="12"/>
        <v>4402748120004</v>
      </c>
      <c r="F90" s="215" t="b">
        <f t="shared" si="13"/>
        <v>0</v>
      </c>
      <c r="G90" s="283">
        <f t="shared" si="14"/>
        <v>42004</v>
      </c>
      <c r="H90" s="13">
        <v>125</v>
      </c>
      <c r="I90" s="13">
        <f t="shared" si="15"/>
        <v>2014</v>
      </c>
      <c r="J90" s="90" t="str">
        <f t="shared" ca="1" si="16"/>
        <v/>
      </c>
      <c r="K90" s="90" t="str">
        <f t="shared" ca="1" si="17"/>
        <v/>
      </c>
      <c r="L90" s="90">
        <f t="shared" ca="1" si="18"/>
        <v>241548</v>
      </c>
      <c r="M90" s="90">
        <f t="shared" ca="1" si="19"/>
        <v>218829</v>
      </c>
    </row>
    <row r="91" spans="1:13" x14ac:dyDescent="0.2">
      <c r="A91" s="216">
        <v>92</v>
      </c>
      <c r="B91" s="217" t="s">
        <v>819</v>
      </c>
      <c r="C91" s="13">
        <f t="shared" si="10"/>
        <v>4</v>
      </c>
      <c r="D91" s="215" t="str">
        <f t="shared" si="11"/>
        <v>11029752</v>
      </c>
      <c r="E91" s="215" t="str">
        <f t="shared" si="12"/>
        <v>4402748120004</v>
      </c>
      <c r="F91" s="215" t="b">
        <f t="shared" si="13"/>
        <v>0</v>
      </c>
      <c r="G91" s="283">
        <f t="shared" si="14"/>
        <v>42004</v>
      </c>
      <c r="H91" s="13">
        <v>126</v>
      </c>
      <c r="I91" s="13">
        <f t="shared" si="15"/>
        <v>2014</v>
      </c>
      <c r="J91" s="90" t="str">
        <f t="shared" ca="1" si="16"/>
        <v/>
      </c>
      <c r="K91" s="90" t="str">
        <f t="shared" ca="1" si="17"/>
        <v/>
      </c>
      <c r="L91" s="90" t="str">
        <f t="shared" ca="1" si="18"/>
        <v/>
      </c>
      <c r="M91" s="90" t="str">
        <f t="shared" ca="1" si="19"/>
        <v/>
      </c>
    </row>
    <row r="92" spans="1:13" x14ac:dyDescent="0.2">
      <c r="A92" s="216">
        <v>93</v>
      </c>
      <c r="B92" s="217" t="s">
        <v>819</v>
      </c>
      <c r="C92" s="13">
        <f t="shared" si="10"/>
        <v>4</v>
      </c>
      <c r="D92" s="215" t="str">
        <f t="shared" si="11"/>
        <v>11029752</v>
      </c>
      <c r="E92" s="215" t="str">
        <f t="shared" si="12"/>
        <v>4402748120004</v>
      </c>
      <c r="F92" s="215" t="b">
        <f t="shared" si="13"/>
        <v>0</v>
      </c>
      <c r="G92" s="283">
        <f t="shared" si="14"/>
        <v>42004</v>
      </c>
      <c r="H92" s="13">
        <v>127</v>
      </c>
      <c r="I92" s="13">
        <f t="shared" si="15"/>
        <v>2014</v>
      </c>
      <c r="J92" s="90" t="str">
        <f t="shared" ca="1" si="16"/>
        <v/>
      </c>
      <c r="K92" s="90" t="str">
        <f t="shared" ca="1" si="17"/>
        <v/>
      </c>
      <c r="L92" s="90" t="str">
        <f t="shared" ca="1" si="18"/>
        <v/>
      </c>
      <c r="M92" s="90" t="str">
        <f t="shared" ca="1" si="19"/>
        <v/>
      </c>
    </row>
    <row r="93" spans="1:13" x14ac:dyDescent="0.2">
      <c r="A93" s="216">
        <v>94</v>
      </c>
      <c r="B93" s="217" t="s">
        <v>819</v>
      </c>
      <c r="C93" s="13">
        <f t="shared" si="10"/>
        <v>4</v>
      </c>
      <c r="D93" s="215" t="str">
        <f t="shared" si="11"/>
        <v>11029752</v>
      </c>
      <c r="E93" s="215" t="str">
        <f t="shared" si="12"/>
        <v>4402748120004</v>
      </c>
      <c r="F93" s="215" t="b">
        <f t="shared" si="13"/>
        <v>0</v>
      </c>
      <c r="G93" s="283">
        <f t="shared" si="14"/>
        <v>42004</v>
      </c>
      <c r="H93" s="13">
        <v>128</v>
      </c>
      <c r="I93" s="13">
        <f t="shared" si="15"/>
        <v>2014</v>
      </c>
      <c r="J93" s="90" t="str">
        <f t="shared" ca="1" si="16"/>
        <v/>
      </c>
      <c r="K93" s="90" t="str">
        <f t="shared" ca="1" si="17"/>
        <v/>
      </c>
      <c r="L93" s="90" t="str">
        <f t="shared" ca="1" si="18"/>
        <v/>
      </c>
      <c r="M93" s="90" t="str">
        <f t="shared" ca="1" si="19"/>
        <v/>
      </c>
    </row>
    <row r="94" spans="1:13" x14ac:dyDescent="0.2">
      <c r="A94" s="216">
        <v>95</v>
      </c>
      <c r="B94" s="217" t="s">
        <v>819</v>
      </c>
      <c r="C94" s="13">
        <f t="shared" si="10"/>
        <v>4</v>
      </c>
      <c r="D94" s="215" t="str">
        <f t="shared" si="11"/>
        <v>11029752</v>
      </c>
      <c r="E94" s="215" t="str">
        <f t="shared" si="12"/>
        <v>4402748120004</v>
      </c>
      <c r="F94" s="215" t="b">
        <f t="shared" si="13"/>
        <v>0</v>
      </c>
      <c r="G94" s="283">
        <f t="shared" si="14"/>
        <v>42004</v>
      </c>
      <c r="H94" s="13">
        <v>129</v>
      </c>
      <c r="I94" s="13">
        <f t="shared" si="15"/>
        <v>2014</v>
      </c>
      <c r="J94" s="90" t="str">
        <f t="shared" ca="1" si="16"/>
        <v/>
      </c>
      <c r="K94" s="90" t="str">
        <f t="shared" ca="1" si="17"/>
        <v/>
      </c>
      <c r="L94" s="90" t="str">
        <f t="shared" ca="1" si="18"/>
        <v/>
      </c>
      <c r="M94" s="90" t="str">
        <f t="shared" ca="1" si="19"/>
        <v/>
      </c>
    </row>
    <row r="95" spans="1:13" x14ac:dyDescent="0.2">
      <c r="A95" s="216">
        <v>96</v>
      </c>
      <c r="B95" s="217" t="s">
        <v>819</v>
      </c>
      <c r="C95" s="13">
        <f t="shared" si="10"/>
        <v>4</v>
      </c>
      <c r="D95" s="215" t="str">
        <f t="shared" si="11"/>
        <v>11029752</v>
      </c>
      <c r="E95" s="215" t="str">
        <f t="shared" si="12"/>
        <v>4402748120004</v>
      </c>
      <c r="F95" s="215" t="b">
        <f t="shared" si="13"/>
        <v>0</v>
      </c>
      <c r="G95" s="283">
        <f t="shared" si="14"/>
        <v>42004</v>
      </c>
      <c r="H95" s="13">
        <v>130</v>
      </c>
      <c r="I95" s="13">
        <f t="shared" si="15"/>
        <v>2014</v>
      </c>
      <c r="J95" s="90" t="str">
        <f t="shared" ca="1" si="16"/>
        <v/>
      </c>
      <c r="K95" s="90" t="str">
        <f t="shared" ca="1" si="17"/>
        <v/>
      </c>
      <c r="L95" s="90">
        <f t="shared" ca="1" si="18"/>
        <v>19085</v>
      </c>
      <c r="M95" s="90">
        <f t="shared" ca="1" si="19"/>
        <v>24060</v>
      </c>
    </row>
    <row r="96" spans="1:13" x14ac:dyDescent="0.2">
      <c r="A96" s="216">
        <v>97</v>
      </c>
      <c r="B96" s="217" t="s">
        <v>819</v>
      </c>
      <c r="C96" s="13">
        <f t="shared" si="10"/>
        <v>4</v>
      </c>
      <c r="D96" s="215" t="str">
        <f t="shared" si="11"/>
        <v>11029752</v>
      </c>
      <c r="E96" s="215" t="str">
        <f t="shared" si="12"/>
        <v>4402748120004</v>
      </c>
      <c r="F96" s="215" t="b">
        <f t="shared" si="13"/>
        <v>0</v>
      </c>
      <c r="G96" s="283">
        <f t="shared" si="14"/>
        <v>42004</v>
      </c>
      <c r="H96" s="13">
        <v>131</v>
      </c>
      <c r="I96" s="13">
        <f t="shared" si="15"/>
        <v>2014</v>
      </c>
      <c r="J96" s="90" t="str">
        <f t="shared" ca="1" si="16"/>
        <v/>
      </c>
      <c r="K96" s="90" t="str">
        <f t="shared" ca="1" si="17"/>
        <v/>
      </c>
      <c r="L96" s="90">
        <f t="shared" ca="1" si="18"/>
        <v>222463</v>
      </c>
      <c r="M96" s="90">
        <f t="shared" ca="1" si="19"/>
        <v>194769</v>
      </c>
    </row>
    <row r="97" spans="1:13" x14ac:dyDescent="0.2">
      <c r="A97" s="216">
        <v>98</v>
      </c>
      <c r="B97" s="217" t="s">
        <v>819</v>
      </c>
      <c r="C97" s="13">
        <f t="shared" si="10"/>
        <v>4</v>
      </c>
      <c r="D97" s="215" t="str">
        <f t="shared" si="11"/>
        <v>11029752</v>
      </c>
      <c r="E97" s="215" t="str">
        <f t="shared" si="12"/>
        <v>4402748120004</v>
      </c>
      <c r="F97" s="215" t="b">
        <f t="shared" si="13"/>
        <v>0</v>
      </c>
      <c r="G97" s="283">
        <f t="shared" si="14"/>
        <v>42004</v>
      </c>
      <c r="H97" s="13">
        <v>132</v>
      </c>
      <c r="I97" s="13">
        <f t="shared" si="15"/>
        <v>2014</v>
      </c>
      <c r="J97" s="90" t="str">
        <f t="shared" ca="1" si="16"/>
        <v/>
      </c>
      <c r="K97" s="90" t="str">
        <f t="shared" ca="1" si="17"/>
        <v/>
      </c>
      <c r="L97" s="90">
        <f t="shared" ca="1" si="18"/>
        <v>4209954</v>
      </c>
      <c r="M97" s="90">
        <f t="shared" ca="1" si="19"/>
        <v>3283364</v>
      </c>
    </row>
    <row r="98" spans="1:13" x14ac:dyDescent="0.2">
      <c r="A98" s="216">
        <v>99</v>
      </c>
      <c r="B98" s="217" t="s">
        <v>819</v>
      </c>
      <c r="C98" s="13">
        <f t="shared" si="10"/>
        <v>4</v>
      </c>
      <c r="D98" s="215" t="str">
        <f t="shared" si="11"/>
        <v>11029752</v>
      </c>
      <c r="E98" s="215" t="str">
        <f t="shared" si="12"/>
        <v>4402748120004</v>
      </c>
      <c r="F98" s="215" t="b">
        <f t="shared" si="13"/>
        <v>0</v>
      </c>
      <c r="G98" s="283">
        <f t="shared" si="14"/>
        <v>42004</v>
      </c>
      <c r="H98" s="13">
        <v>133</v>
      </c>
      <c r="I98" s="13">
        <f t="shared" si="15"/>
        <v>2014</v>
      </c>
      <c r="J98" s="90" t="str">
        <f t="shared" ca="1" si="16"/>
        <v/>
      </c>
      <c r="K98" s="90" t="str">
        <f t="shared" ca="1" si="17"/>
        <v/>
      </c>
      <c r="L98" s="90">
        <f t="shared" ca="1" si="18"/>
        <v>0</v>
      </c>
      <c r="M98" s="90">
        <f t="shared" ca="1" si="19"/>
        <v>0</v>
      </c>
    </row>
    <row r="99" spans="1:13" x14ac:dyDescent="0.2">
      <c r="A99" s="216">
        <v>100</v>
      </c>
      <c r="B99" s="217" t="s">
        <v>819</v>
      </c>
      <c r="C99" s="13">
        <f t="shared" si="10"/>
        <v>4</v>
      </c>
      <c r="D99" s="215" t="str">
        <f t="shared" si="11"/>
        <v>11029752</v>
      </c>
      <c r="E99" s="215" t="str">
        <f t="shared" si="12"/>
        <v>4402748120004</v>
      </c>
      <c r="F99" s="215" t="b">
        <f t="shared" si="13"/>
        <v>0</v>
      </c>
      <c r="G99" s="283">
        <f t="shared" si="14"/>
        <v>42004</v>
      </c>
      <c r="H99" s="13">
        <v>134</v>
      </c>
      <c r="I99" s="13">
        <f t="shared" si="15"/>
        <v>2014</v>
      </c>
      <c r="J99" s="90" t="str">
        <f t="shared" ca="1" si="16"/>
        <v/>
      </c>
      <c r="K99" s="90" t="str">
        <f t="shared" ca="1" si="17"/>
        <v/>
      </c>
      <c r="L99" s="90" t="str">
        <f t="shared" ca="1" si="18"/>
        <v/>
      </c>
      <c r="M99" s="90" t="str">
        <f t="shared" ca="1" si="19"/>
        <v/>
      </c>
    </row>
    <row r="100" spans="1:13" x14ac:dyDescent="0.2">
      <c r="A100" s="216">
        <v>101</v>
      </c>
      <c r="B100" s="217" t="s">
        <v>819</v>
      </c>
      <c r="C100" s="13">
        <f t="shared" si="10"/>
        <v>4</v>
      </c>
      <c r="D100" s="215" t="str">
        <f t="shared" si="11"/>
        <v>11029752</v>
      </c>
      <c r="E100" s="215" t="str">
        <f t="shared" si="12"/>
        <v>4402748120004</v>
      </c>
      <c r="F100" s="215" t="b">
        <f t="shared" si="13"/>
        <v>0</v>
      </c>
      <c r="G100" s="283">
        <f t="shared" si="14"/>
        <v>42004</v>
      </c>
      <c r="H100" s="13">
        <v>135</v>
      </c>
      <c r="I100" s="13">
        <f t="shared" si="15"/>
        <v>2014</v>
      </c>
      <c r="J100" s="90" t="str">
        <f t="shared" ca="1" si="16"/>
        <v/>
      </c>
      <c r="K100" s="90" t="str">
        <f t="shared" ca="1" si="17"/>
        <v/>
      </c>
      <c r="L100" s="90" t="str">
        <f t="shared" ca="1" si="18"/>
        <v/>
      </c>
      <c r="M100" s="90" t="str">
        <f t="shared" ca="1" si="19"/>
        <v/>
      </c>
    </row>
    <row r="101" spans="1:13" x14ac:dyDescent="0.2">
      <c r="A101" s="216">
        <v>102</v>
      </c>
      <c r="B101" s="217" t="s">
        <v>819</v>
      </c>
      <c r="C101" s="13">
        <f t="shared" si="10"/>
        <v>4</v>
      </c>
      <c r="D101" s="215" t="str">
        <f t="shared" si="11"/>
        <v>11029752</v>
      </c>
      <c r="E101" s="215" t="str">
        <f t="shared" si="12"/>
        <v>4402748120004</v>
      </c>
      <c r="F101" s="215" t="b">
        <f t="shared" si="13"/>
        <v>0</v>
      </c>
      <c r="G101" s="283">
        <f t="shared" si="14"/>
        <v>42004</v>
      </c>
      <c r="H101" s="13">
        <v>136</v>
      </c>
      <c r="I101" s="13">
        <f t="shared" si="15"/>
        <v>2014</v>
      </c>
      <c r="J101" s="90" t="str">
        <f t="shared" ca="1" si="16"/>
        <v/>
      </c>
      <c r="K101" s="90" t="str">
        <f t="shared" ca="1" si="17"/>
        <v/>
      </c>
      <c r="L101" s="90" t="str">
        <f t="shared" ca="1" si="18"/>
        <v/>
      </c>
      <c r="M101" s="90" t="str">
        <f t="shared" ca="1" si="19"/>
        <v/>
      </c>
    </row>
    <row r="102" spans="1:13" x14ac:dyDescent="0.2">
      <c r="A102" s="216">
        <v>103</v>
      </c>
      <c r="B102" s="217" t="s">
        <v>819</v>
      </c>
      <c r="C102" s="13">
        <f t="shared" si="10"/>
        <v>4</v>
      </c>
      <c r="D102" s="215" t="str">
        <f t="shared" si="11"/>
        <v>11029752</v>
      </c>
      <c r="E102" s="215" t="str">
        <f t="shared" si="12"/>
        <v>4402748120004</v>
      </c>
      <c r="F102" s="215" t="b">
        <f t="shared" si="13"/>
        <v>0</v>
      </c>
      <c r="G102" s="283">
        <f t="shared" si="14"/>
        <v>42004</v>
      </c>
      <c r="H102" s="13">
        <v>137</v>
      </c>
      <c r="I102" s="13">
        <f t="shared" si="15"/>
        <v>2014</v>
      </c>
      <c r="J102" s="90" t="str">
        <f t="shared" ca="1" si="16"/>
        <v/>
      </c>
      <c r="K102" s="90" t="str">
        <f t="shared" ca="1" si="17"/>
        <v/>
      </c>
      <c r="L102" s="90" t="str">
        <f t="shared" ca="1" si="18"/>
        <v/>
      </c>
      <c r="M102" s="90" t="str">
        <f t="shared" ca="1" si="19"/>
        <v/>
      </c>
    </row>
    <row r="103" spans="1:13" x14ac:dyDescent="0.2">
      <c r="A103" s="216">
        <v>104</v>
      </c>
      <c r="B103" s="217" t="s">
        <v>819</v>
      </c>
      <c r="C103" s="13">
        <f t="shared" si="10"/>
        <v>4</v>
      </c>
      <c r="D103" s="215" t="str">
        <f t="shared" si="11"/>
        <v>11029752</v>
      </c>
      <c r="E103" s="215" t="str">
        <f t="shared" si="12"/>
        <v>4402748120004</v>
      </c>
      <c r="F103" s="215" t="b">
        <f t="shared" si="13"/>
        <v>0</v>
      </c>
      <c r="G103" s="283">
        <f t="shared" si="14"/>
        <v>42004</v>
      </c>
      <c r="H103" s="13">
        <v>138</v>
      </c>
      <c r="I103" s="13">
        <f t="shared" si="15"/>
        <v>2014</v>
      </c>
      <c r="J103" s="90" t="str">
        <f t="shared" ca="1" si="16"/>
        <v/>
      </c>
      <c r="K103" s="90" t="str">
        <f t="shared" ca="1" si="17"/>
        <v/>
      </c>
      <c r="L103" s="90" t="str">
        <f t="shared" ca="1" si="18"/>
        <v/>
      </c>
      <c r="M103" s="90" t="str">
        <f t="shared" ca="1" si="19"/>
        <v/>
      </c>
    </row>
    <row r="104" spans="1:13" x14ac:dyDescent="0.2">
      <c r="A104" s="216">
        <v>105</v>
      </c>
      <c r="B104" s="217" t="s">
        <v>819</v>
      </c>
      <c r="C104" s="13">
        <f t="shared" si="10"/>
        <v>4</v>
      </c>
      <c r="D104" s="215" t="str">
        <f t="shared" si="11"/>
        <v>11029752</v>
      </c>
      <c r="E104" s="215" t="str">
        <f t="shared" si="12"/>
        <v>4402748120004</v>
      </c>
      <c r="F104" s="215" t="b">
        <f t="shared" si="13"/>
        <v>0</v>
      </c>
      <c r="G104" s="283">
        <f t="shared" si="14"/>
        <v>42004</v>
      </c>
      <c r="H104" s="13">
        <v>139</v>
      </c>
      <c r="I104" s="13">
        <f t="shared" si="15"/>
        <v>2014</v>
      </c>
      <c r="J104" s="90" t="str">
        <f t="shared" ca="1" si="16"/>
        <v/>
      </c>
      <c r="K104" s="90" t="str">
        <f t="shared" ca="1" si="17"/>
        <v/>
      </c>
      <c r="L104" s="90" t="str">
        <f t="shared" ca="1" si="18"/>
        <v/>
      </c>
      <c r="M104" s="90" t="str">
        <f t="shared" ca="1" si="19"/>
        <v/>
      </c>
    </row>
    <row r="105" spans="1:13" x14ac:dyDescent="0.2">
      <c r="A105" s="216">
        <v>106</v>
      </c>
      <c r="B105" s="217" t="s">
        <v>819</v>
      </c>
      <c r="C105" s="13">
        <f t="shared" si="10"/>
        <v>4</v>
      </c>
      <c r="D105" s="215" t="str">
        <f t="shared" si="11"/>
        <v>11029752</v>
      </c>
      <c r="E105" s="215" t="str">
        <f t="shared" si="12"/>
        <v>4402748120004</v>
      </c>
      <c r="F105" s="215" t="b">
        <f t="shared" si="13"/>
        <v>0</v>
      </c>
      <c r="G105" s="283">
        <f t="shared" si="14"/>
        <v>42004</v>
      </c>
      <c r="H105" s="13">
        <v>140</v>
      </c>
      <c r="I105" s="13">
        <f t="shared" si="15"/>
        <v>2014</v>
      </c>
      <c r="J105" s="90" t="str">
        <f t="shared" ca="1" si="16"/>
        <v/>
      </c>
      <c r="K105" s="90" t="str">
        <f t="shared" ca="1" si="17"/>
        <v/>
      </c>
      <c r="L105" s="90" t="str">
        <f t="shared" ca="1" si="18"/>
        <v/>
      </c>
      <c r="M105" s="90" t="str">
        <f t="shared" ca="1" si="19"/>
        <v/>
      </c>
    </row>
    <row r="106" spans="1:13" x14ac:dyDescent="0.2">
      <c r="A106" s="216">
        <v>107</v>
      </c>
      <c r="B106" s="217" t="s">
        <v>819</v>
      </c>
      <c r="C106" s="13">
        <f t="shared" si="10"/>
        <v>4</v>
      </c>
      <c r="D106" s="215" t="str">
        <f t="shared" si="11"/>
        <v>11029752</v>
      </c>
      <c r="E106" s="215" t="str">
        <f t="shared" si="12"/>
        <v>4402748120004</v>
      </c>
      <c r="F106" s="215" t="b">
        <f t="shared" si="13"/>
        <v>0</v>
      </c>
      <c r="G106" s="283">
        <f t="shared" si="14"/>
        <v>42004</v>
      </c>
      <c r="H106" s="13">
        <v>141</v>
      </c>
      <c r="I106" s="13">
        <f t="shared" si="15"/>
        <v>2014</v>
      </c>
      <c r="J106" s="90" t="str">
        <f t="shared" ca="1" si="16"/>
        <v/>
      </c>
      <c r="K106" s="90" t="str">
        <f t="shared" ca="1" si="17"/>
        <v/>
      </c>
      <c r="L106" s="90" t="str">
        <f t="shared" ca="1" si="18"/>
        <v/>
      </c>
      <c r="M106" s="90" t="str">
        <f t="shared" ca="1" si="19"/>
        <v/>
      </c>
    </row>
    <row r="107" spans="1:13" x14ac:dyDescent="0.2">
      <c r="A107" s="216">
        <v>108</v>
      </c>
      <c r="B107" s="217" t="s">
        <v>819</v>
      </c>
      <c r="C107" s="13">
        <f t="shared" si="10"/>
        <v>4</v>
      </c>
      <c r="D107" s="215" t="str">
        <f t="shared" si="11"/>
        <v>11029752</v>
      </c>
      <c r="E107" s="215" t="str">
        <f t="shared" si="12"/>
        <v>4402748120004</v>
      </c>
      <c r="F107" s="215" t="b">
        <f t="shared" si="13"/>
        <v>0</v>
      </c>
      <c r="G107" s="283">
        <f t="shared" si="14"/>
        <v>42004</v>
      </c>
      <c r="H107" s="13">
        <v>142</v>
      </c>
      <c r="I107" s="13">
        <f t="shared" si="15"/>
        <v>2014</v>
      </c>
      <c r="J107" s="90" t="str">
        <f t="shared" ca="1" si="16"/>
        <v/>
      </c>
      <c r="K107" s="90" t="str">
        <f t="shared" ca="1" si="17"/>
        <v/>
      </c>
      <c r="L107" s="90">
        <f t="shared" ca="1" si="18"/>
        <v>4209954</v>
      </c>
      <c r="M107" s="90">
        <f t="shared" ca="1" si="19"/>
        <v>3283364</v>
      </c>
    </row>
    <row r="108" spans="1:13" x14ac:dyDescent="0.2">
      <c r="A108" s="216">
        <v>109</v>
      </c>
      <c r="B108" s="217" t="s">
        <v>819</v>
      </c>
      <c r="C108" s="13">
        <f t="shared" si="10"/>
        <v>4</v>
      </c>
      <c r="D108" s="215" t="str">
        <f t="shared" si="11"/>
        <v>11029752</v>
      </c>
      <c r="E108" s="215" t="str">
        <f t="shared" si="12"/>
        <v>4402748120004</v>
      </c>
      <c r="F108" s="215" t="b">
        <f t="shared" si="13"/>
        <v>0</v>
      </c>
      <c r="G108" s="283">
        <f t="shared" si="14"/>
        <v>42004</v>
      </c>
      <c r="H108" s="13">
        <v>143</v>
      </c>
      <c r="I108" s="13">
        <f t="shared" si="15"/>
        <v>2014</v>
      </c>
      <c r="J108" s="90" t="str">
        <f t="shared" ca="1" si="16"/>
        <v/>
      </c>
      <c r="K108" s="90" t="str">
        <f t="shared" ca="1" si="17"/>
        <v/>
      </c>
      <c r="L108" s="90">
        <f t="shared" ca="1" si="18"/>
        <v>2050058</v>
      </c>
      <c r="M108" s="90">
        <f t="shared" ca="1" si="19"/>
        <v>2053445</v>
      </c>
    </row>
    <row r="109" spans="1:13" x14ac:dyDescent="0.2">
      <c r="A109" s="216">
        <v>110</v>
      </c>
      <c r="B109" s="217" t="s">
        <v>819</v>
      </c>
      <c r="C109" s="13">
        <f t="shared" si="10"/>
        <v>4</v>
      </c>
      <c r="D109" s="215" t="str">
        <f t="shared" si="11"/>
        <v>11029752</v>
      </c>
      <c r="E109" s="215" t="str">
        <f t="shared" si="12"/>
        <v>4402748120004</v>
      </c>
      <c r="F109" s="215" t="b">
        <f t="shared" si="13"/>
        <v>0</v>
      </c>
      <c r="G109" s="283">
        <f t="shared" si="14"/>
        <v>42004</v>
      </c>
      <c r="H109" s="13">
        <v>144</v>
      </c>
      <c r="I109" s="13">
        <f t="shared" si="15"/>
        <v>2014</v>
      </c>
      <c r="J109" s="90" t="str">
        <f t="shared" ca="1" si="16"/>
        <v/>
      </c>
      <c r="K109" s="90" t="str">
        <f t="shared" ca="1" si="17"/>
        <v/>
      </c>
      <c r="L109" s="90">
        <f t="shared" ca="1" si="18"/>
        <v>2050058</v>
      </c>
      <c r="M109" s="90">
        <f t="shared" ca="1" si="19"/>
        <v>2050058</v>
      </c>
    </row>
    <row r="110" spans="1:13" x14ac:dyDescent="0.2">
      <c r="A110" s="216">
        <v>111</v>
      </c>
      <c r="B110" s="217" t="s">
        <v>819</v>
      </c>
      <c r="C110" s="13">
        <f t="shared" si="10"/>
        <v>4</v>
      </c>
      <c r="D110" s="215" t="str">
        <f t="shared" si="11"/>
        <v>11029752</v>
      </c>
      <c r="E110" s="215" t="str">
        <f t="shared" si="12"/>
        <v>4402748120004</v>
      </c>
      <c r="F110" s="215" t="b">
        <f t="shared" si="13"/>
        <v>0</v>
      </c>
      <c r="G110" s="283">
        <f t="shared" si="14"/>
        <v>42004</v>
      </c>
      <c r="H110" s="13">
        <v>145</v>
      </c>
      <c r="I110" s="13">
        <f t="shared" si="15"/>
        <v>2014</v>
      </c>
      <c r="J110" s="90" t="str">
        <f t="shared" ca="1" si="16"/>
        <v/>
      </c>
      <c r="K110" s="90" t="str">
        <f t="shared" ca="1" si="17"/>
        <v/>
      </c>
      <c r="L110" s="90" t="str">
        <f t="shared" ca="1" si="18"/>
        <v/>
      </c>
      <c r="M110" s="90">
        <f t="shared" ca="1" si="19"/>
        <v>3387</v>
      </c>
    </row>
    <row r="111" spans="1:13" x14ac:dyDescent="0.2">
      <c r="A111" s="216">
        <v>112</v>
      </c>
      <c r="B111" s="217" t="s">
        <v>819</v>
      </c>
      <c r="C111" s="13">
        <f t="shared" si="10"/>
        <v>4</v>
      </c>
      <c r="D111" s="215" t="str">
        <f t="shared" si="11"/>
        <v>11029752</v>
      </c>
      <c r="E111" s="215" t="str">
        <f t="shared" si="12"/>
        <v>4402748120004</v>
      </c>
      <c r="F111" s="215" t="b">
        <f t="shared" si="13"/>
        <v>0</v>
      </c>
      <c r="G111" s="283">
        <f t="shared" si="14"/>
        <v>42004</v>
      </c>
      <c r="H111" s="13">
        <v>146</v>
      </c>
      <c r="I111" s="13">
        <f t="shared" si="15"/>
        <v>2014</v>
      </c>
      <c r="J111" s="90" t="str">
        <f t="shared" ca="1" si="16"/>
        <v/>
      </c>
      <c r="K111" s="90" t="str">
        <f t="shared" ca="1" si="17"/>
        <v/>
      </c>
      <c r="L111" s="90" t="str">
        <f t="shared" ca="1" si="18"/>
        <v/>
      </c>
      <c r="M111" s="90" t="str">
        <f t="shared" ca="1" si="19"/>
        <v/>
      </c>
    </row>
    <row r="112" spans="1:13" x14ac:dyDescent="0.2">
      <c r="A112" s="216">
        <v>113</v>
      </c>
      <c r="B112" s="217" t="s">
        <v>819</v>
      </c>
      <c r="C112" s="13">
        <f t="shared" si="10"/>
        <v>4</v>
      </c>
      <c r="D112" s="215" t="str">
        <f t="shared" si="11"/>
        <v>11029752</v>
      </c>
      <c r="E112" s="215" t="str">
        <f t="shared" si="12"/>
        <v>4402748120004</v>
      </c>
      <c r="F112" s="215" t="b">
        <f t="shared" si="13"/>
        <v>0</v>
      </c>
      <c r="G112" s="283">
        <f t="shared" si="14"/>
        <v>42004</v>
      </c>
      <c r="H112" s="13">
        <v>147</v>
      </c>
      <c r="I112" s="13">
        <f t="shared" si="15"/>
        <v>2014</v>
      </c>
      <c r="J112" s="90" t="str">
        <f t="shared" ca="1" si="16"/>
        <v/>
      </c>
      <c r="K112" s="90" t="str">
        <f t="shared" ca="1" si="17"/>
        <v/>
      </c>
      <c r="L112" s="90" t="str">
        <f t="shared" ca="1" si="18"/>
        <v/>
      </c>
      <c r="M112" s="90" t="str">
        <f t="shared" ca="1" si="19"/>
        <v/>
      </c>
    </row>
    <row r="113" spans="1:13" x14ac:dyDescent="0.2">
      <c r="A113" s="216">
        <v>114</v>
      </c>
      <c r="B113" s="217" t="s">
        <v>819</v>
      </c>
      <c r="C113" s="13">
        <f t="shared" si="10"/>
        <v>4</v>
      </c>
      <c r="D113" s="215" t="str">
        <f t="shared" si="11"/>
        <v>11029752</v>
      </c>
      <c r="E113" s="215" t="str">
        <f t="shared" si="12"/>
        <v>4402748120004</v>
      </c>
      <c r="F113" s="215" t="b">
        <f t="shared" si="13"/>
        <v>0</v>
      </c>
      <c r="G113" s="283">
        <f t="shared" si="14"/>
        <v>42004</v>
      </c>
      <c r="H113" s="13">
        <v>148</v>
      </c>
      <c r="I113" s="13">
        <f t="shared" si="15"/>
        <v>2014</v>
      </c>
      <c r="J113" s="90" t="str">
        <f t="shared" ca="1" si="16"/>
        <v/>
      </c>
      <c r="K113" s="90" t="str">
        <f t="shared" ca="1" si="17"/>
        <v/>
      </c>
      <c r="L113" s="90">
        <f t="shared" ca="1" si="18"/>
        <v>2060180</v>
      </c>
      <c r="M113" s="90">
        <f t="shared" ca="1" si="19"/>
        <v>1124031</v>
      </c>
    </row>
    <row r="114" spans="1:13" x14ac:dyDescent="0.2">
      <c r="A114" s="216">
        <v>115</v>
      </c>
      <c r="B114" s="217" t="s">
        <v>819</v>
      </c>
      <c r="C114" s="13">
        <f t="shared" si="10"/>
        <v>4</v>
      </c>
      <c r="D114" s="215" t="str">
        <f t="shared" si="11"/>
        <v>11029752</v>
      </c>
      <c r="E114" s="215" t="str">
        <f t="shared" si="12"/>
        <v>4402748120004</v>
      </c>
      <c r="F114" s="215" t="b">
        <f t="shared" si="13"/>
        <v>0</v>
      </c>
      <c r="G114" s="283">
        <f t="shared" si="14"/>
        <v>42004</v>
      </c>
      <c r="H114" s="13">
        <v>149</v>
      </c>
      <c r="I114" s="13">
        <f t="shared" si="15"/>
        <v>2014</v>
      </c>
      <c r="J114" s="90" t="str">
        <f t="shared" ca="1" si="16"/>
        <v/>
      </c>
      <c r="K114" s="90" t="str">
        <f t="shared" ca="1" si="17"/>
        <v/>
      </c>
      <c r="L114" s="90">
        <f t="shared" ca="1" si="18"/>
        <v>11034</v>
      </c>
      <c r="M114" s="90">
        <f t="shared" ca="1" si="19"/>
        <v>654</v>
      </c>
    </row>
    <row r="115" spans="1:13" x14ac:dyDescent="0.2">
      <c r="A115" s="216">
        <v>116</v>
      </c>
      <c r="B115" s="217" t="s">
        <v>819</v>
      </c>
      <c r="C115" s="13">
        <f t="shared" si="10"/>
        <v>4</v>
      </c>
      <c r="D115" s="215" t="str">
        <f t="shared" si="11"/>
        <v>11029752</v>
      </c>
      <c r="E115" s="215" t="str">
        <f t="shared" si="12"/>
        <v>4402748120004</v>
      </c>
      <c r="F115" s="215" t="b">
        <f t="shared" si="13"/>
        <v>0</v>
      </c>
      <c r="G115" s="283">
        <f t="shared" si="14"/>
        <v>42004</v>
      </c>
      <c r="H115" s="13">
        <v>150</v>
      </c>
      <c r="I115" s="13">
        <f t="shared" si="15"/>
        <v>2014</v>
      </c>
      <c r="J115" s="90" t="str">
        <f t="shared" ca="1" si="16"/>
        <v/>
      </c>
      <c r="K115" s="90" t="str">
        <f t="shared" ca="1" si="17"/>
        <v/>
      </c>
      <c r="L115" s="90">
        <f t="shared" ca="1" si="18"/>
        <v>228954</v>
      </c>
      <c r="M115" s="90">
        <f t="shared" ca="1" si="19"/>
        <v>128238</v>
      </c>
    </row>
    <row r="116" spans="1:13" x14ac:dyDescent="0.2">
      <c r="A116" s="216">
        <v>117</v>
      </c>
      <c r="B116" s="217" t="s">
        <v>819</v>
      </c>
      <c r="C116" s="13">
        <f t="shared" si="10"/>
        <v>4</v>
      </c>
      <c r="D116" s="215" t="str">
        <f t="shared" si="11"/>
        <v>11029752</v>
      </c>
      <c r="E116" s="215" t="str">
        <f t="shared" si="12"/>
        <v>4402748120004</v>
      </c>
      <c r="F116" s="215" t="b">
        <f t="shared" si="13"/>
        <v>0</v>
      </c>
      <c r="G116" s="283">
        <f t="shared" si="14"/>
        <v>42004</v>
      </c>
      <c r="H116" s="13">
        <v>151</v>
      </c>
      <c r="I116" s="13">
        <f t="shared" si="15"/>
        <v>2014</v>
      </c>
      <c r="J116" s="90" t="str">
        <f t="shared" ca="1" si="16"/>
        <v/>
      </c>
      <c r="K116" s="90" t="str">
        <f t="shared" ca="1" si="17"/>
        <v/>
      </c>
      <c r="L116" s="90">
        <f t="shared" ca="1" si="18"/>
        <v>1820192</v>
      </c>
      <c r="M116" s="90">
        <f t="shared" ca="1" si="19"/>
        <v>995139</v>
      </c>
    </row>
    <row r="117" spans="1:13" x14ac:dyDescent="0.2">
      <c r="A117" s="216">
        <v>118</v>
      </c>
      <c r="B117" s="217" t="s">
        <v>819</v>
      </c>
      <c r="C117" s="13">
        <f t="shared" si="10"/>
        <v>4</v>
      </c>
      <c r="D117" s="215" t="str">
        <f t="shared" si="11"/>
        <v>11029752</v>
      </c>
      <c r="E117" s="215" t="str">
        <f t="shared" si="12"/>
        <v>4402748120004</v>
      </c>
      <c r="F117" s="215" t="b">
        <f t="shared" si="13"/>
        <v>0</v>
      </c>
      <c r="G117" s="283">
        <f t="shared" si="14"/>
        <v>42004</v>
      </c>
      <c r="H117" s="13">
        <v>152</v>
      </c>
      <c r="I117" s="13">
        <f t="shared" si="15"/>
        <v>2014</v>
      </c>
      <c r="J117" s="90" t="str">
        <f t="shared" ca="1" si="16"/>
        <v/>
      </c>
      <c r="K117" s="90" t="str">
        <f t="shared" ca="1" si="17"/>
        <v/>
      </c>
      <c r="L117" s="90" t="str">
        <f t="shared" ca="1" si="18"/>
        <v/>
      </c>
      <c r="M117" s="90" t="str">
        <f t="shared" ca="1" si="19"/>
        <v/>
      </c>
    </row>
    <row r="118" spans="1:13" x14ac:dyDescent="0.2">
      <c r="A118" s="216">
        <v>119</v>
      </c>
      <c r="B118" s="217" t="s">
        <v>819</v>
      </c>
      <c r="C118" s="13">
        <f t="shared" si="10"/>
        <v>4</v>
      </c>
      <c r="D118" s="215" t="str">
        <f t="shared" si="11"/>
        <v>11029752</v>
      </c>
      <c r="E118" s="215" t="str">
        <f t="shared" si="12"/>
        <v>4402748120004</v>
      </c>
      <c r="F118" s="215" t="b">
        <f t="shared" si="13"/>
        <v>0</v>
      </c>
      <c r="G118" s="283">
        <f t="shared" si="14"/>
        <v>42004</v>
      </c>
      <c r="H118" s="13">
        <v>153</v>
      </c>
      <c r="I118" s="13">
        <f t="shared" si="15"/>
        <v>2014</v>
      </c>
      <c r="J118" s="90" t="str">
        <f t="shared" ca="1" si="16"/>
        <v/>
      </c>
      <c r="K118" s="90" t="str">
        <f t="shared" ca="1" si="17"/>
        <v/>
      </c>
      <c r="L118" s="90" t="str">
        <f t="shared" ca="1" si="18"/>
        <v/>
      </c>
      <c r="M118" s="90" t="str">
        <f t="shared" ca="1" si="19"/>
        <v/>
      </c>
    </row>
    <row r="119" spans="1:13" x14ac:dyDescent="0.2">
      <c r="A119" s="216">
        <v>120</v>
      </c>
      <c r="B119" s="217" t="s">
        <v>819</v>
      </c>
      <c r="C119" s="13">
        <f t="shared" si="10"/>
        <v>4</v>
      </c>
      <c r="D119" s="215" t="str">
        <f t="shared" si="11"/>
        <v>11029752</v>
      </c>
      <c r="E119" s="215" t="str">
        <f t="shared" si="12"/>
        <v>4402748120004</v>
      </c>
      <c r="F119" s="215" t="b">
        <f t="shared" si="13"/>
        <v>0</v>
      </c>
      <c r="G119" s="283">
        <f t="shared" si="14"/>
        <v>42004</v>
      </c>
      <c r="H119" s="13">
        <v>154</v>
      </c>
      <c r="I119" s="13">
        <f t="shared" si="15"/>
        <v>2014</v>
      </c>
      <c r="J119" s="90" t="str">
        <f t="shared" ca="1" si="16"/>
        <v/>
      </c>
      <c r="K119" s="90" t="str">
        <f t="shared" ca="1" si="17"/>
        <v/>
      </c>
      <c r="L119" s="90">
        <f t="shared" ca="1" si="18"/>
        <v>49688</v>
      </c>
      <c r="M119" s="90">
        <f t="shared" ca="1" si="19"/>
        <v>44167</v>
      </c>
    </row>
    <row r="120" spans="1:13" x14ac:dyDescent="0.2">
      <c r="A120" s="216">
        <v>121</v>
      </c>
      <c r="B120" s="217" t="s">
        <v>819</v>
      </c>
      <c r="C120" s="13">
        <f t="shared" si="10"/>
        <v>4</v>
      </c>
      <c r="D120" s="215" t="str">
        <f t="shared" si="11"/>
        <v>11029752</v>
      </c>
      <c r="E120" s="215" t="str">
        <f t="shared" si="12"/>
        <v>4402748120004</v>
      </c>
      <c r="F120" s="215" t="b">
        <f t="shared" si="13"/>
        <v>0</v>
      </c>
      <c r="G120" s="283">
        <f t="shared" si="14"/>
        <v>42004</v>
      </c>
      <c r="H120" s="13">
        <v>155</v>
      </c>
      <c r="I120" s="13">
        <f t="shared" si="15"/>
        <v>2014</v>
      </c>
      <c r="J120" s="90" t="str">
        <f t="shared" ca="1" si="16"/>
        <v/>
      </c>
      <c r="K120" s="90" t="str">
        <f t="shared" ca="1" si="17"/>
        <v/>
      </c>
      <c r="L120" s="90">
        <f t="shared" ca="1" si="18"/>
        <v>223</v>
      </c>
      <c r="M120" s="90">
        <f t="shared" ca="1" si="19"/>
        <v>3062</v>
      </c>
    </row>
    <row r="121" spans="1:13" x14ac:dyDescent="0.2">
      <c r="A121" s="216">
        <v>122</v>
      </c>
      <c r="B121" s="217" t="s">
        <v>819</v>
      </c>
      <c r="C121" s="13">
        <f t="shared" si="10"/>
        <v>4</v>
      </c>
      <c r="D121" s="215" t="str">
        <f t="shared" si="11"/>
        <v>11029752</v>
      </c>
      <c r="E121" s="215" t="str">
        <f t="shared" si="12"/>
        <v>4402748120004</v>
      </c>
      <c r="F121" s="215" t="b">
        <f t="shared" si="13"/>
        <v>0</v>
      </c>
      <c r="G121" s="283">
        <f t="shared" si="14"/>
        <v>42004</v>
      </c>
      <c r="H121" s="13">
        <v>156</v>
      </c>
      <c r="I121" s="13">
        <f t="shared" si="15"/>
        <v>2014</v>
      </c>
      <c r="J121" s="90" t="str">
        <f t="shared" ca="1" si="16"/>
        <v/>
      </c>
      <c r="K121" s="90" t="str">
        <f t="shared" ca="1" si="17"/>
        <v/>
      </c>
      <c r="L121" s="90">
        <f t="shared" ca="1" si="18"/>
        <v>1</v>
      </c>
      <c r="M121" s="90">
        <f t="shared" ca="1" si="19"/>
        <v>9601</v>
      </c>
    </row>
    <row r="122" spans="1:13" x14ac:dyDescent="0.2">
      <c r="A122" s="216">
        <v>123</v>
      </c>
      <c r="B122" s="217" t="s">
        <v>819</v>
      </c>
      <c r="C122" s="13">
        <f t="shared" si="10"/>
        <v>4</v>
      </c>
      <c r="D122" s="215" t="str">
        <f t="shared" si="11"/>
        <v>11029752</v>
      </c>
      <c r="E122" s="215" t="str">
        <f t="shared" si="12"/>
        <v>4402748120004</v>
      </c>
      <c r="F122" s="215" t="b">
        <f t="shared" si="13"/>
        <v>0</v>
      </c>
      <c r="G122" s="283">
        <f t="shared" si="14"/>
        <v>42004</v>
      </c>
      <c r="H122" s="13">
        <v>157</v>
      </c>
      <c r="I122" s="13">
        <f t="shared" si="15"/>
        <v>2014</v>
      </c>
      <c r="J122" s="90" t="str">
        <f t="shared" ca="1" si="16"/>
        <v/>
      </c>
      <c r="K122" s="90" t="str">
        <f t="shared" ca="1" si="17"/>
        <v/>
      </c>
      <c r="L122" s="90">
        <f t="shared" ca="1" si="18"/>
        <v>44165</v>
      </c>
      <c r="M122" s="90">
        <f t="shared" ca="1" si="19"/>
        <v>7951</v>
      </c>
    </row>
    <row r="123" spans="1:13" x14ac:dyDescent="0.2">
      <c r="A123" s="216">
        <v>124</v>
      </c>
      <c r="B123" s="217" t="s">
        <v>819</v>
      </c>
      <c r="C123" s="13">
        <f t="shared" si="10"/>
        <v>4</v>
      </c>
      <c r="D123" s="215" t="str">
        <f t="shared" si="11"/>
        <v>11029752</v>
      </c>
      <c r="E123" s="215" t="str">
        <f t="shared" si="12"/>
        <v>4402748120004</v>
      </c>
      <c r="F123" s="215" t="b">
        <f t="shared" si="13"/>
        <v>0</v>
      </c>
      <c r="G123" s="283">
        <f t="shared" si="14"/>
        <v>42004</v>
      </c>
      <c r="H123" s="13">
        <v>158</v>
      </c>
      <c r="I123" s="13">
        <f t="shared" si="15"/>
        <v>2014</v>
      </c>
      <c r="J123" s="90" t="str">
        <f t="shared" ca="1" si="16"/>
        <v/>
      </c>
      <c r="K123" s="90" t="str">
        <f t="shared" ca="1" si="17"/>
        <v/>
      </c>
      <c r="L123" s="90" t="str">
        <f t="shared" ca="1" si="18"/>
        <v/>
      </c>
      <c r="M123" s="90" t="str">
        <f t="shared" ca="1" si="19"/>
        <v/>
      </c>
    </row>
    <row r="124" spans="1:13" x14ac:dyDescent="0.2">
      <c r="A124" s="216">
        <v>125</v>
      </c>
      <c r="B124" s="217" t="s">
        <v>819</v>
      </c>
      <c r="C124" s="13">
        <f t="shared" si="10"/>
        <v>4</v>
      </c>
      <c r="D124" s="215" t="str">
        <f t="shared" si="11"/>
        <v>11029752</v>
      </c>
      <c r="E124" s="215" t="str">
        <f t="shared" si="12"/>
        <v>4402748120004</v>
      </c>
      <c r="F124" s="215" t="b">
        <f t="shared" si="13"/>
        <v>0</v>
      </c>
      <c r="G124" s="283">
        <f t="shared" si="14"/>
        <v>42004</v>
      </c>
      <c r="H124" s="13">
        <v>159</v>
      </c>
      <c r="I124" s="13">
        <f t="shared" si="15"/>
        <v>2014</v>
      </c>
      <c r="J124" s="90" t="str">
        <f t="shared" ca="1" si="16"/>
        <v/>
      </c>
      <c r="K124" s="90" t="str">
        <f t="shared" ca="1" si="17"/>
        <v/>
      </c>
      <c r="L124" s="90">
        <f t="shared" ca="1" si="18"/>
        <v>5639</v>
      </c>
      <c r="M124" s="90">
        <f t="shared" ca="1" si="19"/>
        <v>41107</v>
      </c>
    </row>
    <row r="125" spans="1:13" x14ac:dyDescent="0.2">
      <c r="A125" s="216">
        <v>126</v>
      </c>
      <c r="B125" s="217" t="s">
        <v>819</v>
      </c>
      <c r="C125" s="13">
        <f t="shared" si="10"/>
        <v>4</v>
      </c>
      <c r="D125" s="215" t="str">
        <f t="shared" si="11"/>
        <v>11029752</v>
      </c>
      <c r="E125" s="215" t="str">
        <f t="shared" si="12"/>
        <v>4402748120004</v>
      </c>
      <c r="F125" s="215" t="b">
        <f t="shared" si="13"/>
        <v>0</v>
      </c>
      <c r="G125" s="283">
        <f t="shared" si="14"/>
        <v>42004</v>
      </c>
      <c r="H125" s="13">
        <v>160</v>
      </c>
      <c r="I125" s="13">
        <f t="shared" si="15"/>
        <v>2014</v>
      </c>
      <c r="J125" s="90" t="str">
        <f t="shared" ca="1" si="16"/>
        <v/>
      </c>
      <c r="K125" s="90" t="str">
        <f t="shared" ca="1" si="17"/>
        <v/>
      </c>
      <c r="L125" s="90" t="str">
        <f t="shared" ca="1" si="18"/>
        <v/>
      </c>
      <c r="M125" s="90" t="str">
        <f t="shared" ca="1" si="19"/>
        <v/>
      </c>
    </row>
    <row r="126" spans="1:13" x14ac:dyDescent="0.2">
      <c r="A126" s="216">
        <v>127</v>
      </c>
      <c r="B126" s="217" t="s">
        <v>819</v>
      </c>
      <c r="C126" s="13">
        <f t="shared" si="10"/>
        <v>4</v>
      </c>
      <c r="D126" s="215" t="str">
        <f t="shared" si="11"/>
        <v>11029752</v>
      </c>
      <c r="E126" s="215" t="str">
        <f t="shared" si="12"/>
        <v>4402748120004</v>
      </c>
      <c r="F126" s="215" t="b">
        <f t="shared" si="13"/>
        <v>0</v>
      </c>
      <c r="G126" s="283">
        <f t="shared" si="14"/>
        <v>42004</v>
      </c>
      <c r="H126" s="13">
        <v>161</v>
      </c>
      <c r="I126" s="13">
        <f t="shared" si="15"/>
        <v>2014</v>
      </c>
      <c r="J126" s="90" t="str">
        <f t="shared" ca="1" si="16"/>
        <v/>
      </c>
      <c r="K126" s="90" t="str">
        <f t="shared" ca="1" si="17"/>
        <v/>
      </c>
      <c r="L126" s="90">
        <f t="shared" ca="1" si="18"/>
        <v>7434309</v>
      </c>
      <c r="M126" s="90">
        <f t="shared" ca="1" si="19"/>
        <v>6499580</v>
      </c>
    </row>
    <row r="127" spans="1:13" x14ac:dyDescent="0.2">
      <c r="A127" s="216">
        <v>128</v>
      </c>
      <c r="B127" s="217" t="s">
        <v>819</v>
      </c>
      <c r="C127" s="13">
        <f t="shared" si="10"/>
        <v>4</v>
      </c>
      <c r="D127" s="215" t="str">
        <f t="shared" si="11"/>
        <v>11029752</v>
      </c>
      <c r="E127" s="215" t="str">
        <f t="shared" si="12"/>
        <v>4402748120004</v>
      </c>
      <c r="F127" s="215" t="b">
        <f t="shared" si="13"/>
        <v>0</v>
      </c>
      <c r="G127" s="283">
        <f t="shared" si="14"/>
        <v>42004</v>
      </c>
      <c r="H127" s="13">
        <v>162</v>
      </c>
      <c r="I127" s="13">
        <f t="shared" si="15"/>
        <v>2014</v>
      </c>
      <c r="J127" s="90" t="str">
        <f t="shared" ca="1" si="16"/>
        <v/>
      </c>
      <c r="K127" s="90" t="str">
        <f t="shared" ca="1" si="17"/>
        <v/>
      </c>
      <c r="L127" s="90" t="str">
        <f t="shared" ca="1" si="18"/>
        <v/>
      </c>
      <c r="M127" s="90" t="str">
        <f t="shared" ca="1" si="19"/>
        <v/>
      </c>
    </row>
    <row r="128" spans="1:13" x14ac:dyDescent="0.2">
      <c r="A128" s="218">
        <v>129</v>
      </c>
      <c r="B128" s="219" t="s">
        <v>819</v>
      </c>
      <c r="C128" s="98">
        <f t="shared" si="10"/>
        <v>4</v>
      </c>
      <c r="D128" s="98" t="str">
        <f t="shared" si="11"/>
        <v>11029752</v>
      </c>
      <c r="E128" s="98" t="str">
        <f t="shared" si="12"/>
        <v>4402748120004</v>
      </c>
      <c r="F128" s="98" t="b">
        <f t="shared" si="13"/>
        <v>0</v>
      </c>
      <c r="G128" s="284">
        <f t="shared" si="14"/>
        <v>42004</v>
      </c>
      <c r="H128" s="98">
        <v>163</v>
      </c>
      <c r="I128" s="98">
        <f t="shared" si="15"/>
        <v>2014</v>
      </c>
      <c r="J128" s="99" t="str">
        <f t="shared" ca="1" si="16"/>
        <v/>
      </c>
      <c r="K128" s="99" t="str">
        <f ca="1">IF(VLOOKUP($H128,INDIRECT("Lookup_"&amp;$B128),IF($B128="BS",Q$2,Q$1),0)="","",VLOOKUP($H128,INDIRECT("Lookup_"&amp;$B128),IF($B128="BS",Q$2,Q$1),0))</f>
        <v/>
      </c>
      <c r="L128" s="99">
        <f t="shared" ca="1" si="18"/>
        <v>7434309</v>
      </c>
      <c r="M128" s="99">
        <f t="shared" ca="1" si="19"/>
        <v>6499580</v>
      </c>
    </row>
    <row r="129" spans="1:13" x14ac:dyDescent="0.2">
      <c r="A129" s="220">
        <v>131</v>
      </c>
      <c r="B129" s="221" t="s">
        <v>966</v>
      </c>
      <c r="C129" s="97">
        <f t="shared" si="10"/>
        <v>4</v>
      </c>
      <c r="D129" s="97" t="str">
        <f t="shared" ref="D129:D192" si="20">Podatak_MB</f>
        <v>11029752</v>
      </c>
      <c r="E129" s="97" t="str">
        <f t="shared" ref="E129:E192" si="21">Podatak_JIB</f>
        <v>4402748120004</v>
      </c>
      <c r="F129" s="97" t="b">
        <f t="shared" si="13"/>
        <v>0</v>
      </c>
      <c r="G129" s="285">
        <f t="shared" si="14"/>
        <v>42004</v>
      </c>
      <c r="H129" s="13">
        <v>201</v>
      </c>
      <c r="I129" s="97">
        <f t="shared" ref="I129:I192" si="22">Godina</f>
        <v>2014</v>
      </c>
      <c r="J129" s="90"/>
      <c r="K129" s="90"/>
      <c r="L129" s="90">
        <f t="shared" ca="1" si="18"/>
        <v>4298320</v>
      </c>
      <c r="M129" s="90">
        <f t="shared" ca="1" si="19"/>
        <v>2850868</v>
      </c>
    </row>
    <row r="130" spans="1:13" x14ac:dyDescent="0.2">
      <c r="A130" s="216">
        <v>132</v>
      </c>
      <c r="B130" s="217" t="s">
        <v>966</v>
      </c>
      <c r="C130" s="97">
        <f t="shared" ref="C130:C193" si="23">ID_Izvjestaj</f>
        <v>4</v>
      </c>
      <c r="D130" s="97" t="str">
        <f t="shared" si="20"/>
        <v>11029752</v>
      </c>
      <c r="E130" s="97" t="str">
        <f t="shared" si="21"/>
        <v>4402748120004</v>
      </c>
      <c r="F130" s="97" t="b">
        <f t="shared" ref="F130:F193" si="24">Konsolidovan_izvjestaj</f>
        <v>0</v>
      </c>
      <c r="G130" s="285">
        <f t="shared" ref="G130:G193" si="25">Datum_Broj</f>
        <v>42004</v>
      </c>
      <c r="H130" s="13">
        <v>202</v>
      </c>
      <c r="I130" s="97">
        <f t="shared" si="22"/>
        <v>2014</v>
      </c>
      <c r="J130" s="90"/>
      <c r="K130" s="90"/>
      <c r="L130" s="90">
        <f t="shared" ref="L130:L193" ca="1" si="26">IF(VLOOKUP($H130,INDIRECT("Lookup_"&amp;$B130),IF($B130="BS",R$2,R$1),0)="","",VLOOKUP($H130,INDIRECT("Lookup_"&amp;$B130),IF($B130="BS",R$2,R$1),0))</f>
        <v>0</v>
      </c>
      <c r="M130" s="90">
        <f t="shared" ref="M130:M193" ca="1" si="27">IF(VLOOKUP($H130,INDIRECT("Lookup_"&amp;$B130),IF($B130="BS",S$2,S$1),0)="","",VLOOKUP($H130,INDIRECT("Lookup_"&amp;$B130),IF($B130="BS",S$2,S$1),0))</f>
        <v>0</v>
      </c>
    </row>
    <row r="131" spans="1:13" x14ac:dyDescent="0.2">
      <c r="A131" s="216">
        <v>133</v>
      </c>
      <c r="B131" s="217" t="s">
        <v>966</v>
      </c>
      <c r="C131" s="97">
        <f t="shared" si="23"/>
        <v>4</v>
      </c>
      <c r="D131" s="97" t="str">
        <f t="shared" si="20"/>
        <v>11029752</v>
      </c>
      <c r="E131" s="97" t="str">
        <f t="shared" si="21"/>
        <v>4402748120004</v>
      </c>
      <c r="F131" s="97" t="b">
        <f t="shared" si="24"/>
        <v>0</v>
      </c>
      <c r="G131" s="285">
        <f t="shared" si="25"/>
        <v>42004</v>
      </c>
      <c r="H131" s="13">
        <v>203</v>
      </c>
      <c r="I131" s="97">
        <f t="shared" si="22"/>
        <v>2014</v>
      </c>
      <c r="J131" s="90"/>
      <c r="K131" s="90"/>
      <c r="L131" s="90" t="str">
        <f t="shared" ca="1" si="26"/>
        <v/>
      </c>
      <c r="M131" s="90" t="str">
        <f t="shared" ca="1" si="27"/>
        <v/>
      </c>
    </row>
    <row r="132" spans="1:13" x14ac:dyDescent="0.2">
      <c r="A132" s="216">
        <v>134</v>
      </c>
      <c r="B132" s="217" t="s">
        <v>966</v>
      </c>
      <c r="C132" s="97">
        <f t="shared" si="23"/>
        <v>4</v>
      </c>
      <c r="D132" s="97" t="str">
        <f t="shared" si="20"/>
        <v>11029752</v>
      </c>
      <c r="E132" s="97" t="str">
        <f t="shared" si="21"/>
        <v>4402748120004</v>
      </c>
      <c r="F132" s="97" t="b">
        <f t="shared" si="24"/>
        <v>0</v>
      </c>
      <c r="G132" s="285">
        <f t="shared" si="25"/>
        <v>42004</v>
      </c>
      <c r="H132" s="13">
        <v>204</v>
      </c>
      <c r="I132" s="97">
        <f t="shared" si="22"/>
        <v>2014</v>
      </c>
      <c r="J132" s="90"/>
      <c r="K132" s="90"/>
      <c r="L132" s="90" t="str">
        <f t="shared" ca="1" si="26"/>
        <v/>
      </c>
      <c r="M132" s="90" t="str">
        <f t="shared" ca="1" si="27"/>
        <v/>
      </c>
    </row>
    <row r="133" spans="1:13" x14ac:dyDescent="0.2">
      <c r="A133" s="216">
        <v>135</v>
      </c>
      <c r="B133" s="217" t="s">
        <v>966</v>
      </c>
      <c r="C133" s="97">
        <f t="shared" si="23"/>
        <v>4</v>
      </c>
      <c r="D133" s="97" t="str">
        <f t="shared" si="20"/>
        <v>11029752</v>
      </c>
      <c r="E133" s="97" t="str">
        <f t="shared" si="21"/>
        <v>4402748120004</v>
      </c>
      <c r="F133" s="97" t="b">
        <f t="shared" si="24"/>
        <v>0</v>
      </c>
      <c r="G133" s="285">
        <f t="shared" si="25"/>
        <v>42004</v>
      </c>
      <c r="H133" s="13">
        <v>205</v>
      </c>
      <c r="I133" s="97">
        <f t="shared" si="22"/>
        <v>2014</v>
      </c>
      <c r="J133" s="90"/>
      <c r="K133" s="90"/>
      <c r="L133" s="90" t="str">
        <f t="shared" ca="1" si="26"/>
        <v/>
      </c>
      <c r="M133" s="90" t="str">
        <f t="shared" ca="1" si="27"/>
        <v/>
      </c>
    </row>
    <row r="134" spans="1:13" x14ac:dyDescent="0.2">
      <c r="A134" s="216">
        <v>136</v>
      </c>
      <c r="B134" s="217" t="s">
        <v>966</v>
      </c>
      <c r="C134" s="97">
        <f t="shared" si="23"/>
        <v>4</v>
      </c>
      <c r="D134" s="97" t="str">
        <f t="shared" si="20"/>
        <v>11029752</v>
      </c>
      <c r="E134" s="97" t="str">
        <f t="shared" si="21"/>
        <v>4402748120004</v>
      </c>
      <c r="F134" s="97" t="b">
        <f t="shared" si="24"/>
        <v>0</v>
      </c>
      <c r="G134" s="285">
        <f t="shared" si="25"/>
        <v>42004</v>
      </c>
      <c r="H134" s="13">
        <v>206</v>
      </c>
      <c r="I134" s="97">
        <f t="shared" si="22"/>
        <v>2014</v>
      </c>
      <c r="J134" s="90"/>
      <c r="K134" s="90"/>
      <c r="L134" s="90">
        <f t="shared" ca="1" si="26"/>
        <v>4868700</v>
      </c>
      <c r="M134" s="90">
        <f t="shared" ca="1" si="27"/>
        <v>2334546</v>
      </c>
    </row>
    <row r="135" spans="1:13" x14ac:dyDescent="0.2">
      <c r="A135" s="216">
        <v>137</v>
      </c>
      <c r="B135" s="217" t="s">
        <v>966</v>
      </c>
      <c r="C135" s="97">
        <f t="shared" si="23"/>
        <v>4</v>
      </c>
      <c r="D135" s="97" t="str">
        <f t="shared" si="20"/>
        <v>11029752</v>
      </c>
      <c r="E135" s="97" t="str">
        <f t="shared" si="21"/>
        <v>4402748120004</v>
      </c>
      <c r="F135" s="97" t="b">
        <f t="shared" si="24"/>
        <v>0</v>
      </c>
      <c r="G135" s="285">
        <f t="shared" si="25"/>
        <v>42004</v>
      </c>
      <c r="H135" s="13">
        <v>207</v>
      </c>
      <c r="I135" s="97">
        <f t="shared" si="22"/>
        <v>2014</v>
      </c>
      <c r="J135" s="90"/>
      <c r="K135" s="90"/>
      <c r="L135" s="90">
        <f t="shared" ca="1" si="26"/>
        <v>1661278</v>
      </c>
      <c r="M135" s="90">
        <f t="shared" ca="1" si="27"/>
        <v>1455025</v>
      </c>
    </row>
    <row r="136" spans="1:13" x14ac:dyDescent="0.2">
      <c r="A136" s="216">
        <v>138</v>
      </c>
      <c r="B136" s="217" t="s">
        <v>966</v>
      </c>
      <c r="C136" s="97">
        <f t="shared" si="23"/>
        <v>4</v>
      </c>
      <c r="D136" s="97" t="str">
        <f t="shared" si="20"/>
        <v>11029752</v>
      </c>
      <c r="E136" s="97" t="str">
        <f t="shared" si="21"/>
        <v>4402748120004</v>
      </c>
      <c r="F136" s="97" t="b">
        <f t="shared" si="24"/>
        <v>0</v>
      </c>
      <c r="G136" s="285">
        <f t="shared" si="25"/>
        <v>42004</v>
      </c>
      <c r="H136" s="13">
        <v>208</v>
      </c>
      <c r="I136" s="97">
        <f t="shared" si="22"/>
        <v>2014</v>
      </c>
      <c r="J136" s="90"/>
      <c r="K136" s="90"/>
      <c r="L136" s="90">
        <f t="shared" ca="1" si="26"/>
        <v>3201119</v>
      </c>
      <c r="M136" s="90">
        <f t="shared" ca="1" si="27"/>
        <v>879052</v>
      </c>
    </row>
    <row r="137" spans="1:13" x14ac:dyDescent="0.2">
      <c r="A137" s="216">
        <v>139</v>
      </c>
      <c r="B137" s="217" t="s">
        <v>966</v>
      </c>
      <c r="C137" s="97">
        <f t="shared" si="23"/>
        <v>4</v>
      </c>
      <c r="D137" s="97" t="str">
        <f t="shared" si="20"/>
        <v>11029752</v>
      </c>
      <c r="E137" s="97" t="str">
        <f t="shared" si="21"/>
        <v>4402748120004</v>
      </c>
      <c r="F137" s="97" t="b">
        <f t="shared" si="24"/>
        <v>0</v>
      </c>
      <c r="G137" s="285">
        <f t="shared" si="25"/>
        <v>42004</v>
      </c>
      <c r="H137" s="13">
        <v>209</v>
      </c>
      <c r="I137" s="97">
        <f t="shared" si="22"/>
        <v>2014</v>
      </c>
      <c r="J137" s="90"/>
      <c r="K137" s="90"/>
      <c r="L137" s="90">
        <f t="shared" ca="1" si="26"/>
        <v>6303</v>
      </c>
      <c r="M137" s="90">
        <f t="shared" ca="1" si="27"/>
        <v>469</v>
      </c>
    </row>
    <row r="138" spans="1:13" x14ac:dyDescent="0.2">
      <c r="A138" s="216">
        <v>140</v>
      </c>
      <c r="B138" s="217" t="s">
        <v>966</v>
      </c>
      <c r="C138" s="97">
        <f t="shared" si="23"/>
        <v>4</v>
      </c>
      <c r="D138" s="97" t="str">
        <f t="shared" si="20"/>
        <v>11029752</v>
      </c>
      <c r="E138" s="97" t="str">
        <f t="shared" si="21"/>
        <v>4402748120004</v>
      </c>
      <c r="F138" s="97" t="b">
        <f t="shared" si="24"/>
        <v>0</v>
      </c>
      <c r="G138" s="285">
        <f t="shared" si="25"/>
        <v>42004</v>
      </c>
      <c r="H138" s="13">
        <v>210</v>
      </c>
      <c r="I138" s="97">
        <f t="shared" si="22"/>
        <v>2014</v>
      </c>
      <c r="J138" s="90"/>
      <c r="K138" s="90"/>
      <c r="L138" s="90" t="str">
        <f t="shared" ca="1" si="26"/>
        <v/>
      </c>
      <c r="M138" s="90" t="str">
        <f t="shared" ca="1" si="27"/>
        <v/>
      </c>
    </row>
    <row r="139" spans="1:13" x14ac:dyDescent="0.2">
      <c r="A139" s="216">
        <v>141</v>
      </c>
      <c r="B139" s="217" t="s">
        <v>966</v>
      </c>
      <c r="C139" s="97">
        <f t="shared" si="23"/>
        <v>4</v>
      </c>
      <c r="D139" s="97" t="str">
        <f t="shared" si="20"/>
        <v>11029752</v>
      </c>
      <c r="E139" s="97" t="str">
        <f t="shared" si="21"/>
        <v>4402748120004</v>
      </c>
      <c r="F139" s="97" t="b">
        <f t="shared" si="24"/>
        <v>0</v>
      </c>
      <c r="G139" s="285">
        <f t="shared" si="25"/>
        <v>42004</v>
      </c>
      <c r="H139" s="13">
        <v>211</v>
      </c>
      <c r="I139" s="97">
        <f t="shared" si="22"/>
        <v>2014</v>
      </c>
      <c r="J139" s="90"/>
      <c r="K139" s="90"/>
      <c r="L139" s="90">
        <f t="shared" ca="1" si="26"/>
        <v>3728945</v>
      </c>
      <c r="M139" s="90">
        <f t="shared" ca="1" si="27"/>
        <v>2677410</v>
      </c>
    </row>
    <row r="140" spans="1:13" x14ac:dyDescent="0.2">
      <c r="A140" s="216">
        <v>142</v>
      </c>
      <c r="B140" s="217" t="s">
        <v>966</v>
      </c>
      <c r="C140" s="97">
        <f t="shared" si="23"/>
        <v>4</v>
      </c>
      <c r="D140" s="97" t="str">
        <f t="shared" si="20"/>
        <v>11029752</v>
      </c>
      <c r="E140" s="97" t="str">
        <f t="shared" si="21"/>
        <v>4402748120004</v>
      </c>
      <c r="F140" s="97" t="b">
        <f t="shared" si="24"/>
        <v>0</v>
      </c>
      <c r="G140" s="285">
        <f t="shared" si="25"/>
        <v>42004</v>
      </c>
      <c r="H140" s="13">
        <v>212</v>
      </c>
      <c r="I140" s="97">
        <f t="shared" si="22"/>
        <v>2014</v>
      </c>
      <c r="J140" s="90"/>
      <c r="K140" s="90"/>
      <c r="L140" s="90">
        <f t="shared" ca="1" si="26"/>
        <v>4340327</v>
      </c>
      <c r="M140" s="90">
        <f t="shared" ca="1" si="27"/>
        <v>2165527</v>
      </c>
    </row>
    <row r="141" spans="1:13" x14ac:dyDescent="0.2">
      <c r="A141" s="216">
        <v>143</v>
      </c>
      <c r="B141" s="217" t="s">
        <v>966</v>
      </c>
      <c r="C141" s="97">
        <f t="shared" si="23"/>
        <v>4</v>
      </c>
      <c r="D141" s="97" t="str">
        <f t="shared" si="20"/>
        <v>11029752</v>
      </c>
      <c r="E141" s="97" t="str">
        <f t="shared" si="21"/>
        <v>4402748120004</v>
      </c>
      <c r="F141" s="97" t="b">
        <f t="shared" si="24"/>
        <v>0</v>
      </c>
      <c r="G141" s="285">
        <f t="shared" si="25"/>
        <v>42004</v>
      </c>
      <c r="H141" s="13">
        <v>213</v>
      </c>
      <c r="I141" s="97">
        <f t="shared" si="22"/>
        <v>2014</v>
      </c>
      <c r="J141" s="90"/>
      <c r="K141" s="90"/>
      <c r="L141" s="90" t="str">
        <f t="shared" ca="1" si="26"/>
        <v/>
      </c>
      <c r="M141" s="90" t="str">
        <f t="shared" ca="1" si="27"/>
        <v/>
      </c>
    </row>
    <row r="142" spans="1:13" x14ac:dyDescent="0.2">
      <c r="A142" s="216">
        <v>144</v>
      </c>
      <c r="B142" s="217" t="s">
        <v>966</v>
      </c>
      <c r="C142" s="97">
        <f t="shared" si="23"/>
        <v>4</v>
      </c>
      <c r="D142" s="97" t="str">
        <f t="shared" si="20"/>
        <v>11029752</v>
      </c>
      <c r="E142" s="97" t="str">
        <f t="shared" si="21"/>
        <v>4402748120004</v>
      </c>
      <c r="F142" s="97" t="b">
        <f t="shared" si="24"/>
        <v>0</v>
      </c>
      <c r="G142" s="285">
        <f t="shared" si="25"/>
        <v>42004</v>
      </c>
      <c r="H142" s="13">
        <v>214</v>
      </c>
      <c r="I142" s="97">
        <f t="shared" si="22"/>
        <v>2014</v>
      </c>
      <c r="J142" s="90"/>
      <c r="K142" s="90"/>
      <c r="L142" s="90" t="str">
        <f t="shared" ca="1" si="26"/>
        <v/>
      </c>
      <c r="M142" s="90" t="str">
        <f t="shared" ca="1" si="27"/>
        <v/>
      </c>
    </row>
    <row r="143" spans="1:13" x14ac:dyDescent="0.2">
      <c r="A143" s="216">
        <v>145</v>
      </c>
      <c r="B143" s="217" t="s">
        <v>966</v>
      </c>
      <c r="C143" s="97">
        <f t="shared" si="23"/>
        <v>4</v>
      </c>
      <c r="D143" s="97" t="str">
        <f t="shared" si="20"/>
        <v>11029752</v>
      </c>
      <c r="E143" s="97" t="str">
        <f t="shared" si="21"/>
        <v>4402748120004</v>
      </c>
      <c r="F143" s="97" t="b">
        <f t="shared" si="24"/>
        <v>0</v>
      </c>
      <c r="G143" s="285">
        <f t="shared" si="25"/>
        <v>42004</v>
      </c>
      <c r="H143" s="13">
        <v>215</v>
      </c>
      <c r="I143" s="97">
        <f t="shared" si="22"/>
        <v>2014</v>
      </c>
      <c r="J143" s="90"/>
      <c r="K143" s="90"/>
      <c r="L143" s="90">
        <f t="shared" ca="1" si="26"/>
        <v>41002</v>
      </c>
      <c r="M143" s="90">
        <f t="shared" ca="1" si="27"/>
        <v>4439</v>
      </c>
    </row>
    <row r="144" spans="1:13" x14ac:dyDescent="0.2">
      <c r="A144" s="216">
        <v>146</v>
      </c>
      <c r="B144" s="217" t="s">
        <v>966</v>
      </c>
      <c r="C144" s="97">
        <f t="shared" si="23"/>
        <v>4</v>
      </c>
      <c r="D144" s="97" t="str">
        <f t="shared" si="20"/>
        <v>11029752</v>
      </c>
      <c r="E144" s="97" t="str">
        <f t="shared" si="21"/>
        <v>4402748120004</v>
      </c>
      <c r="F144" s="97" t="b">
        <f t="shared" si="24"/>
        <v>0</v>
      </c>
      <c r="G144" s="285">
        <f t="shared" si="25"/>
        <v>42004</v>
      </c>
      <c r="H144" s="13">
        <v>216</v>
      </c>
      <c r="I144" s="97">
        <f t="shared" si="22"/>
        <v>2014</v>
      </c>
      <c r="J144" s="90"/>
      <c r="K144" s="90"/>
      <c r="L144" s="90">
        <f t="shared" ca="1" si="26"/>
        <v>4319899</v>
      </c>
      <c r="M144" s="90">
        <f t="shared" ca="1" si="27"/>
        <v>3294033</v>
      </c>
    </row>
    <row r="145" spans="1:13" x14ac:dyDescent="0.2">
      <c r="A145" s="216">
        <v>147</v>
      </c>
      <c r="B145" s="217" t="s">
        <v>966</v>
      </c>
      <c r="C145" s="97">
        <f t="shared" si="23"/>
        <v>4</v>
      </c>
      <c r="D145" s="97" t="str">
        <f t="shared" si="20"/>
        <v>11029752</v>
      </c>
      <c r="E145" s="97" t="str">
        <f t="shared" si="21"/>
        <v>4402748120004</v>
      </c>
      <c r="F145" s="97" t="b">
        <f t="shared" si="24"/>
        <v>0</v>
      </c>
      <c r="G145" s="285">
        <f t="shared" si="25"/>
        <v>42004</v>
      </c>
      <c r="H145" s="13">
        <v>217</v>
      </c>
      <c r="I145" s="97">
        <f t="shared" si="22"/>
        <v>2014</v>
      </c>
      <c r="J145" s="90"/>
      <c r="K145" s="90"/>
      <c r="L145" s="90">
        <f t="shared" ca="1" si="26"/>
        <v>113</v>
      </c>
      <c r="M145" s="90">
        <f t="shared" ca="1" si="27"/>
        <v>3650</v>
      </c>
    </row>
    <row r="146" spans="1:13" x14ac:dyDescent="0.2">
      <c r="A146" s="216">
        <v>148</v>
      </c>
      <c r="B146" s="217" t="s">
        <v>966</v>
      </c>
      <c r="C146" s="97">
        <f t="shared" si="23"/>
        <v>4</v>
      </c>
      <c r="D146" s="97" t="str">
        <f t="shared" si="20"/>
        <v>11029752</v>
      </c>
      <c r="E146" s="97" t="str">
        <f t="shared" si="21"/>
        <v>4402748120004</v>
      </c>
      <c r="F146" s="97" t="b">
        <f t="shared" si="24"/>
        <v>0</v>
      </c>
      <c r="G146" s="285">
        <f t="shared" si="25"/>
        <v>42004</v>
      </c>
      <c r="H146" s="13">
        <v>218</v>
      </c>
      <c r="I146" s="97">
        <f t="shared" si="22"/>
        <v>2014</v>
      </c>
      <c r="J146" s="90"/>
      <c r="K146" s="90"/>
      <c r="L146" s="90">
        <f t="shared" ca="1" si="26"/>
        <v>450928</v>
      </c>
      <c r="M146" s="90">
        <f t="shared" ca="1" si="27"/>
        <v>364608</v>
      </c>
    </row>
    <row r="147" spans="1:13" x14ac:dyDescent="0.2">
      <c r="A147" s="216">
        <v>149</v>
      </c>
      <c r="B147" s="217" t="s">
        <v>966</v>
      </c>
      <c r="C147" s="97">
        <f t="shared" si="23"/>
        <v>4</v>
      </c>
      <c r="D147" s="97" t="str">
        <f t="shared" si="20"/>
        <v>11029752</v>
      </c>
      <c r="E147" s="97" t="str">
        <f t="shared" si="21"/>
        <v>4402748120004</v>
      </c>
      <c r="F147" s="97" t="b">
        <f t="shared" si="24"/>
        <v>0</v>
      </c>
      <c r="G147" s="285">
        <f t="shared" si="25"/>
        <v>42004</v>
      </c>
      <c r="H147" s="13">
        <v>219</v>
      </c>
      <c r="I147" s="97">
        <f t="shared" si="22"/>
        <v>2014</v>
      </c>
      <c r="J147" s="90"/>
      <c r="K147" s="90"/>
      <c r="L147" s="90">
        <f t="shared" ca="1" si="26"/>
        <v>551319</v>
      </c>
      <c r="M147" s="90">
        <f t="shared" ca="1" si="27"/>
        <v>576547</v>
      </c>
    </row>
    <row r="148" spans="1:13" x14ac:dyDescent="0.2">
      <c r="A148" s="216">
        <v>150</v>
      </c>
      <c r="B148" s="217" t="s">
        <v>966</v>
      </c>
      <c r="C148" s="97">
        <f t="shared" si="23"/>
        <v>4</v>
      </c>
      <c r="D148" s="97" t="str">
        <f t="shared" si="20"/>
        <v>11029752</v>
      </c>
      <c r="E148" s="97" t="str">
        <f t="shared" si="21"/>
        <v>4402748120004</v>
      </c>
      <c r="F148" s="97" t="b">
        <f t="shared" si="24"/>
        <v>0</v>
      </c>
      <c r="G148" s="285">
        <f t="shared" si="25"/>
        <v>42004</v>
      </c>
      <c r="H148" s="13">
        <v>220</v>
      </c>
      <c r="I148" s="97">
        <f t="shared" si="22"/>
        <v>2014</v>
      </c>
      <c r="J148" s="90"/>
      <c r="K148" s="90"/>
      <c r="L148" s="90">
        <f t="shared" ca="1" si="26"/>
        <v>498213</v>
      </c>
      <c r="M148" s="90">
        <f t="shared" ca="1" si="27"/>
        <v>537546</v>
      </c>
    </row>
    <row r="149" spans="1:13" x14ac:dyDescent="0.2">
      <c r="A149" s="216">
        <v>151</v>
      </c>
      <c r="B149" s="217" t="s">
        <v>966</v>
      </c>
      <c r="C149" s="97">
        <f t="shared" si="23"/>
        <v>4</v>
      </c>
      <c r="D149" s="97" t="str">
        <f t="shared" si="20"/>
        <v>11029752</v>
      </c>
      <c r="E149" s="97" t="str">
        <f t="shared" si="21"/>
        <v>4402748120004</v>
      </c>
      <c r="F149" s="97" t="b">
        <f t="shared" si="24"/>
        <v>0</v>
      </c>
      <c r="G149" s="285">
        <f t="shared" si="25"/>
        <v>42004</v>
      </c>
      <c r="H149" s="13">
        <v>221</v>
      </c>
      <c r="I149" s="97">
        <f t="shared" si="22"/>
        <v>2014</v>
      </c>
      <c r="J149" s="90"/>
      <c r="K149" s="90"/>
      <c r="L149" s="90">
        <f t="shared" ca="1" si="26"/>
        <v>53106</v>
      </c>
      <c r="M149" s="90">
        <f t="shared" ca="1" si="27"/>
        <v>39001</v>
      </c>
    </row>
    <row r="150" spans="1:13" x14ac:dyDescent="0.2">
      <c r="A150" s="216">
        <v>152</v>
      </c>
      <c r="B150" s="217" t="s">
        <v>966</v>
      </c>
      <c r="C150" s="97">
        <f t="shared" si="23"/>
        <v>4</v>
      </c>
      <c r="D150" s="97" t="str">
        <f t="shared" si="20"/>
        <v>11029752</v>
      </c>
      <c r="E150" s="97" t="str">
        <f t="shared" si="21"/>
        <v>4402748120004</v>
      </c>
      <c r="F150" s="97" t="b">
        <f t="shared" si="24"/>
        <v>0</v>
      </c>
      <c r="G150" s="285">
        <f t="shared" si="25"/>
        <v>42004</v>
      </c>
      <c r="H150" s="13">
        <v>222</v>
      </c>
      <c r="I150" s="97">
        <f t="shared" si="22"/>
        <v>2014</v>
      </c>
      <c r="J150" s="90"/>
      <c r="K150" s="90"/>
      <c r="L150" s="90">
        <f t="shared" ca="1" si="26"/>
        <v>2060225</v>
      </c>
      <c r="M150" s="90">
        <f t="shared" ca="1" si="27"/>
        <v>1049867</v>
      </c>
    </row>
    <row r="151" spans="1:13" x14ac:dyDescent="0.2">
      <c r="A151" s="216">
        <v>153</v>
      </c>
      <c r="B151" s="217" t="s">
        <v>966</v>
      </c>
      <c r="C151" s="97">
        <f t="shared" si="23"/>
        <v>4</v>
      </c>
      <c r="D151" s="97" t="str">
        <f t="shared" si="20"/>
        <v>11029752</v>
      </c>
      <c r="E151" s="97" t="str">
        <f t="shared" si="21"/>
        <v>4402748120004</v>
      </c>
      <c r="F151" s="97" t="b">
        <f t="shared" si="24"/>
        <v>0</v>
      </c>
      <c r="G151" s="285">
        <f t="shared" si="25"/>
        <v>42004</v>
      </c>
      <c r="H151" s="13">
        <v>223</v>
      </c>
      <c r="I151" s="97">
        <f t="shared" si="22"/>
        <v>2014</v>
      </c>
      <c r="J151" s="90"/>
      <c r="K151" s="90"/>
      <c r="L151" s="90">
        <f t="shared" ca="1" si="26"/>
        <v>701696</v>
      </c>
      <c r="M151" s="90">
        <f t="shared" ca="1" si="27"/>
        <v>827611</v>
      </c>
    </row>
    <row r="152" spans="1:13" x14ac:dyDescent="0.2">
      <c r="A152" s="216">
        <v>154</v>
      </c>
      <c r="B152" s="217" t="s">
        <v>966</v>
      </c>
      <c r="C152" s="97">
        <f t="shared" si="23"/>
        <v>4</v>
      </c>
      <c r="D152" s="97" t="str">
        <f t="shared" si="20"/>
        <v>11029752</v>
      </c>
      <c r="E152" s="97" t="str">
        <f t="shared" si="21"/>
        <v>4402748120004</v>
      </c>
      <c r="F152" s="97" t="b">
        <f t="shared" si="24"/>
        <v>0</v>
      </c>
      <c r="G152" s="285">
        <f t="shared" si="25"/>
        <v>42004</v>
      </c>
      <c r="H152" s="13">
        <v>224</v>
      </c>
      <c r="I152" s="97">
        <f t="shared" si="22"/>
        <v>2014</v>
      </c>
      <c r="J152" s="90"/>
      <c r="K152" s="90"/>
      <c r="L152" s="90">
        <f t="shared" ca="1" si="26"/>
        <v>674002</v>
      </c>
      <c r="M152" s="90">
        <f t="shared" ca="1" si="27"/>
        <v>799581</v>
      </c>
    </row>
    <row r="153" spans="1:13" x14ac:dyDescent="0.2">
      <c r="A153" s="216">
        <v>155</v>
      </c>
      <c r="B153" s="217" t="s">
        <v>966</v>
      </c>
      <c r="C153" s="97">
        <f t="shared" si="23"/>
        <v>4</v>
      </c>
      <c r="D153" s="97" t="str">
        <f t="shared" si="20"/>
        <v>11029752</v>
      </c>
      <c r="E153" s="97" t="str">
        <f t="shared" si="21"/>
        <v>4402748120004</v>
      </c>
      <c r="F153" s="97" t="b">
        <f t="shared" si="24"/>
        <v>0</v>
      </c>
      <c r="G153" s="285">
        <f t="shared" si="25"/>
        <v>42004</v>
      </c>
      <c r="H153" s="13">
        <v>225</v>
      </c>
      <c r="I153" s="97">
        <f t="shared" si="22"/>
        <v>2014</v>
      </c>
      <c r="J153" s="90"/>
      <c r="K153" s="90"/>
      <c r="L153" s="90">
        <f t="shared" ca="1" si="26"/>
        <v>27694</v>
      </c>
      <c r="M153" s="90">
        <f t="shared" ca="1" si="27"/>
        <v>28030</v>
      </c>
    </row>
    <row r="154" spans="1:13" x14ac:dyDescent="0.2">
      <c r="A154" s="216">
        <v>156</v>
      </c>
      <c r="B154" s="217" t="s">
        <v>966</v>
      </c>
      <c r="C154" s="97">
        <f t="shared" si="23"/>
        <v>4</v>
      </c>
      <c r="D154" s="97" t="str">
        <f t="shared" si="20"/>
        <v>11029752</v>
      </c>
      <c r="E154" s="97" t="str">
        <f t="shared" si="21"/>
        <v>4402748120004</v>
      </c>
      <c r="F154" s="97" t="b">
        <f t="shared" si="24"/>
        <v>0</v>
      </c>
      <c r="G154" s="285">
        <f t="shared" si="25"/>
        <v>42004</v>
      </c>
      <c r="H154" s="13">
        <v>226</v>
      </c>
      <c r="I154" s="97">
        <f t="shared" si="22"/>
        <v>2014</v>
      </c>
      <c r="J154" s="90"/>
      <c r="K154" s="90"/>
      <c r="L154" s="90">
        <f t="shared" ca="1" si="26"/>
        <v>355307</v>
      </c>
      <c r="M154" s="90">
        <f t="shared" ca="1" si="27"/>
        <v>371353</v>
      </c>
    </row>
    <row r="155" spans="1:13" x14ac:dyDescent="0.2">
      <c r="A155" s="216">
        <v>157</v>
      </c>
      <c r="B155" s="217" t="s">
        <v>966</v>
      </c>
      <c r="C155" s="97">
        <f t="shared" si="23"/>
        <v>4</v>
      </c>
      <c r="D155" s="97" t="str">
        <f t="shared" si="20"/>
        <v>11029752</v>
      </c>
      <c r="E155" s="97" t="str">
        <f t="shared" si="21"/>
        <v>4402748120004</v>
      </c>
      <c r="F155" s="97" t="b">
        <f t="shared" si="24"/>
        <v>0</v>
      </c>
      <c r="G155" s="285">
        <f t="shared" si="25"/>
        <v>42004</v>
      </c>
      <c r="H155" s="13">
        <v>227</v>
      </c>
      <c r="I155" s="97">
        <f t="shared" si="22"/>
        <v>2014</v>
      </c>
      <c r="J155" s="90"/>
      <c r="K155" s="90"/>
      <c r="L155" s="90">
        <f t="shared" ca="1" si="26"/>
        <v>197165</v>
      </c>
      <c r="M155" s="90">
        <f t="shared" ca="1" si="27"/>
        <v>99822</v>
      </c>
    </row>
    <row r="156" spans="1:13" x14ac:dyDescent="0.2">
      <c r="A156" s="216">
        <v>158</v>
      </c>
      <c r="B156" s="217" t="s">
        <v>966</v>
      </c>
      <c r="C156" s="97">
        <f t="shared" si="23"/>
        <v>4</v>
      </c>
      <c r="D156" s="97" t="str">
        <f t="shared" si="20"/>
        <v>11029752</v>
      </c>
      <c r="E156" s="97" t="str">
        <f t="shared" si="21"/>
        <v>4402748120004</v>
      </c>
      <c r="F156" s="97" t="b">
        <f t="shared" si="24"/>
        <v>0</v>
      </c>
      <c r="G156" s="285">
        <f t="shared" si="25"/>
        <v>42004</v>
      </c>
      <c r="H156" s="13">
        <v>228</v>
      </c>
      <c r="I156" s="97">
        <f t="shared" si="22"/>
        <v>2014</v>
      </c>
      <c r="J156" s="90"/>
      <c r="K156" s="90"/>
      <c r="L156" s="90">
        <f t="shared" ca="1" si="26"/>
        <v>3146</v>
      </c>
      <c r="M156" s="90">
        <f t="shared" ca="1" si="27"/>
        <v>575</v>
      </c>
    </row>
    <row r="157" spans="1:13" x14ac:dyDescent="0.2">
      <c r="A157" s="216">
        <v>159</v>
      </c>
      <c r="B157" s="217" t="s">
        <v>966</v>
      </c>
      <c r="C157" s="97">
        <f t="shared" si="23"/>
        <v>4</v>
      </c>
      <c r="D157" s="97" t="str">
        <f t="shared" si="20"/>
        <v>11029752</v>
      </c>
      <c r="E157" s="97" t="str">
        <f t="shared" si="21"/>
        <v>4402748120004</v>
      </c>
      <c r="F157" s="97" t="b">
        <f t="shared" si="24"/>
        <v>0</v>
      </c>
      <c r="G157" s="285">
        <f t="shared" si="25"/>
        <v>42004</v>
      </c>
      <c r="H157" s="13">
        <v>229</v>
      </c>
      <c r="I157" s="97">
        <f t="shared" si="22"/>
        <v>2014</v>
      </c>
      <c r="J157" s="90"/>
      <c r="K157" s="90"/>
      <c r="L157" s="90">
        <f t="shared" ca="1" si="26"/>
        <v>0</v>
      </c>
      <c r="M157" s="90">
        <f t="shared" ca="1" si="27"/>
        <v>0</v>
      </c>
    </row>
    <row r="158" spans="1:13" x14ac:dyDescent="0.2">
      <c r="A158" s="216">
        <v>160</v>
      </c>
      <c r="B158" s="217" t="s">
        <v>966</v>
      </c>
      <c r="C158" s="97">
        <f t="shared" si="23"/>
        <v>4</v>
      </c>
      <c r="D158" s="97" t="str">
        <f t="shared" si="20"/>
        <v>11029752</v>
      </c>
      <c r="E158" s="97" t="str">
        <f t="shared" si="21"/>
        <v>4402748120004</v>
      </c>
      <c r="F158" s="97" t="b">
        <f t="shared" si="24"/>
        <v>0</v>
      </c>
      <c r="G158" s="285">
        <f t="shared" si="25"/>
        <v>42004</v>
      </c>
      <c r="H158" s="13">
        <v>230</v>
      </c>
      <c r="I158" s="97">
        <f t="shared" si="22"/>
        <v>2014</v>
      </c>
      <c r="J158" s="90"/>
      <c r="K158" s="90"/>
      <c r="L158" s="90">
        <f t="shared" ca="1" si="26"/>
        <v>21579</v>
      </c>
      <c r="M158" s="90">
        <f t="shared" ca="1" si="27"/>
        <v>443165</v>
      </c>
    </row>
    <row r="159" spans="1:13" x14ac:dyDescent="0.2">
      <c r="A159" s="216">
        <v>162</v>
      </c>
      <c r="B159" s="217" t="s">
        <v>966</v>
      </c>
      <c r="C159" s="97">
        <f t="shared" si="23"/>
        <v>4</v>
      </c>
      <c r="D159" s="97" t="str">
        <f t="shared" si="20"/>
        <v>11029752</v>
      </c>
      <c r="E159" s="97" t="str">
        <f t="shared" si="21"/>
        <v>4402748120004</v>
      </c>
      <c r="F159" s="97" t="b">
        <f t="shared" si="24"/>
        <v>0</v>
      </c>
      <c r="G159" s="285">
        <f t="shared" si="25"/>
        <v>42004</v>
      </c>
      <c r="H159" s="13">
        <v>231</v>
      </c>
      <c r="I159" s="97">
        <f t="shared" si="22"/>
        <v>2014</v>
      </c>
      <c r="J159" s="90"/>
      <c r="K159" s="90"/>
      <c r="L159" s="90">
        <f t="shared" ca="1" si="26"/>
        <v>609</v>
      </c>
      <c r="M159" s="90">
        <f t="shared" ca="1" si="27"/>
        <v>11</v>
      </c>
    </row>
    <row r="160" spans="1:13" x14ac:dyDescent="0.2">
      <c r="A160" s="216">
        <v>163</v>
      </c>
      <c r="B160" s="217" t="s">
        <v>966</v>
      </c>
      <c r="C160" s="97">
        <f t="shared" si="23"/>
        <v>4</v>
      </c>
      <c r="D160" s="97" t="str">
        <f t="shared" si="20"/>
        <v>11029752</v>
      </c>
      <c r="E160" s="97" t="str">
        <f t="shared" si="21"/>
        <v>4402748120004</v>
      </c>
      <c r="F160" s="97" t="b">
        <f t="shared" si="24"/>
        <v>0</v>
      </c>
      <c r="G160" s="285">
        <f t="shared" si="25"/>
        <v>42004</v>
      </c>
      <c r="H160" s="13">
        <v>232</v>
      </c>
      <c r="I160" s="97">
        <f t="shared" si="22"/>
        <v>2014</v>
      </c>
      <c r="J160" s="90"/>
      <c r="K160" s="90"/>
      <c r="L160" s="90" t="str">
        <f t="shared" ca="1" si="26"/>
        <v/>
      </c>
      <c r="M160" s="90" t="str">
        <f t="shared" ca="1" si="27"/>
        <v/>
      </c>
    </row>
    <row r="161" spans="1:13" x14ac:dyDescent="0.2">
      <c r="A161" s="216">
        <v>164</v>
      </c>
      <c r="B161" s="217" t="s">
        <v>966</v>
      </c>
      <c r="C161" s="97">
        <f t="shared" si="23"/>
        <v>4</v>
      </c>
      <c r="D161" s="97" t="str">
        <f t="shared" si="20"/>
        <v>11029752</v>
      </c>
      <c r="E161" s="97" t="str">
        <f t="shared" si="21"/>
        <v>4402748120004</v>
      </c>
      <c r="F161" s="97" t="b">
        <f t="shared" si="24"/>
        <v>0</v>
      </c>
      <c r="G161" s="285">
        <f t="shared" si="25"/>
        <v>42004</v>
      </c>
      <c r="H161" s="13">
        <v>233</v>
      </c>
      <c r="I161" s="97">
        <f t="shared" si="22"/>
        <v>2014</v>
      </c>
      <c r="J161" s="90"/>
      <c r="K161" s="90"/>
      <c r="L161" s="90">
        <f t="shared" ca="1" si="26"/>
        <v>609</v>
      </c>
      <c r="M161" s="90">
        <f t="shared" ca="1" si="27"/>
        <v>11</v>
      </c>
    </row>
    <row r="162" spans="1:13" x14ac:dyDescent="0.2">
      <c r="A162" s="216">
        <v>165</v>
      </c>
      <c r="B162" s="217" t="s">
        <v>966</v>
      </c>
      <c r="C162" s="97">
        <f t="shared" si="23"/>
        <v>4</v>
      </c>
      <c r="D162" s="97" t="str">
        <f t="shared" si="20"/>
        <v>11029752</v>
      </c>
      <c r="E162" s="97" t="str">
        <f t="shared" si="21"/>
        <v>4402748120004</v>
      </c>
      <c r="F162" s="97" t="b">
        <f t="shared" si="24"/>
        <v>0</v>
      </c>
      <c r="G162" s="285">
        <f t="shared" si="25"/>
        <v>42004</v>
      </c>
      <c r="H162" s="13">
        <v>234</v>
      </c>
      <c r="I162" s="97">
        <f t="shared" si="22"/>
        <v>2014</v>
      </c>
      <c r="J162" s="90"/>
      <c r="K162" s="90"/>
      <c r="L162" s="90" t="str">
        <f t="shared" ca="1" si="26"/>
        <v/>
      </c>
      <c r="M162" s="90" t="str">
        <f t="shared" ca="1" si="27"/>
        <v/>
      </c>
    </row>
    <row r="163" spans="1:13" x14ac:dyDescent="0.2">
      <c r="A163" s="216">
        <v>166</v>
      </c>
      <c r="B163" s="217" t="s">
        <v>966</v>
      </c>
      <c r="C163" s="97">
        <f t="shared" si="23"/>
        <v>4</v>
      </c>
      <c r="D163" s="97" t="str">
        <f t="shared" si="20"/>
        <v>11029752</v>
      </c>
      <c r="E163" s="97" t="str">
        <f t="shared" si="21"/>
        <v>4402748120004</v>
      </c>
      <c r="F163" s="97" t="b">
        <f t="shared" si="24"/>
        <v>0</v>
      </c>
      <c r="G163" s="285">
        <f t="shared" si="25"/>
        <v>42004</v>
      </c>
      <c r="H163" s="13">
        <v>235</v>
      </c>
      <c r="I163" s="97">
        <f t="shared" si="22"/>
        <v>2014</v>
      </c>
      <c r="J163" s="90"/>
      <c r="K163" s="90"/>
      <c r="L163" s="90" t="str">
        <f t="shared" ca="1" si="26"/>
        <v/>
      </c>
      <c r="M163" s="90" t="str">
        <f t="shared" ca="1" si="27"/>
        <v/>
      </c>
    </row>
    <row r="164" spans="1:13" x14ac:dyDescent="0.2">
      <c r="A164" s="216">
        <v>167</v>
      </c>
      <c r="B164" s="217" t="s">
        <v>966</v>
      </c>
      <c r="C164" s="97">
        <f t="shared" si="23"/>
        <v>4</v>
      </c>
      <c r="D164" s="97" t="str">
        <f t="shared" si="20"/>
        <v>11029752</v>
      </c>
      <c r="E164" s="97" t="str">
        <f t="shared" si="21"/>
        <v>4402748120004</v>
      </c>
      <c r="F164" s="97" t="b">
        <f t="shared" si="24"/>
        <v>0</v>
      </c>
      <c r="G164" s="285">
        <f t="shared" si="25"/>
        <v>42004</v>
      </c>
      <c r="H164" s="13">
        <v>236</v>
      </c>
      <c r="I164" s="97">
        <f t="shared" si="22"/>
        <v>2014</v>
      </c>
      <c r="J164" s="90"/>
      <c r="K164" s="90"/>
      <c r="L164" s="90" t="str">
        <f t="shared" ca="1" si="26"/>
        <v/>
      </c>
      <c r="M164" s="90" t="str">
        <f t="shared" ca="1" si="27"/>
        <v/>
      </c>
    </row>
    <row r="165" spans="1:13" x14ac:dyDescent="0.2">
      <c r="A165" s="216">
        <v>168</v>
      </c>
      <c r="B165" s="217" t="s">
        <v>966</v>
      </c>
      <c r="C165" s="97">
        <f t="shared" si="23"/>
        <v>4</v>
      </c>
      <c r="D165" s="97" t="str">
        <f t="shared" si="20"/>
        <v>11029752</v>
      </c>
      <c r="E165" s="97" t="str">
        <f t="shared" si="21"/>
        <v>4402748120004</v>
      </c>
      <c r="F165" s="97" t="b">
        <f t="shared" si="24"/>
        <v>0</v>
      </c>
      <c r="G165" s="285">
        <f t="shared" si="25"/>
        <v>42004</v>
      </c>
      <c r="H165" s="13">
        <v>237</v>
      </c>
      <c r="I165" s="97">
        <f t="shared" si="22"/>
        <v>2014</v>
      </c>
      <c r="J165" s="90"/>
      <c r="K165" s="90"/>
      <c r="L165" s="90" t="str">
        <f t="shared" ca="1" si="26"/>
        <v/>
      </c>
      <c r="M165" s="90" t="str">
        <f t="shared" ca="1" si="27"/>
        <v/>
      </c>
    </row>
    <row r="166" spans="1:13" x14ac:dyDescent="0.2">
      <c r="A166" s="216">
        <v>169</v>
      </c>
      <c r="B166" s="217" t="s">
        <v>966</v>
      </c>
      <c r="C166" s="97">
        <f t="shared" si="23"/>
        <v>4</v>
      </c>
      <c r="D166" s="97" t="str">
        <f t="shared" si="20"/>
        <v>11029752</v>
      </c>
      <c r="E166" s="97" t="str">
        <f t="shared" si="21"/>
        <v>4402748120004</v>
      </c>
      <c r="F166" s="97" t="b">
        <f t="shared" si="24"/>
        <v>0</v>
      </c>
      <c r="G166" s="285">
        <f t="shared" si="25"/>
        <v>42004</v>
      </c>
      <c r="H166" s="13">
        <v>238</v>
      </c>
      <c r="I166" s="97">
        <f t="shared" si="22"/>
        <v>2014</v>
      </c>
      <c r="J166" s="90"/>
      <c r="K166" s="90"/>
      <c r="L166" s="90">
        <f t="shared" ca="1" si="26"/>
        <v>413</v>
      </c>
      <c r="M166" s="90">
        <f t="shared" ca="1" si="27"/>
        <v>1182</v>
      </c>
    </row>
    <row r="167" spans="1:13" x14ac:dyDescent="0.2">
      <c r="A167" s="216">
        <v>170</v>
      </c>
      <c r="B167" s="217" t="s">
        <v>966</v>
      </c>
      <c r="C167" s="97">
        <f t="shared" si="23"/>
        <v>4</v>
      </c>
      <c r="D167" s="97" t="str">
        <f t="shared" si="20"/>
        <v>11029752</v>
      </c>
      <c r="E167" s="97" t="str">
        <f t="shared" si="21"/>
        <v>4402748120004</v>
      </c>
      <c r="F167" s="97" t="b">
        <f t="shared" si="24"/>
        <v>0</v>
      </c>
      <c r="G167" s="285">
        <f t="shared" si="25"/>
        <v>42004</v>
      </c>
      <c r="H167" s="13">
        <v>239</v>
      </c>
      <c r="I167" s="97">
        <f t="shared" si="22"/>
        <v>2014</v>
      </c>
      <c r="J167" s="90"/>
      <c r="K167" s="90"/>
      <c r="L167" s="90" t="str">
        <f t="shared" ca="1" si="26"/>
        <v/>
      </c>
      <c r="M167" s="90" t="str">
        <f t="shared" ca="1" si="27"/>
        <v/>
      </c>
    </row>
    <row r="168" spans="1:13" x14ac:dyDescent="0.2">
      <c r="A168" s="216">
        <v>171</v>
      </c>
      <c r="B168" s="217" t="s">
        <v>966</v>
      </c>
      <c r="C168" s="97">
        <f t="shared" si="23"/>
        <v>4</v>
      </c>
      <c r="D168" s="97" t="str">
        <f t="shared" si="20"/>
        <v>11029752</v>
      </c>
      <c r="E168" s="97" t="str">
        <f t="shared" si="21"/>
        <v>4402748120004</v>
      </c>
      <c r="F168" s="97" t="b">
        <f t="shared" si="24"/>
        <v>0</v>
      </c>
      <c r="G168" s="285">
        <f t="shared" si="25"/>
        <v>42004</v>
      </c>
      <c r="H168" s="13">
        <v>240</v>
      </c>
      <c r="I168" s="97">
        <f t="shared" si="22"/>
        <v>2014</v>
      </c>
      <c r="J168" s="90"/>
      <c r="K168" s="90"/>
      <c r="L168" s="90">
        <f t="shared" ca="1" si="26"/>
        <v>413</v>
      </c>
      <c r="M168" s="90">
        <f t="shared" ca="1" si="27"/>
        <v>1182</v>
      </c>
    </row>
    <row r="169" spans="1:13" x14ac:dyDescent="0.2">
      <c r="A169" s="216">
        <v>172</v>
      </c>
      <c r="B169" s="217" t="s">
        <v>966</v>
      </c>
      <c r="C169" s="97">
        <f t="shared" si="23"/>
        <v>4</v>
      </c>
      <c r="D169" s="97" t="str">
        <f t="shared" si="20"/>
        <v>11029752</v>
      </c>
      <c r="E169" s="97" t="str">
        <f t="shared" si="21"/>
        <v>4402748120004</v>
      </c>
      <c r="F169" s="97" t="b">
        <f t="shared" si="24"/>
        <v>0</v>
      </c>
      <c r="G169" s="285">
        <f t="shared" si="25"/>
        <v>42004</v>
      </c>
      <c r="H169" s="13">
        <v>241</v>
      </c>
      <c r="I169" s="97">
        <f t="shared" si="22"/>
        <v>2014</v>
      </c>
      <c r="J169" s="90"/>
      <c r="K169" s="90"/>
      <c r="L169" s="90" t="str">
        <f t="shared" ca="1" si="26"/>
        <v/>
      </c>
      <c r="M169" s="90" t="str">
        <f t="shared" ca="1" si="27"/>
        <v/>
      </c>
    </row>
    <row r="170" spans="1:13" x14ac:dyDescent="0.2">
      <c r="A170" s="216">
        <v>173</v>
      </c>
      <c r="B170" s="217" t="s">
        <v>966</v>
      </c>
      <c r="C170" s="97">
        <f t="shared" si="23"/>
        <v>4</v>
      </c>
      <c r="D170" s="97" t="str">
        <f t="shared" si="20"/>
        <v>11029752</v>
      </c>
      <c r="E170" s="97" t="str">
        <f t="shared" si="21"/>
        <v>4402748120004</v>
      </c>
      <c r="F170" s="97" t="b">
        <f t="shared" si="24"/>
        <v>0</v>
      </c>
      <c r="G170" s="285">
        <f t="shared" si="25"/>
        <v>42004</v>
      </c>
      <c r="H170" s="13">
        <v>242</v>
      </c>
      <c r="I170" s="97">
        <f t="shared" si="22"/>
        <v>2014</v>
      </c>
      <c r="J170" s="90"/>
      <c r="K170" s="90"/>
      <c r="L170" s="90" t="str">
        <f t="shared" ca="1" si="26"/>
        <v/>
      </c>
      <c r="M170" s="90" t="str">
        <f t="shared" ca="1" si="27"/>
        <v/>
      </c>
    </row>
    <row r="171" spans="1:13" x14ac:dyDescent="0.2">
      <c r="A171" s="216">
        <v>174</v>
      </c>
      <c r="B171" s="217" t="s">
        <v>966</v>
      </c>
      <c r="C171" s="97">
        <f t="shared" si="23"/>
        <v>4</v>
      </c>
      <c r="D171" s="97" t="str">
        <f t="shared" si="20"/>
        <v>11029752</v>
      </c>
      <c r="E171" s="97" t="str">
        <f t="shared" si="21"/>
        <v>4402748120004</v>
      </c>
      <c r="F171" s="97" t="b">
        <f t="shared" si="24"/>
        <v>0</v>
      </c>
      <c r="G171" s="285">
        <f t="shared" si="25"/>
        <v>42004</v>
      </c>
      <c r="H171" s="13">
        <v>243</v>
      </c>
      <c r="I171" s="97">
        <f t="shared" si="22"/>
        <v>2014</v>
      </c>
      <c r="J171" s="90"/>
      <c r="K171" s="90"/>
      <c r="L171" s="90" t="str">
        <f t="shared" ca="1" si="26"/>
        <v/>
      </c>
      <c r="M171" s="90" t="str">
        <f t="shared" ca="1" si="27"/>
        <v/>
      </c>
    </row>
    <row r="172" spans="1:13" x14ac:dyDescent="0.2">
      <c r="A172" s="216">
        <v>175</v>
      </c>
      <c r="B172" s="217" t="s">
        <v>966</v>
      </c>
      <c r="C172" s="97">
        <f t="shared" si="23"/>
        <v>4</v>
      </c>
      <c r="D172" s="97" t="str">
        <f t="shared" si="20"/>
        <v>11029752</v>
      </c>
      <c r="E172" s="97" t="str">
        <f t="shared" si="21"/>
        <v>4402748120004</v>
      </c>
      <c r="F172" s="97" t="b">
        <f t="shared" si="24"/>
        <v>0</v>
      </c>
      <c r="G172" s="285">
        <f t="shared" si="25"/>
        <v>42004</v>
      </c>
      <c r="H172" s="13">
        <v>244</v>
      </c>
      <c r="I172" s="97">
        <f t="shared" si="22"/>
        <v>2014</v>
      </c>
      <c r="J172" s="90"/>
      <c r="K172" s="90"/>
      <c r="L172" s="90">
        <f t="shared" ca="1" si="26"/>
        <v>0</v>
      </c>
      <c r="M172" s="90">
        <f t="shared" ca="1" si="27"/>
        <v>0</v>
      </c>
    </row>
    <row r="173" spans="1:13" x14ac:dyDescent="0.2">
      <c r="A173" s="216">
        <v>176</v>
      </c>
      <c r="B173" s="217" t="s">
        <v>966</v>
      </c>
      <c r="C173" s="97">
        <f t="shared" si="23"/>
        <v>4</v>
      </c>
      <c r="D173" s="97" t="str">
        <f t="shared" si="20"/>
        <v>11029752</v>
      </c>
      <c r="E173" s="97" t="str">
        <f t="shared" si="21"/>
        <v>4402748120004</v>
      </c>
      <c r="F173" s="97" t="b">
        <f t="shared" si="24"/>
        <v>0</v>
      </c>
      <c r="G173" s="285">
        <f t="shared" si="25"/>
        <v>42004</v>
      </c>
      <c r="H173" s="13">
        <v>245</v>
      </c>
      <c r="I173" s="97">
        <f t="shared" si="22"/>
        <v>2014</v>
      </c>
      <c r="J173" s="90"/>
      <c r="K173" s="90"/>
      <c r="L173" s="90">
        <f t="shared" ca="1" si="26"/>
        <v>21383</v>
      </c>
      <c r="M173" s="90">
        <f t="shared" ca="1" si="27"/>
        <v>444336</v>
      </c>
    </row>
    <row r="174" spans="1:13" x14ac:dyDescent="0.2">
      <c r="A174" s="216">
        <v>178</v>
      </c>
      <c r="B174" s="217" t="s">
        <v>966</v>
      </c>
      <c r="C174" s="97">
        <f t="shared" si="23"/>
        <v>4</v>
      </c>
      <c r="D174" s="97" t="str">
        <f t="shared" si="20"/>
        <v>11029752</v>
      </c>
      <c r="E174" s="97" t="str">
        <f t="shared" si="21"/>
        <v>4402748120004</v>
      </c>
      <c r="F174" s="97" t="b">
        <f t="shared" si="24"/>
        <v>0</v>
      </c>
      <c r="G174" s="285">
        <f t="shared" si="25"/>
        <v>42004</v>
      </c>
      <c r="H174" s="13">
        <v>246</v>
      </c>
      <c r="I174" s="97">
        <f t="shared" si="22"/>
        <v>2014</v>
      </c>
      <c r="J174" s="90"/>
      <c r="K174" s="90"/>
      <c r="L174" s="90">
        <f t="shared" ca="1" si="26"/>
        <v>48269</v>
      </c>
      <c r="M174" s="90">
        <f t="shared" ca="1" si="27"/>
        <v>530247</v>
      </c>
    </row>
    <row r="175" spans="1:13" x14ac:dyDescent="0.2">
      <c r="A175" s="216">
        <v>179</v>
      </c>
      <c r="B175" s="217" t="s">
        <v>966</v>
      </c>
      <c r="C175" s="97">
        <f t="shared" si="23"/>
        <v>4</v>
      </c>
      <c r="D175" s="97" t="str">
        <f t="shared" si="20"/>
        <v>11029752</v>
      </c>
      <c r="E175" s="97" t="str">
        <f t="shared" si="21"/>
        <v>4402748120004</v>
      </c>
      <c r="F175" s="97" t="b">
        <f t="shared" si="24"/>
        <v>0</v>
      </c>
      <c r="G175" s="285">
        <f t="shared" si="25"/>
        <v>42004</v>
      </c>
      <c r="H175" s="13">
        <v>247</v>
      </c>
      <c r="I175" s="97">
        <f t="shared" si="22"/>
        <v>2014</v>
      </c>
      <c r="J175" s="90"/>
      <c r="K175" s="90"/>
      <c r="L175" s="90" t="str">
        <f t="shared" ca="1" si="26"/>
        <v/>
      </c>
      <c r="M175" s="90">
        <f t="shared" ca="1" si="27"/>
        <v>194621</v>
      </c>
    </row>
    <row r="176" spans="1:13" x14ac:dyDescent="0.2">
      <c r="A176" s="216">
        <v>180</v>
      </c>
      <c r="B176" s="217" t="s">
        <v>966</v>
      </c>
      <c r="C176" s="97">
        <f t="shared" si="23"/>
        <v>4</v>
      </c>
      <c r="D176" s="97" t="str">
        <f t="shared" si="20"/>
        <v>11029752</v>
      </c>
      <c r="E176" s="97" t="str">
        <f t="shared" si="21"/>
        <v>4402748120004</v>
      </c>
      <c r="F176" s="97" t="b">
        <f t="shared" si="24"/>
        <v>0</v>
      </c>
      <c r="G176" s="285">
        <f t="shared" si="25"/>
        <v>42004</v>
      </c>
      <c r="H176" s="13">
        <v>248</v>
      </c>
      <c r="I176" s="97">
        <f t="shared" si="22"/>
        <v>2014</v>
      </c>
      <c r="J176" s="90"/>
      <c r="K176" s="90"/>
      <c r="L176" s="90" t="str">
        <f t="shared" ca="1" si="26"/>
        <v/>
      </c>
      <c r="M176" s="90" t="str">
        <f t="shared" ca="1" si="27"/>
        <v/>
      </c>
    </row>
    <row r="177" spans="1:13" x14ac:dyDescent="0.2">
      <c r="A177" s="216">
        <v>181</v>
      </c>
      <c r="B177" s="217" t="s">
        <v>966</v>
      </c>
      <c r="C177" s="97">
        <f t="shared" si="23"/>
        <v>4</v>
      </c>
      <c r="D177" s="97" t="str">
        <f t="shared" si="20"/>
        <v>11029752</v>
      </c>
      <c r="E177" s="97" t="str">
        <f t="shared" si="21"/>
        <v>4402748120004</v>
      </c>
      <c r="F177" s="97" t="b">
        <f t="shared" si="24"/>
        <v>0</v>
      </c>
      <c r="G177" s="285">
        <f t="shared" si="25"/>
        <v>42004</v>
      </c>
      <c r="H177" s="13">
        <v>249</v>
      </c>
      <c r="I177" s="97">
        <f t="shared" si="22"/>
        <v>2014</v>
      </c>
      <c r="J177" s="90"/>
      <c r="K177" s="90"/>
      <c r="L177" s="90" t="str">
        <f t="shared" ca="1" si="26"/>
        <v/>
      </c>
      <c r="M177" s="90" t="str">
        <f t="shared" ca="1" si="27"/>
        <v/>
      </c>
    </row>
    <row r="178" spans="1:13" x14ac:dyDescent="0.2">
      <c r="A178" s="216">
        <v>182</v>
      </c>
      <c r="B178" s="217" t="s">
        <v>966</v>
      </c>
      <c r="C178" s="97">
        <f t="shared" si="23"/>
        <v>4</v>
      </c>
      <c r="D178" s="97" t="str">
        <f t="shared" si="20"/>
        <v>11029752</v>
      </c>
      <c r="E178" s="97" t="str">
        <f t="shared" si="21"/>
        <v>4402748120004</v>
      </c>
      <c r="F178" s="97" t="b">
        <f t="shared" si="24"/>
        <v>0</v>
      </c>
      <c r="G178" s="285">
        <f t="shared" si="25"/>
        <v>42004</v>
      </c>
      <c r="H178" s="13">
        <v>250</v>
      </c>
      <c r="I178" s="97">
        <f t="shared" si="22"/>
        <v>2014</v>
      </c>
      <c r="J178" s="90"/>
      <c r="K178" s="90"/>
      <c r="L178" s="90" t="str">
        <f t="shared" ca="1" si="26"/>
        <v/>
      </c>
      <c r="M178" s="90" t="str">
        <f t="shared" ca="1" si="27"/>
        <v/>
      </c>
    </row>
    <row r="179" spans="1:13" x14ac:dyDescent="0.2">
      <c r="A179" s="216">
        <v>183</v>
      </c>
      <c r="B179" s="217" t="s">
        <v>966</v>
      </c>
      <c r="C179" s="97">
        <f t="shared" si="23"/>
        <v>4</v>
      </c>
      <c r="D179" s="97" t="str">
        <f t="shared" si="20"/>
        <v>11029752</v>
      </c>
      <c r="E179" s="97" t="str">
        <f t="shared" si="21"/>
        <v>4402748120004</v>
      </c>
      <c r="F179" s="97" t="b">
        <f t="shared" si="24"/>
        <v>0</v>
      </c>
      <c r="G179" s="285">
        <f t="shared" si="25"/>
        <v>42004</v>
      </c>
      <c r="H179" s="13">
        <v>251</v>
      </c>
      <c r="I179" s="97">
        <f t="shared" si="22"/>
        <v>2014</v>
      </c>
      <c r="J179" s="90"/>
      <c r="K179" s="90"/>
      <c r="L179" s="90" t="str">
        <f t="shared" ca="1" si="26"/>
        <v/>
      </c>
      <c r="M179" s="90" t="str">
        <f t="shared" ca="1" si="27"/>
        <v/>
      </c>
    </row>
    <row r="180" spans="1:13" x14ac:dyDescent="0.2">
      <c r="A180" s="216">
        <v>184</v>
      </c>
      <c r="B180" s="217" t="s">
        <v>966</v>
      </c>
      <c r="C180" s="97">
        <f t="shared" si="23"/>
        <v>4</v>
      </c>
      <c r="D180" s="97" t="str">
        <f t="shared" si="20"/>
        <v>11029752</v>
      </c>
      <c r="E180" s="97" t="str">
        <f t="shared" si="21"/>
        <v>4402748120004</v>
      </c>
      <c r="F180" s="97" t="b">
        <f t="shared" si="24"/>
        <v>0</v>
      </c>
      <c r="G180" s="285">
        <f t="shared" si="25"/>
        <v>42004</v>
      </c>
      <c r="H180" s="13">
        <v>252</v>
      </c>
      <c r="I180" s="97">
        <f t="shared" si="22"/>
        <v>2014</v>
      </c>
      <c r="J180" s="90"/>
      <c r="K180" s="90"/>
      <c r="L180" s="90" t="str">
        <f t="shared" ca="1" si="26"/>
        <v/>
      </c>
      <c r="M180" s="90">
        <f t="shared" ca="1" si="27"/>
        <v>78088</v>
      </c>
    </row>
    <row r="181" spans="1:13" x14ac:dyDescent="0.2">
      <c r="A181" s="216">
        <v>185</v>
      </c>
      <c r="B181" s="217" t="s">
        <v>966</v>
      </c>
      <c r="C181" s="97">
        <f t="shared" si="23"/>
        <v>4</v>
      </c>
      <c r="D181" s="97" t="str">
        <f t="shared" si="20"/>
        <v>11029752</v>
      </c>
      <c r="E181" s="97" t="str">
        <f t="shared" si="21"/>
        <v>4402748120004</v>
      </c>
      <c r="F181" s="97" t="b">
        <f t="shared" si="24"/>
        <v>0</v>
      </c>
      <c r="G181" s="285">
        <f t="shared" si="25"/>
        <v>42004</v>
      </c>
      <c r="H181" s="13">
        <v>253</v>
      </c>
      <c r="I181" s="97">
        <f t="shared" si="22"/>
        <v>2014</v>
      </c>
      <c r="J181" s="90"/>
      <c r="K181" s="90"/>
      <c r="L181" s="90" t="str">
        <f t="shared" ca="1" si="26"/>
        <v/>
      </c>
      <c r="M181" s="90" t="str">
        <f t="shared" ca="1" si="27"/>
        <v/>
      </c>
    </row>
    <row r="182" spans="1:13" x14ac:dyDescent="0.2">
      <c r="A182" s="216">
        <v>186</v>
      </c>
      <c r="B182" s="217" t="s">
        <v>966</v>
      </c>
      <c r="C182" s="97">
        <f t="shared" si="23"/>
        <v>4</v>
      </c>
      <c r="D182" s="97" t="str">
        <f t="shared" si="20"/>
        <v>11029752</v>
      </c>
      <c r="E182" s="97" t="str">
        <f t="shared" si="21"/>
        <v>4402748120004</v>
      </c>
      <c r="F182" s="97" t="b">
        <f t="shared" si="24"/>
        <v>0</v>
      </c>
      <c r="G182" s="285">
        <f t="shared" si="25"/>
        <v>42004</v>
      </c>
      <c r="H182" s="13">
        <v>254</v>
      </c>
      <c r="I182" s="97">
        <f t="shared" si="22"/>
        <v>2014</v>
      </c>
      <c r="J182" s="90"/>
      <c r="K182" s="90"/>
      <c r="L182" s="90">
        <f t="shared" ca="1" si="26"/>
        <v>31289</v>
      </c>
      <c r="M182" s="90">
        <f t="shared" ca="1" si="27"/>
        <v>237240</v>
      </c>
    </row>
    <row r="183" spans="1:13" x14ac:dyDescent="0.2">
      <c r="A183" s="216">
        <v>187</v>
      </c>
      <c r="B183" s="217" t="s">
        <v>966</v>
      </c>
      <c r="C183" s="97">
        <f t="shared" si="23"/>
        <v>4</v>
      </c>
      <c r="D183" s="97" t="str">
        <f t="shared" si="20"/>
        <v>11029752</v>
      </c>
      <c r="E183" s="97" t="str">
        <f t="shared" si="21"/>
        <v>4402748120004</v>
      </c>
      <c r="F183" s="97" t="b">
        <f t="shared" si="24"/>
        <v>0</v>
      </c>
      <c r="G183" s="285">
        <f t="shared" si="25"/>
        <v>42004</v>
      </c>
      <c r="H183" s="13">
        <v>255</v>
      </c>
      <c r="I183" s="97">
        <f t="shared" si="22"/>
        <v>2014</v>
      </c>
      <c r="J183" s="90"/>
      <c r="K183" s="90"/>
      <c r="L183" s="90" t="str">
        <f t="shared" ca="1" si="26"/>
        <v/>
      </c>
      <c r="M183" s="90" t="str">
        <f t="shared" ca="1" si="27"/>
        <v/>
      </c>
    </row>
    <row r="184" spans="1:13" x14ac:dyDescent="0.2">
      <c r="A184" s="216">
        <v>188</v>
      </c>
      <c r="B184" s="217" t="s">
        <v>966</v>
      </c>
      <c r="C184" s="97">
        <f t="shared" si="23"/>
        <v>4</v>
      </c>
      <c r="D184" s="97" t="str">
        <f t="shared" si="20"/>
        <v>11029752</v>
      </c>
      <c r="E184" s="97" t="str">
        <f t="shared" si="21"/>
        <v>4402748120004</v>
      </c>
      <c r="F184" s="97" t="b">
        <f t="shared" si="24"/>
        <v>0</v>
      </c>
      <c r="G184" s="285">
        <f t="shared" si="25"/>
        <v>42004</v>
      </c>
      <c r="H184" s="13">
        <v>256</v>
      </c>
      <c r="I184" s="97">
        <f t="shared" si="22"/>
        <v>2014</v>
      </c>
      <c r="J184" s="90"/>
      <c r="K184" s="90"/>
      <c r="L184" s="90">
        <f t="shared" ca="1" si="26"/>
        <v>16980</v>
      </c>
      <c r="M184" s="90">
        <f t="shared" ca="1" si="27"/>
        <v>20298</v>
      </c>
    </row>
    <row r="185" spans="1:13" x14ac:dyDescent="0.2">
      <c r="A185" s="216">
        <v>189</v>
      </c>
      <c r="B185" s="217" t="s">
        <v>966</v>
      </c>
      <c r="C185" s="97">
        <f t="shared" si="23"/>
        <v>4</v>
      </c>
      <c r="D185" s="97" t="str">
        <f t="shared" si="20"/>
        <v>11029752</v>
      </c>
      <c r="E185" s="97" t="str">
        <f t="shared" si="21"/>
        <v>4402748120004</v>
      </c>
      <c r="F185" s="97" t="b">
        <f t="shared" si="24"/>
        <v>0</v>
      </c>
      <c r="G185" s="285">
        <f t="shared" si="25"/>
        <v>42004</v>
      </c>
      <c r="H185" s="13">
        <v>257</v>
      </c>
      <c r="I185" s="97">
        <f t="shared" si="22"/>
        <v>2014</v>
      </c>
      <c r="J185" s="90"/>
      <c r="K185" s="90"/>
      <c r="L185" s="90">
        <f t="shared" ca="1" si="26"/>
        <v>41466</v>
      </c>
      <c r="M185" s="90">
        <f t="shared" ca="1" si="27"/>
        <v>224456</v>
      </c>
    </row>
    <row r="186" spans="1:13" x14ac:dyDescent="0.2">
      <c r="A186" s="216">
        <v>190</v>
      </c>
      <c r="B186" s="217" t="s">
        <v>966</v>
      </c>
      <c r="C186" s="97">
        <f t="shared" si="23"/>
        <v>4</v>
      </c>
      <c r="D186" s="97" t="str">
        <f t="shared" si="20"/>
        <v>11029752</v>
      </c>
      <c r="E186" s="97" t="str">
        <f t="shared" si="21"/>
        <v>4402748120004</v>
      </c>
      <c r="F186" s="97" t="b">
        <f t="shared" si="24"/>
        <v>0</v>
      </c>
      <c r="G186" s="285">
        <f t="shared" si="25"/>
        <v>42004</v>
      </c>
      <c r="H186" s="13">
        <v>258</v>
      </c>
      <c r="I186" s="97">
        <f t="shared" si="22"/>
        <v>2014</v>
      </c>
      <c r="J186" s="90"/>
      <c r="K186" s="90"/>
      <c r="L186" s="90">
        <f t="shared" ca="1" si="26"/>
        <v>13167</v>
      </c>
      <c r="M186" s="90">
        <f t="shared" ca="1" si="27"/>
        <v>64511</v>
      </c>
    </row>
    <row r="187" spans="1:13" x14ac:dyDescent="0.2">
      <c r="A187" s="216">
        <v>191</v>
      </c>
      <c r="B187" s="217" t="s">
        <v>966</v>
      </c>
      <c r="C187" s="97">
        <f t="shared" si="23"/>
        <v>4</v>
      </c>
      <c r="D187" s="97" t="str">
        <f t="shared" si="20"/>
        <v>11029752</v>
      </c>
      <c r="E187" s="97" t="str">
        <f t="shared" si="21"/>
        <v>4402748120004</v>
      </c>
      <c r="F187" s="97" t="b">
        <f t="shared" si="24"/>
        <v>0</v>
      </c>
      <c r="G187" s="285">
        <f t="shared" si="25"/>
        <v>42004</v>
      </c>
      <c r="H187" s="13">
        <v>259</v>
      </c>
      <c r="I187" s="97">
        <f t="shared" si="22"/>
        <v>2014</v>
      </c>
      <c r="J187" s="90"/>
      <c r="K187" s="90"/>
      <c r="L187" s="90" t="str">
        <f t="shared" ca="1" si="26"/>
        <v/>
      </c>
      <c r="M187" s="90" t="str">
        <f t="shared" ca="1" si="27"/>
        <v/>
      </c>
    </row>
    <row r="188" spans="1:13" x14ac:dyDescent="0.2">
      <c r="A188" s="216">
        <v>192</v>
      </c>
      <c r="B188" s="217" t="s">
        <v>966</v>
      </c>
      <c r="C188" s="97">
        <f t="shared" si="23"/>
        <v>4</v>
      </c>
      <c r="D188" s="97" t="str">
        <f t="shared" si="20"/>
        <v>11029752</v>
      </c>
      <c r="E188" s="97" t="str">
        <f t="shared" si="21"/>
        <v>4402748120004</v>
      </c>
      <c r="F188" s="97" t="b">
        <f t="shared" si="24"/>
        <v>0</v>
      </c>
      <c r="G188" s="285">
        <f t="shared" si="25"/>
        <v>42004</v>
      </c>
      <c r="H188" s="13">
        <v>260</v>
      </c>
      <c r="I188" s="97">
        <f t="shared" si="22"/>
        <v>2014</v>
      </c>
      <c r="J188" s="90"/>
      <c r="K188" s="90"/>
      <c r="L188" s="90" t="str">
        <f t="shared" ca="1" si="26"/>
        <v/>
      </c>
      <c r="M188" s="90" t="str">
        <f t="shared" ca="1" si="27"/>
        <v/>
      </c>
    </row>
    <row r="189" spans="1:13" x14ac:dyDescent="0.2">
      <c r="A189" s="216">
        <v>193</v>
      </c>
      <c r="B189" s="217" t="s">
        <v>966</v>
      </c>
      <c r="C189" s="97">
        <f t="shared" si="23"/>
        <v>4</v>
      </c>
      <c r="D189" s="97" t="str">
        <f t="shared" si="20"/>
        <v>11029752</v>
      </c>
      <c r="E189" s="97" t="str">
        <f t="shared" si="21"/>
        <v>4402748120004</v>
      </c>
      <c r="F189" s="97" t="b">
        <f t="shared" si="24"/>
        <v>0</v>
      </c>
      <c r="G189" s="285">
        <f t="shared" si="25"/>
        <v>42004</v>
      </c>
      <c r="H189" s="13">
        <v>261</v>
      </c>
      <c r="I189" s="97">
        <f t="shared" si="22"/>
        <v>2014</v>
      </c>
      <c r="J189" s="90"/>
      <c r="K189" s="90"/>
      <c r="L189" s="90" t="str">
        <f t="shared" ca="1" si="26"/>
        <v/>
      </c>
      <c r="M189" s="90" t="str">
        <f t="shared" ca="1" si="27"/>
        <v/>
      </c>
    </row>
    <row r="190" spans="1:13" x14ac:dyDescent="0.2">
      <c r="A190" s="216">
        <v>194</v>
      </c>
      <c r="B190" s="217" t="s">
        <v>966</v>
      </c>
      <c r="C190" s="97">
        <f t="shared" si="23"/>
        <v>4</v>
      </c>
      <c r="D190" s="97" t="str">
        <f t="shared" si="20"/>
        <v>11029752</v>
      </c>
      <c r="E190" s="97" t="str">
        <f t="shared" si="21"/>
        <v>4402748120004</v>
      </c>
      <c r="F190" s="97" t="b">
        <f t="shared" si="24"/>
        <v>0</v>
      </c>
      <c r="G190" s="285">
        <f t="shared" si="25"/>
        <v>42004</v>
      </c>
      <c r="H190" s="13">
        <v>262</v>
      </c>
      <c r="I190" s="97">
        <f t="shared" si="22"/>
        <v>2014</v>
      </c>
      <c r="J190" s="90"/>
      <c r="K190" s="90"/>
      <c r="L190" s="90" t="str">
        <f t="shared" ca="1" si="26"/>
        <v/>
      </c>
      <c r="M190" s="90" t="str">
        <f t="shared" ca="1" si="27"/>
        <v/>
      </c>
    </row>
    <row r="191" spans="1:13" x14ac:dyDescent="0.2">
      <c r="A191" s="216">
        <v>195</v>
      </c>
      <c r="B191" s="217" t="s">
        <v>966</v>
      </c>
      <c r="C191" s="97">
        <f t="shared" si="23"/>
        <v>4</v>
      </c>
      <c r="D191" s="97" t="str">
        <f t="shared" si="20"/>
        <v>11029752</v>
      </c>
      <c r="E191" s="97" t="str">
        <f t="shared" si="21"/>
        <v>4402748120004</v>
      </c>
      <c r="F191" s="97" t="b">
        <f t="shared" si="24"/>
        <v>0</v>
      </c>
      <c r="G191" s="285">
        <f t="shared" si="25"/>
        <v>42004</v>
      </c>
      <c r="H191" s="13">
        <v>263</v>
      </c>
      <c r="I191" s="97">
        <f t="shared" si="22"/>
        <v>2014</v>
      </c>
      <c r="J191" s="90"/>
      <c r="K191" s="90"/>
      <c r="L191" s="90" t="str">
        <f t="shared" ca="1" si="26"/>
        <v/>
      </c>
      <c r="M191" s="90" t="str">
        <f t="shared" ca="1" si="27"/>
        <v/>
      </c>
    </row>
    <row r="192" spans="1:13" x14ac:dyDescent="0.2">
      <c r="A192" s="216">
        <v>196</v>
      </c>
      <c r="B192" s="217" t="s">
        <v>966</v>
      </c>
      <c r="C192" s="97">
        <f t="shared" si="23"/>
        <v>4</v>
      </c>
      <c r="D192" s="97" t="str">
        <f t="shared" si="20"/>
        <v>11029752</v>
      </c>
      <c r="E192" s="97" t="str">
        <f t="shared" si="21"/>
        <v>4402748120004</v>
      </c>
      <c r="F192" s="97" t="b">
        <f t="shared" si="24"/>
        <v>0</v>
      </c>
      <c r="G192" s="285">
        <f t="shared" si="25"/>
        <v>42004</v>
      </c>
      <c r="H192" s="13">
        <v>264</v>
      </c>
      <c r="I192" s="97">
        <f t="shared" si="22"/>
        <v>2014</v>
      </c>
      <c r="J192" s="90"/>
      <c r="K192" s="90"/>
      <c r="L192" s="90">
        <f t="shared" ca="1" si="26"/>
        <v>32</v>
      </c>
      <c r="M192" s="90">
        <f t="shared" ca="1" si="27"/>
        <v>1681</v>
      </c>
    </row>
    <row r="193" spans="1:13" x14ac:dyDescent="0.2">
      <c r="A193" s="216">
        <v>197</v>
      </c>
      <c r="B193" s="217" t="s">
        <v>966</v>
      </c>
      <c r="C193" s="97">
        <f t="shared" si="23"/>
        <v>4</v>
      </c>
      <c r="D193" s="97" t="str">
        <f t="shared" ref="D193:D256" si="28">Podatak_MB</f>
        <v>11029752</v>
      </c>
      <c r="E193" s="97" t="str">
        <f t="shared" ref="E193:E256" si="29">Podatak_JIB</f>
        <v>4402748120004</v>
      </c>
      <c r="F193" s="97" t="b">
        <f t="shared" si="24"/>
        <v>0</v>
      </c>
      <c r="G193" s="285">
        <f t="shared" si="25"/>
        <v>42004</v>
      </c>
      <c r="H193" s="13">
        <v>265</v>
      </c>
      <c r="I193" s="97">
        <f t="shared" ref="I193:I256" si="30">Godina</f>
        <v>2014</v>
      </c>
      <c r="J193" s="90"/>
      <c r="K193" s="90"/>
      <c r="L193" s="90" t="str">
        <f t="shared" ca="1" si="26"/>
        <v/>
      </c>
      <c r="M193" s="90" t="str">
        <f t="shared" ca="1" si="27"/>
        <v/>
      </c>
    </row>
    <row r="194" spans="1:13" x14ac:dyDescent="0.2">
      <c r="A194" s="216">
        <v>198</v>
      </c>
      <c r="B194" s="217" t="s">
        <v>966</v>
      </c>
      <c r="C194" s="97">
        <f t="shared" ref="C194:C257" si="31">ID_Izvjestaj</f>
        <v>4</v>
      </c>
      <c r="D194" s="97" t="str">
        <f t="shared" si="28"/>
        <v>11029752</v>
      </c>
      <c r="E194" s="97" t="str">
        <f t="shared" si="29"/>
        <v>4402748120004</v>
      </c>
      <c r="F194" s="97" t="b">
        <f t="shared" ref="F194:F257" si="32">Konsolidovan_izvjestaj</f>
        <v>0</v>
      </c>
      <c r="G194" s="285">
        <f t="shared" ref="G194:G257" si="33">Datum_Broj</f>
        <v>42004</v>
      </c>
      <c r="H194" s="13">
        <v>266</v>
      </c>
      <c r="I194" s="97">
        <f t="shared" si="30"/>
        <v>2014</v>
      </c>
      <c r="J194" s="90"/>
      <c r="K194" s="90"/>
      <c r="L194" s="90" t="str">
        <f t="shared" ref="L194:L257" ca="1" si="34">IF(VLOOKUP($H194,INDIRECT("Lookup_"&amp;$B194),IF($B194="BS",R$2,R$1),0)="","",VLOOKUP($H194,INDIRECT("Lookup_"&amp;$B194),IF($B194="BS",R$2,R$1),0))</f>
        <v/>
      </c>
      <c r="M194" s="90">
        <f t="shared" ref="M194:M257" ca="1" si="35">IF(VLOOKUP($H194,INDIRECT("Lookup_"&amp;$B194),IF($B194="BS",S$2,S$1),0)="","",VLOOKUP($H194,INDIRECT("Lookup_"&amp;$B194),IF($B194="BS",S$2,S$1),0))</f>
        <v>136460</v>
      </c>
    </row>
    <row r="195" spans="1:13" x14ac:dyDescent="0.2">
      <c r="A195" s="216">
        <v>199</v>
      </c>
      <c r="B195" s="217" t="s">
        <v>966</v>
      </c>
      <c r="C195" s="97">
        <f t="shared" si="31"/>
        <v>4</v>
      </c>
      <c r="D195" s="97" t="str">
        <f t="shared" si="28"/>
        <v>11029752</v>
      </c>
      <c r="E195" s="97" t="str">
        <f t="shared" si="29"/>
        <v>4402748120004</v>
      </c>
      <c r="F195" s="97" t="b">
        <f t="shared" si="32"/>
        <v>0</v>
      </c>
      <c r="G195" s="285">
        <f t="shared" si="33"/>
        <v>42004</v>
      </c>
      <c r="H195" s="13">
        <v>267</v>
      </c>
      <c r="I195" s="97">
        <f t="shared" si="30"/>
        <v>2014</v>
      </c>
      <c r="J195" s="90"/>
      <c r="K195" s="90"/>
      <c r="L195" s="90">
        <f t="shared" ca="1" si="34"/>
        <v>28267</v>
      </c>
      <c r="M195" s="90">
        <f t="shared" ca="1" si="35"/>
        <v>21804</v>
      </c>
    </row>
    <row r="196" spans="1:13" x14ac:dyDescent="0.2">
      <c r="A196" s="216">
        <v>200</v>
      </c>
      <c r="B196" s="217" t="s">
        <v>966</v>
      </c>
      <c r="C196" s="97">
        <f t="shared" si="31"/>
        <v>4</v>
      </c>
      <c r="D196" s="97" t="str">
        <f t="shared" si="28"/>
        <v>11029752</v>
      </c>
      <c r="E196" s="97" t="str">
        <f t="shared" si="29"/>
        <v>4402748120004</v>
      </c>
      <c r="F196" s="97" t="b">
        <f t="shared" si="32"/>
        <v>0</v>
      </c>
      <c r="G196" s="285">
        <f t="shared" si="33"/>
        <v>42004</v>
      </c>
      <c r="H196" s="13">
        <v>268</v>
      </c>
      <c r="I196" s="97">
        <f t="shared" si="30"/>
        <v>2014</v>
      </c>
      <c r="J196" s="90"/>
      <c r="K196" s="90"/>
      <c r="L196" s="90">
        <f t="shared" ca="1" si="34"/>
        <v>6803</v>
      </c>
      <c r="M196" s="90">
        <f t="shared" ca="1" si="35"/>
        <v>305791</v>
      </c>
    </row>
    <row r="197" spans="1:13" x14ac:dyDescent="0.2">
      <c r="A197" s="216">
        <v>201</v>
      </c>
      <c r="B197" s="217" t="s">
        <v>966</v>
      </c>
      <c r="C197" s="97">
        <f t="shared" si="31"/>
        <v>4</v>
      </c>
      <c r="D197" s="97" t="str">
        <f t="shared" si="28"/>
        <v>11029752</v>
      </c>
      <c r="E197" s="97" t="str">
        <f t="shared" si="29"/>
        <v>4402748120004</v>
      </c>
      <c r="F197" s="97" t="b">
        <f t="shared" si="32"/>
        <v>0</v>
      </c>
      <c r="G197" s="285">
        <f t="shared" si="33"/>
        <v>42004</v>
      </c>
      <c r="H197" s="13">
        <v>269</v>
      </c>
      <c r="I197" s="97">
        <f t="shared" si="30"/>
        <v>2014</v>
      </c>
      <c r="J197" s="90"/>
      <c r="K197" s="90"/>
      <c r="L197" s="90">
        <f t="shared" ca="1" si="34"/>
        <v>0</v>
      </c>
      <c r="M197" s="90">
        <f t="shared" ca="1" si="35"/>
        <v>0</v>
      </c>
    </row>
    <row r="198" spans="1:13" x14ac:dyDescent="0.2">
      <c r="A198" s="216">
        <v>203</v>
      </c>
      <c r="B198" s="217" t="s">
        <v>966</v>
      </c>
      <c r="C198" s="97">
        <f t="shared" si="31"/>
        <v>4</v>
      </c>
      <c r="D198" s="97" t="str">
        <f t="shared" si="28"/>
        <v>11029752</v>
      </c>
      <c r="E198" s="97" t="str">
        <f t="shared" si="29"/>
        <v>4402748120004</v>
      </c>
      <c r="F198" s="97" t="b">
        <f t="shared" si="32"/>
        <v>0</v>
      </c>
      <c r="G198" s="285">
        <f t="shared" si="33"/>
        <v>42004</v>
      </c>
      <c r="H198" s="13">
        <v>270</v>
      </c>
      <c r="I198" s="97">
        <f t="shared" si="30"/>
        <v>2014</v>
      </c>
      <c r="J198" s="90"/>
      <c r="K198" s="90"/>
      <c r="L198" s="90">
        <f t="shared" ca="1" si="34"/>
        <v>0</v>
      </c>
      <c r="M198" s="90">
        <f t="shared" ca="1" si="35"/>
        <v>5711</v>
      </c>
    </row>
    <row r="199" spans="1:13" x14ac:dyDescent="0.2">
      <c r="A199" s="216">
        <v>204</v>
      </c>
      <c r="B199" s="217" t="s">
        <v>966</v>
      </c>
      <c r="C199" s="97">
        <f t="shared" si="31"/>
        <v>4</v>
      </c>
      <c r="D199" s="97" t="str">
        <f t="shared" si="28"/>
        <v>11029752</v>
      </c>
      <c r="E199" s="97" t="str">
        <f t="shared" si="29"/>
        <v>4402748120004</v>
      </c>
      <c r="F199" s="97" t="b">
        <f t="shared" si="32"/>
        <v>0</v>
      </c>
      <c r="G199" s="285">
        <f t="shared" si="33"/>
        <v>42004</v>
      </c>
      <c r="H199" s="13">
        <v>271</v>
      </c>
      <c r="I199" s="97">
        <f t="shared" si="30"/>
        <v>2014</v>
      </c>
      <c r="J199" s="90"/>
      <c r="K199" s="90"/>
      <c r="L199" s="90" t="str">
        <f t="shared" ca="1" si="34"/>
        <v/>
      </c>
      <c r="M199" s="90" t="str">
        <f t="shared" ca="1" si="35"/>
        <v/>
      </c>
    </row>
    <row r="200" spans="1:13" x14ac:dyDescent="0.2">
      <c r="A200" s="216">
        <v>205</v>
      </c>
      <c r="B200" s="217" t="s">
        <v>966</v>
      </c>
      <c r="C200" s="97">
        <f t="shared" si="31"/>
        <v>4</v>
      </c>
      <c r="D200" s="97" t="str">
        <f t="shared" si="28"/>
        <v>11029752</v>
      </c>
      <c r="E200" s="97" t="str">
        <f t="shared" si="29"/>
        <v>4402748120004</v>
      </c>
      <c r="F200" s="97" t="b">
        <f t="shared" si="32"/>
        <v>0</v>
      </c>
      <c r="G200" s="285">
        <f t="shared" si="33"/>
        <v>42004</v>
      </c>
      <c r="H200" s="13">
        <v>272</v>
      </c>
      <c r="I200" s="97">
        <f t="shared" si="30"/>
        <v>2014</v>
      </c>
      <c r="J200" s="90"/>
      <c r="K200" s="90"/>
      <c r="L200" s="90" t="str">
        <f t="shared" ca="1" si="34"/>
        <v/>
      </c>
      <c r="M200" s="90" t="str">
        <f t="shared" ca="1" si="35"/>
        <v/>
      </c>
    </row>
    <row r="201" spans="1:13" x14ac:dyDescent="0.2">
      <c r="A201" s="216">
        <v>206</v>
      </c>
      <c r="B201" s="217" t="s">
        <v>966</v>
      </c>
      <c r="C201" s="97">
        <f t="shared" si="31"/>
        <v>4</v>
      </c>
      <c r="D201" s="97" t="str">
        <f t="shared" si="28"/>
        <v>11029752</v>
      </c>
      <c r="E201" s="97" t="str">
        <f t="shared" si="29"/>
        <v>4402748120004</v>
      </c>
      <c r="F201" s="97" t="b">
        <f t="shared" si="32"/>
        <v>0</v>
      </c>
      <c r="G201" s="285">
        <f t="shared" si="33"/>
        <v>42004</v>
      </c>
      <c r="H201" s="13">
        <v>273</v>
      </c>
      <c r="I201" s="97">
        <f t="shared" si="30"/>
        <v>2014</v>
      </c>
      <c r="J201" s="90"/>
      <c r="K201" s="90"/>
      <c r="L201" s="90" t="str">
        <f t="shared" ca="1" si="34"/>
        <v/>
      </c>
      <c r="M201" s="90" t="str">
        <f t="shared" ca="1" si="35"/>
        <v/>
      </c>
    </row>
    <row r="202" spans="1:13" x14ac:dyDescent="0.2">
      <c r="A202" s="216">
        <v>207</v>
      </c>
      <c r="B202" s="217" t="s">
        <v>966</v>
      </c>
      <c r="C202" s="97">
        <f t="shared" si="31"/>
        <v>4</v>
      </c>
      <c r="D202" s="97" t="str">
        <f t="shared" si="28"/>
        <v>11029752</v>
      </c>
      <c r="E202" s="97" t="str">
        <f t="shared" si="29"/>
        <v>4402748120004</v>
      </c>
      <c r="F202" s="97" t="b">
        <f t="shared" si="32"/>
        <v>0</v>
      </c>
      <c r="G202" s="285">
        <f t="shared" si="33"/>
        <v>42004</v>
      </c>
      <c r="H202" s="13">
        <v>274</v>
      </c>
      <c r="I202" s="97">
        <f t="shared" si="30"/>
        <v>2014</v>
      </c>
      <c r="J202" s="90"/>
      <c r="K202" s="90"/>
      <c r="L202" s="90" t="str">
        <f t="shared" ca="1" si="34"/>
        <v/>
      </c>
      <c r="M202" s="90" t="str">
        <f t="shared" ca="1" si="35"/>
        <v/>
      </c>
    </row>
    <row r="203" spans="1:13" x14ac:dyDescent="0.2">
      <c r="A203" s="216">
        <v>208</v>
      </c>
      <c r="B203" s="217" t="s">
        <v>966</v>
      </c>
      <c r="C203" s="97">
        <f t="shared" si="31"/>
        <v>4</v>
      </c>
      <c r="D203" s="97" t="str">
        <f t="shared" si="28"/>
        <v>11029752</v>
      </c>
      <c r="E203" s="97" t="str">
        <f t="shared" si="29"/>
        <v>4402748120004</v>
      </c>
      <c r="F203" s="97" t="b">
        <f t="shared" si="32"/>
        <v>0</v>
      </c>
      <c r="G203" s="285">
        <f t="shared" si="33"/>
        <v>42004</v>
      </c>
      <c r="H203" s="13">
        <v>275</v>
      </c>
      <c r="I203" s="97">
        <f t="shared" si="30"/>
        <v>2014</v>
      </c>
      <c r="J203" s="90"/>
      <c r="K203" s="90"/>
      <c r="L203" s="90" t="str">
        <f t="shared" ca="1" si="34"/>
        <v/>
      </c>
      <c r="M203" s="90" t="str">
        <f t="shared" ca="1" si="35"/>
        <v/>
      </c>
    </row>
    <row r="204" spans="1:13" x14ac:dyDescent="0.2">
      <c r="A204" s="216">
        <v>209</v>
      </c>
      <c r="B204" s="217" t="s">
        <v>966</v>
      </c>
      <c r="C204" s="97">
        <f t="shared" si="31"/>
        <v>4</v>
      </c>
      <c r="D204" s="97" t="str">
        <f t="shared" si="28"/>
        <v>11029752</v>
      </c>
      <c r="E204" s="97" t="str">
        <f t="shared" si="29"/>
        <v>4402748120004</v>
      </c>
      <c r="F204" s="97" t="b">
        <f t="shared" si="32"/>
        <v>0</v>
      </c>
      <c r="G204" s="285">
        <f t="shared" si="33"/>
        <v>42004</v>
      </c>
      <c r="H204" s="13">
        <v>276</v>
      </c>
      <c r="I204" s="97">
        <f t="shared" si="30"/>
        <v>2014</v>
      </c>
      <c r="J204" s="90"/>
      <c r="K204" s="90"/>
      <c r="L204" s="90" t="str">
        <f t="shared" ca="1" si="34"/>
        <v/>
      </c>
      <c r="M204" s="90">
        <f t="shared" ca="1" si="35"/>
        <v>5711</v>
      </c>
    </row>
    <row r="205" spans="1:13" x14ac:dyDescent="0.2">
      <c r="A205" s="216">
        <v>210</v>
      </c>
      <c r="B205" s="217" t="s">
        <v>966</v>
      </c>
      <c r="C205" s="97">
        <f t="shared" si="31"/>
        <v>4</v>
      </c>
      <c r="D205" s="97" t="str">
        <f t="shared" si="28"/>
        <v>11029752</v>
      </c>
      <c r="E205" s="97" t="str">
        <f t="shared" si="29"/>
        <v>4402748120004</v>
      </c>
      <c r="F205" s="97" t="b">
        <f t="shared" si="32"/>
        <v>0</v>
      </c>
      <c r="G205" s="285">
        <f t="shared" si="33"/>
        <v>42004</v>
      </c>
      <c r="H205" s="13">
        <v>277</v>
      </c>
      <c r="I205" s="97">
        <f t="shared" si="30"/>
        <v>2014</v>
      </c>
      <c r="J205" s="90"/>
      <c r="K205" s="90"/>
      <c r="L205" s="90" t="str">
        <f t="shared" ca="1" si="34"/>
        <v/>
      </c>
      <c r="M205" s="90" t="str">
        <f t="shared" ca="1" si="35"/>
        <v/>
      </c>
    </row>
    <row r="206" spans="1:13" x14ac:dyDescent="0.2">
      <c r="A206" s="216">
        <v>211</v>
      </c>
      <c r="B206" s="217" t="s">
        <v>966</v>
      </c>
      <c r="C206" s="97">
        <f t="shared" si="31"/>
        <v>4</v>
      </c>
      <c r="D206" s="97" t="str">
        <f t="shared" si="28"/>
        <v>11029752</v>
      </c>
      <c r="E206" s="97" t="str">
        <f t="shared" si="29"/>
        <v>4402748120004</v>
      </c>
      <c r="F206" s="97" t="b">
        <f t="shared" si="32"/>
        <v>0</v>
      </c>
      <c r="G206" s="285">
        <f t="shared" si="33"/>
        <v>42004</v>
      </c>
      <c r="H206" s="13">
        <v>278</v>
      </c>
      <c r="I206" s="97">
        <f t="shared" si="30"/>
        <v>2014</v>
      </c>
      <c r="J206" s="90"/>
      <c r="K206" s="90"/>
      <c r="L206" s="90" t="str">
        <f t="shared" ca="1" si="34"/>
        <v/>
      </c>
      <c r="M206" s="90" t="str">
        <f t="shared" ca="1" si="35"/>
        <v/>
      </c>
    </row>
    <row r="207" spans="1:13" x14ac:dyDescent="0.2">
      <c r="A207" s="216">
        <v>212</v>
      </c>
      <c r="B207" s="217" t="s">
        <v>966</v>
      </c>
      <c r="C207" s="97">
        <f t="shared" si="31"/>
        <v>4</v>
      </c>
      <c r="D207" s="97" t="str">
        <f t="shared" si="28"/>
        <v>11029752</v>
      </c>
      <c r="E207" s="97" t="str">
        <f t="shared" si="29"/>
        <v>4402748120004</v>
      </c>
      <c r="F207" s="97" t="b">
        <f t="shared" si="32"/>
        <v>0</v>
      </c>
      <c r="G207" s="285">
        <f t="shared" si="33"/>
        <v>42004</v>
      </c>
      <c r="H207" s="13">
        <v>279</v>
      </c>
      <c r="I207" s="97">
        <f t="shared" si="30"/>
        <v>2014</v>
      </c>
      <c r="J207" s="90"/>
      <c r="K207" s="90"/>
      <c r="L207" s="90" t="str">
        <f t="shared" ca="1" si="34"/>
        <v/>
      </c>
      <c r="M207" s="90" t="str">
        <f t="shared" ca="1" si="35"/>
        <v/>
      </c>
    </row>
    <row r="208" spans="1:13" x14ac:dyDescent="0.2">
      <c r="A208" s="216">
        <v>213</v>
      </c>
      <c r="B208" s="217" t="s">
        <v>966</v>
      </c>
      <c r="C208" s="97">
        <f t="shared" si="31"/>
        <v>4</v>
      </c>
      <c r="D208" s="97" t="str">
        <f t="shared" si="28"/>
        <v>11029752</v>
      </c>
      <c r="E208" s="97" t="str">
        <f t="shared" si="29"/>
        <v>4402748120004</v>
      </c>
      <c r="F208" s="97" t="b">
        <f t="shared" si="32"/>
        <v>0</v>
      </c>
      <c r="G208" s="285">
        <f t="shared" si="33"/>
        <v>42004</v>
      </c>
      <c r="H208" s="13">
        <v>280</v>
      </c>
      <c r="I208" s="97">
        <f t="shared" si="30"/>
        <v>2014</v>
      </c>
      <c r="J208" s="90"/>
      <c r="K208" s="90"/>
      <c r="L208" s="90">
        <f t="shared" ca="1" si="34"/>
        <v>0</v>
      </c>
      <c r="M208" s="90">
        <f t="shared" ca="1" si="35"/>
        <v>0</v>
      </c>
    </row>
    <row r="209" spans="1:13" x14ac:dyDescent="0.2">
      <c r="A209" s="216">
        <v>214</v>
      </c>
      <c r="B209" s="217" t="s">
        <v>966</v>
      </c>
      <c r="C209" s="97">
        <f t="shared" si="31"/>
        <v>4</v>
      </c>
      <c r="D209" s="97" t="str">
        <f t="shared" si="28"/>
        <v>11029752</v>
      </c>
      <c r="E209" s="97" t="str">
        <f t="shared" si="29"/>
        <v>4402748120004</v>
      </c>
      <c r="F209" s="97" t="b">
        <f t="shared" si="32"/>
        <v>0</v>
      </c>
      <c r="G209" s="285">
        <f t="shared" si="33"/>
        <v>42004</v>
      </c>
      <c r="H209" s="13">
        <v>281</v>
      </c>
      <c r="I209" s="97">
        <f t="shared" si="30"/>
        <v>2014</v>
      </c>
      <c r="J209" s="90"/>
      <c r="K209" s="90"/>
      <c r="L209" s="90" t="str">
        <f t="shared" ca="1" si="34"/>
        <v/>
      </c>
      <c r="M209" s="90" t="str">
        <f t="shared" ca="1" si="35"/>
        <v/>
      </c>
    </row>
    <row r="210" spans="1:13" x14ac:dyDescent="0.2">
      <c r="A210" s="216">
        <v>215</v>
      </c>
      <c r="B210" s="217" t="s">
        <v>966</v>
      </c>
      <c r="C210" s="97">
        <f t="shared" si="31"/>
        <v>4</v>
      </c>
      <c r="D210" s="97" t="str">
        <f t="shared" si="28"/>
        <v>11029752</v>
      </c>
      <c r="E210" s="97" t="str">
        <f t="shared" si="29"/>
        <v>4402748120004</v>
      </c>
      <c r="F210" s="97" t="b">
        <f t="shared" si="32"/>
        <v>0</v>
      </c>
      <c r="G210" s="285">
        <f t="shared" si="33"/>
        <v>42004</v>
      </c>
      <c r="H210" s="13">
        <v>282</v>
      </c>
      <c r="I210" s="97">
        <f t="shared" si="30"/>
        <v>2014</v>
      </c>
      <c r="J210" s="90"/>
      <c r="K210" s="90"/>
      <c r="L210" s="90" t="str">
        <f t="shared" ca="1" si="34"/>
        <v/>
      </c>
      <c r="M210" s="90" t="str">
        <f t="shared" ca="1" si="35"/>
        <v/>
      </c>
    </row>
    <row r="211" spans="1:13" x14ac:dyDescent="0.2">
      <c r="A211" s="216">
        <v>216</v>
      </c>
      <c r="B211" s="217" t="s">
        <v>966</v>
      </c>
      <c r="C211" s="97">
        <f t="shared" si="31"/>
        <v>4</v>
      </c>
      <c r="D211" s="97" t="str">
        <f t="shared" si="28"/>
        <v>11029752</v>
      </c>
      <c r="E211" s="97" t="str">
        <f t="shared" si="29"/>
        <v>4402748120004</v>
      </c>
      <c r="F211" s="97" t="b">
        <f t="shared" si="32"/>
        <v>0</v>
      </c>
      <c r="G211" s="285">
        <f t="shared" si="33"/>
        <v>42004</v>
      </c>
      <c r="H211" s="13">
        <v>283</v>
      </c>
      <c r="I211" s="97">
        <f t="shared" si="30"/>
        <v>2014</v>
      </c>
      <c r="J211" s="90"/>
      <c r="K211" s="90"/>
      <c r="L211" s="90" t="str">
        <f t="shared" ca="1" si="34"/>
        <v/>
      </c>
      <c r="M211" s="90" t="str">
        <f t="shared" ca="1" si="35"/>
        <v/>
      </c>
    </row>
    <row r="212" spans="1:13" x14ac:dyDescent="0.2">
      <c r="A212" s="216">
        <v>217</v>
      </c>
      <c r="B212" s="217" t="s">
        <v>966</v>
      </c>
      <c r="C212" s="97">
        <f t="shared" si="31"/>
        <v>4</v>
      </c>
      <c r="D212" s="97" t="str">
        <f t="shared" si="28"/>
        <v>11029752</v>
      </c>
      <c r="E212" s="97" t="str">
        <f t="shared" si="29"/>
        <v>4402748120004</v>
      </c>
      <c r="F212" s="97" t="b">
        <f t="shared" si="32"/>
        <v>0</v>
      </c>
      <c r="G212" s="285">
        <f t="shared" si="33"/>
        <v>42004</v>
      </c>
      <c r="H212" s="13">
        <v>284</v>
      </c>
      <c r="I212" s="97">
        <f t="shared" si="30"/>
        <v>2014</v>
      </c>
      <c r="J212" s="90"/>
      <c r="K212" s="90"/>
      <c r="L212" s="90" t="str">
        <f t="shared" ca="1" si="34"/>
        <v/>
      </c>
      <c r="M212" s="90" t="str">
        <f t="shared" ca="1" si="35"/>
        <v/>
      </c>
    </row>
    <row r="213" spans="1:13" x14ac:dyDescent="0.2">
      <c r="A213" s="216">
        <v>218</v>
      </c>
      <c r="B213" s="217" t="s">
        <v>966</v>
      </c>
      <c r="C213" s="97">
        <f t="shared" si="31"/>
        <v>4</v>
      </c>
      <c r="D213" s="97" t="str">
        <f t="shared" si="28"/>
        <v>11029752</v>
      </c>
      <c r="E213" s="97" t="str">
        <f t="shared" si="29"/>
        <v>4402748120004</v>
      </c>
      <c r="F213" s="97" t="b">
        <f t="shared" si="32"/>
        <v>0</v>
      </c>
      <c r="G213" s="285">
        <f t="shared" si="33"/>
        <v>42004</v>
      </c>
      <c r="H213" s="13">
        <v>285</v>
      </c>
      <c r="I213" s="97">
        <f t="shared" si="30"/>
        <v>2014</v>
      </c>
      <c r="J213" s="90"/>
      <c r="K213" s="90"/>
      <c r="L213" s="90" t="str">
        <f t="shared" ca="1" si="34"/>
        <v/>
      </c>
      <c r="M213" s="90" t="str">
        <f t="shared" ca="1" si="35"/>
        <v/>
      </c>
    </row>
    <row r="214" spans="1:13" x14ac:dyDescent="0.2">
      <c r="A214" s="216">
        <v>219</v>
      </c>
      <c r="B214" s="217" t="s">
        <v>966</v>
      </c>
      <c r="C214" s="97">
        <f t="shared" si="31"/>
        <v>4</v>
      </c>
      <c r="D214" s="97" t="str">
        <f t="shared" si="28"/>
        <v>11029752</v>
      </c>
      <c r="E214" s="97" t="str">
        <f t="shared" si="29"/>
        <v>4402748120004</v>
      </c>
      <c r="F214" s="97" t="b">
        <f t="shared" si="32"/>
        <v>0</v>
      </c>
      <c r="G214" s="285">
        <f t="shared" si="33"/>
        <v>42004</v>
      </c>
      <c r="H214" s="13">
        <v>286</v>
      </c>
      <c r="I214" s="97">
        <f t="shared" si="30"/>
        <v>2014</v>
      </c>
      <c r="J214" s="90"/>
      <c r="K214" s="90"/>
      <c r="L214" s="90" t="str">
        <f t="shared" ca="1" si="34"/>
        <v/>
      </c>
      <c r="M214" s="90" t="str">
        <f t="shared" ca="1" si="35"/>
        <v/>
      </c>
    </row>
    <row r="215" spans="1:13" x14ac:dyDescent="0.2">
      <c r="A215" s="216">
        <v>220</v>
      </c>
      <c r="B215" s="217" t="s">
        <v>966</v>
      </c>
      <c r="C215" s="97">
        <f t="shared" si="31"/>
        <v>4</v>
      </c>
      <c r="D215" s="97" t="str">
        <f t="shared" si="28"/>
        <v>11029752</v>
      </c>
      <c r="E215" s="97" t="str">
        <f t="shared" si="29"/>
        <v>4402748120004</v>
      </c>
      <c r="F215" s="97" t="b">
        <f t="shared" si="32"/>
        <v>0</v>
      </c>
      <c r="G215" s="285">
        <f t="shared" si="33"/>
        <v>42004</v>
      </c>
      <c r="H215" s="13">
        <v>287</v>
      </c>
      <c r="I215" s="97">
        <f t="shared" si="30"/>
        <v>2014</v>
      </c>
      <c r="J215" s="90"/>
      <c r="K215" s="90"/>
      <c r="L215" s="90" t="str">
        <f t="shared" ca="1" si="34"/>
        <v/>
      </c>
      <c r="M215" s="90" t="str">
        <f t="shared" ca="1" si="35"/>
        <v/>
      </c>
    </row>
    <row r="216" spans="1:13" x14ac:dyDescent="0.2">
      <c r="A216" s="216">
        <v>221</v>
      </c>
      <c r="B216" s="217" t="s">
        <v>966</v>
      </c>
      <c r="C216" s="97">
        <f t="shared" si="31"/>
        <v>4</v>
      </c>
      <c r="D216" s="97" t="str">
        <f t="shared" si="28"/>
        <v>11029752</v>
      </c>
      <c r="E216" s="97" t="str">
        <f t="shared" si="29"/>
        <v>4402748120004</v>
      </c>
      <c r="F216" s="97" t="b">
        <f t="shared" si="32"/>
        <v>0</v>
      </c>
      <c r="G216" s="285">
        <f t="shared" si="33"/>
        <v>42004</v>
      </c>
      <c r="H216" s="13">
        <v>288</v>
      </c>
      <c r="I216" s="97">
        <f t="shared" si="30"/>
        <v>2014</v>
      </c>
      <c r="J216" s="90"/>
      <c r="K216" s="90"/>
      <c r="L216" s="90" t="str">
        <f t="shared" ca="1" si="34"/>
        <v/>
      </c>
      <c r="M216" s="90" t="str">
        <f t="shared" ca="1" si="35"/>
        <v/>
      </c>
    </row>
    <row r="217" spans="1:13" x14ac:dyDescent="0.2">
      <c r="A217" s="216">
        <v>222</v>
      </c>
      <c r="B217" s="217" t="s">
        <v>966</v>
      </c>
      <c r="C217" s="97">
        <f t="shared" si="31"/>
        <v>4</v>
      </c>
      <c r="D217" s="97" t="str">
        <f t="shared" si="28"/>
        <v>11029752</v>
      </c>
      <c r="E217" s="97" t="str">
        <f t="shared" si="29"/>
        <v>4402748120004</v>
      </c>
      <c r="F217" s="97" t="b">
        <f t="shared" si="32"/>
        <v>0</v>
      </c>
      <c r="G217" s="285">
        <f t="shared" si="33"/>
        <v>42004</v>
      </c>
      <c r="H217" s="13">
        <v>289</v>
      </c>
      <c r="I217" s="97">
        <f t="shared" si="30"/>
        <v>2014</v>
      </c>
      <c r="J217" s="90"/>
      <c r="K217" s="90"/>
      <c r="L217" s="90">
        <f t="shared" ca="1" si="34"/>
        <v>0</v>
      </c>
      <c r="M217" s="90">
        <f t="shared" ca="1" si="35"/>
        <v>5711</v>
      </c>
    </row>
    <row r="218" spans="1:13" x14ac:dyDescent="0.2">
      <c r="A218" s="216">
        <v>223</v>
      </c>
      <c r="B218" s="217" t="s">
        <v>966</v>
      </c>
      <c r="C218" s="97">
        <f t="shared" si="31"/>
        <v>4</v>
      </c>
      <c r="D218" s="97" t="str">
        <f t="shared" si="28"/>
        <v>11029752</v>
      </c>
      <c r="E218" s="97" t="str">
        <f t="shared" si="29"/>
        <v>4402748120004</v>
      </c>
      <c r="F218" s="97" t="b">
        <f t="shared" si="32"/>
        <v>0</v>
      </c>
      <c r="G218" s="285">
        <f t="shared" si="33"/>
        <v>42004</v>
      </c>
      <c r="H218" s="13">
        <v>290</v>
      </c>
      <c r="I218" s="97">
        <f t="shared" si="30"/>
        <v>2014</v>
      </c>
      <c r="J218" s="90"/>
      <c r="K218" s="90"/>
      <c r="L218" s="90">
        <f t="shared" ca="1" si="34"/>
        <v>0</v>
      </c>
      <c r="M218" s="90">
        <f t="shared" ca="1" si="35"/>
        <v>0</v>
      </c>
    </row>
    <row r="219" spans="1:13" x14ac:dyDescent="0.2">
      <c r="A219" s="216">
        <v>224</v>
      </c>
      <c r="B219" s="217" t="s">
        <v>966</v>
      </c>
      <c r="C219" s="97">
        <f t="shared" si="31"/>
        <v>4</v>
      </c>
      <c r="D219" s="97" t="str">
        <f t="shared" si="28"/>
        <v>11029752</v>
      </c>
      <c r="E219" s="97" t="str">
        <f t="shared" si="29"/>
        <v>4402748120004</v>
      </c>
      <c r="F219" s="97" t="b">
        <f t="shared" si="32"/>
        <v>0</v>
      </c>
      <c r="G219" s="285">
        <f t="shared" si="33"/>
        <v>42004</v>
      </c>
      <c r="H219" s="13">
        <v>291</v>
      </c>
      <c r="I219" s="97">
        <f t="shared" si="30"/>
        <v>2014</v>
      </c>
      <c r="J219" s="90"/>
      <c r="K219" s="90"/>
      <c r="L219" s="90" t="str">
        <f t="shared" ca="1" si="34"/>
        <v/>
      </c>
      <c r="M219" s="90" t="str">
        <f t="shared" ca="1" si="35"/>
        <v/>
      </c>
    </row>
    <row r="220" spans="1:13" x14ac:dyDescent="0.2">
      <c r="A220" s="216">
        <v>225</v>
      </c>
      <c r="B220" s="217" t="s">
        <v>966</v>
      </c>
      <c r="C220" s="97">
        <f t="shared" si="31"/>
        <v>4</v>
      </c>
      <c r="D220" s="97" t="str">
        <f t="shared" si="28"/>
        <v>11029752</v>
      </c>
      <c r="E220" s="97" t="str">
        <f t="shared" si="29"/>
        <v>4402748120004</v>
      </c>
      <c r="F220" s="97" t="b">
        <f t="shared" si="32"/>
        <v>0</v>
      </c>
      <c r="G220" s="285">
        <f t="shared" si="33"/>
        <v>42004</v>
      </c>
      <c r="H220" s="13">
        <v>292</v>
      </c>
      <c r="I220" s="97">
        <f t="shared" si="30"/>
        <v>2014</v>
      </c>
      <c r="J220" s="90"/>
      <c r="K220" s="90"/>
      <c r="L220" s="90" t="str">
        <f t="shared" ca="1" si="34"/>
        <v/>
      </c>
      <c r="M220" s="90" t="str">
        <f t="shared" ca="1" si="35"/>
        <v/>
      </c>
    </row>
    <row r="221" spans="1:13" x14ac:dyDescent="0.2">
      <c r="A221" s="216">
        <v>227</v>
      </c>
      <c r="B221" s="217" t="s">
        <v>966</v>
      </c>
      <c r="C221" s="97">
        <f t="shared" si="31"/>
        <v>4</v>
      </c>
      <c r="D221" s="97" t="str">
        <f t="shared" si="28"/>
        <v>11029752</v>
      </c>
      <c r="E221" s="97" t="str">
        <f t="shared" si="29"/>
        <v>4402748120004</v>
      </c>
      <c r="F221" s="97" t="b">
        <f t="shared" si="32"/>
        <v>0</v>
      </c>
      <c r="G221" s="285">
        <f t="shared" si="33"/>
        <v>42004</v>
      </c>
      <c r="H221" s="13">
        <v>293</v>
      </c>
      <c r="I221" s="97">
        <f t="shared" si="30"/>
        <v>2014</v>
      </c>
      <c r="J221" s="90"/>
      <c r="K221" s="90"/>
      <c r="L221" s="90">
        <f t="shared" ca="1" si="34"/>
        <v>0</v>
      </c>
      <c r="M221" s="90">
        <f t="shared" ca="1" si="35"/>
        <v>0</v>
      </c>
    </row>
    <row r="222" spans="1:13" x14ac:dyDescent="0.2">
      <c r="A222" s="216">
        <v>228</v>
      </c>
      <c r="B222" s="217" t="s">
        <v>966</v>
      </c>
      <c r="C222" s="97">
        <f t="shared" si="31"/>
        <v>4</v>
      </c>
      <c r="D222" s="97" t="str">
        <f t="shared" si="28"/>
        <v>11029752</v>
      </c>
      <c r="E222" s="97" t="str">
        <f t="shared" si="29"/>
        <v>4402748120004</v>
      </c>
      <c r="F222" s="97" t="b">
        <f t="shared" si="32"/>
        <v>0</v>
      </c>
      <c r="G222" s="285">
        <f t="shared" si="33"/>
        <v>42004</v>
      </c>
      <c r="H222" s="13">
        <v>294</v>
      </c>
      <c r="I222" s="97">
        <f t="shared" si="30"/>
        <v>2014</v>
      </c>
      <c r="J222" s="90"/>
      <c r="K222" s="90"/>
      <c r="L222" s="90">
        <f t="shared" ca="1" si="34"/>
        <v>14580</v>
      </c>
      <c r="M222" s="90">
        <f t="shared" ca="1" si="35"/>
        <v>132834</v>
      </c>
    </row>
    <row r="223" spans="1:13" x14ac:dyDescent="0.2">
      <c r="A223" s="216">
        <v>230</v>
      </c>
      <c r="B223" s="217" t="s">
        <v>966</v>
      </c>
      <c r="C223" s="97">
        <f t="shared" si="31"/>
        <v>4</v>
      </c>
      <c r="D223" s="97" t="str">
        <f t="shared" si="28"/>
        <v>11029752</v>
      </c>
      <c r="E223" s="97" t="str">
        <f t="shared" si="29"/>
        <v>4402748120004</v>
      </c>
      <c r="F223" s="97" t="b">
        <f t="shared" si="32"/>
        <v>0</v>
      </c>
      <c r="G223" s="285">
        <f t="shared" si="33"/>
        <v>42004</v>
      </c>
      <c r="H223" s="13">
        <v>295</v>
      </c>
      <c r="I223" s="97">
        <f t="shared" si="30"/>
        <v>2014</v>
      </c>
      <c r="J223" s="90"/>
      <c r="K223" s="90"/>
      <c r="L223" s="90" t="str">
        <f t="shared" ca="1" si="34"/>
        <v/>
      </c>
      <c r="M223" s="90" t="str">
        <f t="shared" ca="1" si="35"/>
        <v/>
      </c>
    </row>
    <row r="224" spans="1:13" x14ac:dyDescent="0.2">
      <c r="A224" s="216">
        <v>231</v>
      </c>
      <c r="B224" s="217" t="s">
        <v>966</v>
      </c>
      <c r="C224" s="97">
        <f t="shared" si="31"/>
        <v>4</v>
      </c>
      <c r="D224" s="97" t="str">
        <f t="shared" si="28"/>
        <v>11029752</v>
      </c>
      <c r="E224" s="97" t="str">
        <f t="shared" si="29"/>
        <v>4402748120004</v>
      </c>
      <c r="F224" s="97" t="b">
        <f t="shared" si="32"/>
        <v>0</v>
      </c>
      <c r="G224" s="285">
        <f t="shared" si="33"/>
        <v>42004</v>
      </c>
      <c r="H224" s="13">
        <v>296</v>
      </c>
      <c r="I224" s="97">
        <f t="shared" si="30"/>
        <v>2014</v>
      </c>
      <c r="J224" s="90"/>
      <c r="K224" s="90"/>
      <c r="L224" s="90" t="str">
        <f t="shared" ca="1" si="34"/>
        <v/>
      </c>
      <c r="M224" s="90" t="str">
        <f t="shared" ca="1" si="35"/>
        <v/>
      </c>
    </row>
    <row r="225" spans="1:13" x14ac:dyDescent="0.2">
      <c r="A225" s="216">
        <v>232</v>
      </c>
      <c r="B225" s="217" t="s">
        <v>966</v>
      </c>
      <c r="C225" s="97">
        <f t="shared" si="31"/>
        <v>4</v>
      </c>
      <c r="D225" s="97" t="str">
        <f t="shared" si="28"/>
        <v>11029752</v>
      </c>
      <c r="E225" s="97" t="str">
        <f t="shared" si="29"/>
        <v>4402748120004</v>
      </c>
      <c r="F225" s="97" t="b">
        <f t="shared" si="32"/>
        <v>0</v>
      </c>
      <c r="G225" s="285">
        <f t="shared" si="33"/>
        <v>42004</v>
      </c>
      <c r="H225" s="13">
        <v>297</v>
      </c>
      <c r="I225" s="97">
        <f t="shared" si="30"/>
        <v>2014</v>
      </c>
      <c r="J225" s="90"/>
      <c r="K225" s="90"/>
      <c r="L225" s="90" t="str">
        <f t="shared" ca="1" si="34"/>
        <v/>
      </c>
      <c r="M225" s="90" t="str">
        <f t="shared" ca="1" si="35"/>
        <v/>
      </c>
    </row>
    <row r="226" spans="1:13" x14ac:dyDescent="0.2">
      <c r="A226" s="216">
        <v>234</v>
      </c>
      <c r="B226" s="217" t="s">
        <v>966</v>
      </c>
      <c r="C226" s="97">
        <f t="shared" si="31"/>
        <v>4</v>
      </c>
      <c r="D226" s="97" t="str">
        <f t="shared" si="28"/>
        <v>11029752</v>
      </c>
      <c r="E226" s="97" t="str">
        <f t="shared" si="29"/>
        <v>4402748120004</v>
      </c>
      <c r="F226" s="97" t="b">
        <f t="shared" si="32"/>
        <v>0</v>
      </c>
      <c r="G226" s="285">
        <f t="shared" si="33"/>
        <v>42004</v>
      </c>
      <c r="H226" s="13">
        <v>298</v>
      </c>
      <c r="I226" s="97">
        <f t="shared" si="30"/>
        <v>2014</v>
      </c>
      <c r="J226" s="90"/>
      <c r="K226" s="90"/>
      <c r="L226" s="90">
        <f t="shared" ca="1" si="34"/>
        <v>0</v>
      </c>
      <c r="M226" s="90">
        <f t="shared" ca="1" si="35"/>
        <v>0</v>
      </c>
    </row>
    <row r="227" spans="1:13" x14ac:dyDescent="0.2">
      <c r="A227" s="216">
        <v>235</v>
      </c>
      <c r="B227" s="217" t="s">
        <v>966</v>
      </c>
      <c r="C227" s="97">
        <f t="shared" si="31"/>
        <v>4</v>
      </c>
      <c r="D227" s="97" t="str">
        <f t="shared" si="28"/>
        <v>11029752</v>
      </c>
      <c r="E227" s="97" t="str">
        <f t="shared" si="29"/>
        <v>4402748120004</v>
      </c>
      <c r="F227" s="97" t="b">
        <f t="shared" si="32"/>
        <v>0</v>
      </c>
      <c r="G227" s="285">
        <f t="shared" si="33"/>
        <v>42004</v>
      </c>
      <c r="H227" s="13">
        <v>299</v>
      </c>
      <c r="I227" s="97">
        <f t="shared" si="30"/>
        <v>2014</v>
      </c>
      <c r="J227" s="90"/>
      <c r="K227" s="90"/>
      <c r="L227" s="90">
        <f t="shared" ca="1" si="34"/>
        <v>14580</v>
      </c>
      <c r="M227" s="90">
        <f t="shared" ca="1" si="35"/>
        <v>132834</v>
      </c>
    </row>
    <row r="228" spans="1:13" x14ac:dyDescent="0.2">
      <c r="A228" s="216">
        <v>236</v>
      </c>
      <c r="B228" s="217" t="s">
        <v>966</v>
      </c>
      <c r="C228" s="97">
        <f t="shared" si="31"/>
        <v>4</v>
      </c>
      <c r="D228" s="97" t="str">
        <f t="shared" si="28"/>
        <v>11029752</v>
      </c>
      <c r="E228" s="97" t="str">
        <f t="shared" si="29"/>
        <v>4402748120004</v>
      </c>
      <c r="F228" s="97" t="b">
        <f t="shared" si="32"/>
        <v>0</v>
      </c>
      <c r="G228" s="285">
        <f t="shared" si="33"/>
        <v>42004</v>
      </c>
      <c r="H228" s="13">
        <v>300</v>
      </c>
      <c r="I228" s="97">
        <f t="shared" si="30"/>
        <v>2014</v>
      </c>
      <c r="J228" s="90"/>
      <c r="K228" s="90"/>
      <c r="L228" s="90">
        <f t="shared" ca="1" si="34"/>
        <v>4347198</v>
      </c>
      <c r="M228" s="90">
        <f t="shared" ca="1" si="35"/>
        <v>3386837</v>
      </c>
    </row>
    <row r="229" spans="1:13" x14ac:dyDescent="0.2">
      <c r="A229" s="216">
        <v>237</v>
      </c>
      <c r="B229" s="217" t="s">
        <v>966</v>
      </c>
      <c r="C229" s="97">
        <f t="shared" si="31"/>
        <v>4</v>
      </c>
      <c r="D229" s="97" t="str">
        <f t="shared" si="28"/>
        <v>11029752</v>
      </c>
      <c r="E229" s="97" t="str">
        <f t="shared" si="29"/>
        <v>4402748120004</v>
      </c>
      <c r="F229" s="97" t="b">
        <f t="shared" si="32"/>
        <v>0</v>
      </c>
      <c r="G229" s="285">
        <f t="shared" si="33"/>
        <v>42004</v>
      </c>
      <c r="H229" s="13">
        <v>301</v>
      </c>
      <c r="I229" s="97">
        <f t="shared" si="30"/>
        <v>2014</v>
      </c>
      <c r="J229" s="90"/>
      <c r="K229" s="90"/>
      <c r="L229" s="90">
        <f t="shared" ca="1" si="34"/>
        <v>4361778</v>
      </c>
      <c r="M229" s="90">
        <f t="shared" ca="1" si="35"/>
        <v>3519671</v>
      </c>
    </row>
    <row r="230" spans="1:13" x14ac:dyDescent="0.2">
      <c r="A230" s="216">
        <v>238</v>
      </c>
      <c r="B230" s="217" t="s">
        <v>966</v>
      </c>
      <c r="C230" s="97">
        <f t="shared" si="31"/>
        <v>4</v>
      </c>
      <c r="D230" s="97" t="str">
        <f t="shared" si="28"/>
        <v>11029752</v>
      </c>
      <c r="E230" s="97" t="str">
        <f t="shared" si="29"/>
        <v>4402748120004</v>
      </c>
      <c r="F230" s="97" t="b">
        <f t="shared" si="32"/>
        <v>0</v>
      </c>
      <c r="G230" s="285">
        <f t="shared" si="33"/>
        <v>42004</v>
      </c>
      <c r="H230" s="13">
        <v>302</v>
      </c>
      <c r="I230" s="97">
        <f t="shared" si="30"/>
        <v>2014</v>
      </c>
      <c r="J230" s="90"/>
      <c r="K230" s="90"/>
      <c r="L230" s="90" t="str">
        <f t="shared" ca="1" si="34"/>
        <v/>
      </c>
      <c r="M230" s="90" t="str">
        <f t="shared" ca="1" si="35"/>
        <v/>
      </c>
    </row>
    <row r="231" spans="1:13" x14ac:dyDescent="0.2">
      <c r="A231" s="216">
        <v>239</v>
      </c>
      <c r="B231" s="217" t="s">
        <v>966</v>
      </c>
      <c r="C231" s="97">
        <f t="shared" si="31"/>
        <v>4</v>
      </c>
      <c r="D231" s="97" t="str">
        <f t="shared" si="28"/>
        <v>11029752</v>
      </c>
      <c r="E231" s="97" t="str">
        <f t="shared" si="29"/>
        <v>4402748120004</v>
      </c>
      <c r="F231" s="97" t="b">
        <f t="shared" si="32"/>
        <v>0</v>
      </c>
      <c r="G231" s="285">
        <f t="shared" si="33"/>
        <v>42004</v>
      </c>
      <c r="H231" s="13">
        <v>303</v>
      </c>
      <c r="I231" s="97">
        <f t="shared" si="30"/>
        <v>2014</v>
      </c>
      <c r="J231" s="90"/>
      <c r="K231" s="90"/>
      <c r="L231" s="90" t="str">
        <f t="shared" ca="1" si="34"/>
        <v/>
      </c>
      <c r="M231" s="90" t="str">
        <f t="shared" ca="1" si="35"/>
        <v/>
      </c>
    </row>
    <row r="232" spans="1:13" x14ac:dyDescent="0.2">
      <c r="A232" s="216">
        <v>240</v>
      </c>
      <c r="B232" s="217" t="s">
        <v>966</v>
      </c>
      <c r="C232" s="97">
        <f t="shared" si="31"/>
        <v>4</v>
      </c>
      <c r="D232" s="97" t="str">
        <f t="shared" si="28"/>
        <v>11029752</v>
      </c>
      <c r="E232" s="97" t="str">
        <f t="shared" si="29"/>
        <v>4402748120004</v>
      </c>
      <c r="F232" s="97" t="b">
        <f t="shared" si="32"/>
        <v>0</v>
      </c>
      <c r="G232" s="285">
        <f t="shared" si="33"/>
        <v>42004</v>
      </c>
      <c r="H232" s="13">
        <v>304</v>
      </c>
      <c r="I232" s="97">
        <f t="shared" si="30"/>
        <v>2014</v>
      </c>
      <c r="J232" s="90"/>
      <c r="K232" s="90"/>
      <c r="L232" s="90" t="str">
        <f t="shared" ca="1" si="34"/>
        <v/>
      </c>
      <c r="M232" s="90" t="str">
        <f t="shared" ca="1" si="35"/>
        <v/>
      </c>
    </row>
    <row r="233" spans="1:13" x14ac:dyDescent="0.2">
      <c r="A233" s="216">
        <v>241</v>
      </c>
      <c r="B233" s="217" t="s">
        <v>966</v>
      </c>
      <c r="C233" s="97">
        <f t="shared" si="31"/>
        <v>4</v>
      </c>
      <c r="D233" s="97" t="str">
        <f t="shared" si="28"/>
        <v>11029752</v>
      </c>
      <c r="E233" s="97" t="str">
        <f t="shared" si="29"/>
        <v>4402748120004</v>
      </c>
      <c r="F233" s="97" t="b">
        <f t="shared" si="32"/>
        <v>0</v>
      </c>
      <c r="G233" s="285">
        <f t="shared" si="33"/>
        <v>42004</v>
      </c>
      <c r="H233" s="13">
        <v>305</v>
      </c>
      <c r="I233" s="97">
        <f t="shared" si="30"/>
        <v>2014</v>
      </c>
      <c r="J233" s="90"/>
      <c r="K233" s="90"/>
      <c r="L233" s="90" t="str">
        <f t="shared" ca="1" si="34"/>
        <v/>
      </c>
      <c r="M233" s="90" t="str">
        <f t="shared" ca="1" si="35"/>
        <v/>
      </c>
    </row>
    <row r="234" spans="1:13" x14ac:dyDescent="0.2">
      <c r="A234" s="216">
        <v>242</v>
      </c>
      <c r="B234" s="217" t="s">
        <v>966</v>
      </c>
      <c r="C234" s="97">
        <f t="shared" si="31"/>
        <v>4</v>
      </c>
      <c r="D234" s="97" t="str">
        <f t="shared" si="28"/>
        <v>11029752</v>
      </c>
      <c r="E234" s="97" t="str">
        <f t="shared" si="29"/>
        <v>4402748120004</v>
      </c>
      <c r="F234" s="97" t="b">
        <f t="shared" si="32"/>
        <v>0</v>
      </c>
      <c r="G234" s="285">
        <f t="shared" si="33"/>
        <v>42004</v>
      </c>
      <c r="H234" s="13">
        <v>306</v>
      </c>
      <c r="I234" s="97">
        <f t="shared" si="30"/>
        <v>2014</v>
      </c>
      <c r="J234" s="90"/>
      <c r="K234" s="90"/>
      <c r="L234" s="90" t="str">
        <f t="shared" ca="1" si="34"/>
        <v/>
      </c>
      <c r="M234" s="90" t="str">
        <f t="shared" ca="1" si="35"/>
        <v/>
      </c>
    </row>
    <row r="235" spans="1:13" x14ac:dyDescent="0.2">
      <c r="A235" s="216">
        <v>243</v>
      </c>
      <c r="B235" s="217" t="s">
        <v>966</v>
      </c>
      <c r="C235" s="97">
        <f t="shared" si="31"/>
        <v>4</v>
      </c>
      <c r="D235" s="97" t="str">
        <f t="shared" si="28"/>
        <v>11029752</v>
      </c>
      <c r="E235" s="97" t="str">
        <f t="shared" si="29"/>
        <v>4402748120004</v>
      </c>
      <c r="F235" s="97" t="b">
        <f t="shared" si="32"/>
        <v>0</v>
      </c>
      <c r="G235" s="285">
        <f t="shared" si="33"/>
        <v>42004</v>
      </c>
      <c r="H235" s="13">
        <v>307</v>
      </c>
      <c r="I235" s="97">
        <f t="shared" si="30"/>
        <v>2014</v>
      </c>
      <c r="J235" s="90"/>
      <c r="K235" s="90"/>
      <c r="L235" s="90">
        <f t="shared" ca="1" si="34"/>
        <v>25.68</v>
      </c>
      <c r="M235" s="90">
        <f t="shared" ca="1" si="35"/>
        <v>25.12</v>
      </c>
    </row>
    <row r="236" spans="1:13" x14ac:dyDescent="0.2">
      <c r="A236" s="216">
        <v>244</v>
      </c>
      <c r="B236" s="217" t="s">
        <v>966</v>
      </c>
      <c r="C236" s="97">
        <f t="shared" si="31"/>
        <v>4</v>
      </c>
      <c r="D236" s="97" t="str">
        <f t="shared" si="28"/>
        <v>11029752</v>
      </c>
      <c r="E236" s="97" t="str">
        <f t="shared" si="29"/>
        <v>4402748120004</v>
      </c>
      <c r="F236" s="97" t="b">
        <f t="shared" si="32"/>
        <v>0</v>
      </c>
      <c r="G236" s="285">
        <f t="shared" si="33"/>
        <v>42004</v>
      </c>
      <c r="H236" s="13">
        <v>308</v>
      </c>
      <c r="I236" s="97">
        <f t="shared" si="30"/>
        <v>2014</v>
      </c>
      <c r="J236" s="90"/>
      <c r="K236" s="90"/>
      <c r="L236" s="90">
        <f t="shared" ca="1" si="34"/>
        <v>23.67</v>
      </c>
      <c r="M236" s="90">
        <f t="shared" ca="1" si="35"/>
        <v>25.17</v>
      </c>
    </row>
    <row r="237" spans="1:13" x14ac:dyDescent="0.2">
      <c r="A237" s="216">
        <v>245</v>
      </c>
      <c r="B237" s="217" t="s">
        <v>1018</v>
      </c>
      <c r="C237" s="97">
        <f t="shared" si="31"/>
        <v>4</v>
      </c>
      <c r="D237" s="97" t="str">
        <f t="shared" si="28"/>
        <v>11029752</v>
      </c>
      <c r="E237" s="97" t="str">
        <f t="shared" si="29"/>
        <v>4402748120004</v>
      </c>
      <c r="F237" s="97" t="b">
        <f t="shared" si="32"/>
        <v>0</v>
      </c>
      <c r="G237" s="285">
        <f t="shared" si="33"/>
        <v>42004</v>
      </c>
      <c r="H237" s="13">
        <v>400</v>
      </c>
      <c r="I237" s="97">
        <f t="shared" si="30"/>
        <v>2014</v>
      </c>
      <c r="J237" s="90"/>
      <c r="K237" s="90"/>
      <c r="L237" s="90">
        <f t="shared" ca="1" si="34"/>
        <v>-14580</v>
      </c>
      <c r="M237" s="90">
        <f t="shared" ca="1" si="35"/>
        <v>-132834</v>
      </c>
    </row>
    <row r="238" spans="1:13" x14ac:dyDescent="0.2">
      <c r="A238" s="216">
        <v>246</v>
      </c>
      <c r="B238" s="217" t="s">
        <v>1018</v>
      </c>
      <c r="C238" s="97">
        <f t="shared" si="31"/>
        <v>4</v>
      </c>
      <c r="D238" s="97" t="str">
        <f t="shared" si="28"/>
        <v>11029752</v>
      </c>
      <c r="E238" s="97" t="str">
        <f t="shared" si="29"/>
        <v>4402748120004</v>
      </c>
      <c r="F238" s="97" t="b">
        <f t="shared" si="32"/>
        <v>0</v>
      </c>
      <c r="G238" s="285">
        <f t="shared" si="33"/>
        <v>42004</v>
      </c>
      <c r="H238" s="13">
        <v>401</v>
      </c>
      <c r="I238" s="97">
        <f t="shared" si="30"/>
        <v>2014</v>
      </c>
      <c r="J238" s="90"/>
      <c r="K238" s="90"/>
      <c r="L238" s="90">
        <f t="shared" ca="1" si="34"/>
        <v>0</v>
      </c>
      <c r="M238" s="90">
        <f t="shared" ca="1" si="35"/>
        <v>0</v>
      </c>
    </row>
    <row r="239" spans="1:13" x14ac:dyDescent="0.2">
      <c r="A239" s="216">
        <v>247</v>
      </c>
      <c r="B239" s="217" t="s">
        <v>1018</v>
      </c>
      <c r="C239" s="97">
        <f t="shared" si="31"/>
        <v>4</v>
      </c>
      <c r="D239" s="97" t="str">
        <f t="shared" si="28"/>
        <v>11029752</v>
      </c>
      <c r="E239" s="97" t="str">
        <f t="shared" si="29"/>
        <v>4402748120004</v>
      </c>
      <c r="F239" s="97" t="b">
        <f t="shared" si="32"/>
        <v>0</v>
      </c>
      <c r="G239" s="285">
        <f t="shared" si="33"/>
        <v>42004</v>
      </c>
      <c r="H239" s="13">
        <v>402</v>
      </c>
      <c r="I239" s="97">
        <f t="shared" si="30"/>
        <v>2014</v>
      </c>
      <c r="J239" s="90"/>
      <c r="K239" s="90"/>
      <c r="L239" s="90" t="str">
        <f t="shared" ca="1" si="34"/>
        <v/>
      </c>
      <c r="M239" s="90" t="str">
        <f t="shared" ca="1" si="35"/>
        <v/>
      </c>
    </row>
    <row r="240" spans="1:13" x14ac:dyDescent="0.2">
      <c r="A240" s="216">
        <v>248</v>
      </c>
      <c r="B240" s="217" t="s">
        <v>1018</v>
      </c>
      <c r="C240" s="97">
        <f t="shared" si="31"/>
        <v>4</v>
      </c>
      <c r="D240" s="97" t="str">
        <f t="shared" si="28"/>
        <v>11029752</v>
      </c>
      <c r="E240" s="97" t="str">
        <f t="shared" si="29"/>
        <v>4402748120004</v>
      </c>
      <c r="F240" s="97" t="b">
        <f t="shared" si="32"/>
        <v>0</v>
      </c>
      <c r="G240" s="285">
        <f t="shared" si="33"/>
        <v>42004</v>
      </c>
      <c r="H240" s="13">
        <v>403</v>
      </c>
      <c r="I240" s="97">
        <f t="shared" si="30"/>
        <v>2014</v>
      </c>
      <c r="J240" s="90"/>
      <c r="K240" s="90"/>
      <c r="L240" s="90" t="str">
        <f t="shared" ca="1" si="34"/>
        <v/>
      </c>
      <c r="M240" s="90" t="str">
        <f t="shared" ca="1" si="35"/>
        <v/>
      </c>
    </row>
    <row r="241" spans="1:13" x14ac:dyDescent="0.2">
      <c r="A241" s="216">
        <v>249</v>
      </c>
      <c r="B241" s="217" t="s">
        <v>1018</v>
      </c>
      <c r="C241" s="97">
        <f t="shared" si="31"/>
        <v>4</v>
      </c>
      <c r="D241" s="97" t="str">
        <f t="shared" si="28"/>
        <v>11029752</v>
      </c>
      <c r="E241" s="97" t="str">
        <f t="shared" si="29"/>
        <v>4402748120004</v>
      </c>
      <c r="F241" s="97" t="b">
        <f t="shared" si="32"/>
        <v>0</v>
      </c>
      <c r="G241" s="285">
        <f t="shared" si="33"/>
        <v>42004</v>
      </c>
      <c r="H241" s="13">
        <v>404</v>
      </c>
      <c r="I241" s="97">
        <f t="shared" si="30"/>
        <v>2014</v>
      </c>
      <c r="J241" s="90"/>
      <c r="K241" s="90"/>
      <c r="L241" s="90" t="str">
        <f t="shared" ca="1" si="34"/>
        <v/>
      </c>
      <c r="M241" s="90" t="str">
        <f t="shared" ca="1" si="35"/>
        <v/>
      </c>
    </row>
    <row r="242" spans="1:13" x14ac:dyDescent="0.2">
      <c r="A242" s="216">
        <v>250</v>
      </c>
      <c r="B242" s="217" t="s">
        <v>1018</v>
      </c>
      <c r="C242" s="97">
        <f t="shared" si="31"/>
        <v>4</v>
      </c>
      <c r="D242" s="97" t="str">
        <f t="shared" si="28"/>
        <v>11029752</v>
      </c>
      <c r="E242" s="97" t="str">
        <f t="shared" si="29"/>
        <v>4402748120004</v>
      </c>
      <c r="F242" s="97" t="b">
        <f t="shared" si="32"/>
        <v>0</v>
      </c>
      <c r="G242" s="285">
        <f t="shared" si="33"/>
        <v>42004</v>
      </c>
      <c r="H242" s="13">
        <v>405</v>
      </c>
      <c r="I242" s="97">
        <f t="shared" si="30"/>
        <v>2014</v>
      </c>
      <c r="J242" s="90"/>
      <c r="K242" s="90"/>
      <c r="L242" s="90" t="str">
        <f t="shared" ca="1" si="34"/>
        <v/>
      </c>
      <c r="M242" s="90" t="str">
        <f t="shared" ca="1" si="35"/>
        <v/>
      </c>
    </row>
    <row r="243" spans="1:13" x14ac:dyDescent="0.2">
      <c r="A243" s="216">
        <v>251</v>
      </c>
      <c r="B243" s="217" t="s">
        <v>1018</v>
      </c>
      <c r="C243" s="97">
        <f t="shared" si="31"/>
        <v>4</v>
      </c>
      <c r="D243" s="97" t="str">
        <f t="shared" si="28"/>
        <v>11029752</v>
      </c>
      <c r="E243" s="97" t="str">
        <f t="shared" si="29"/>
        <v>4402748120004</v>
      </c>
      <c r="F243" s="97" t="b">
        <f t="shared" si="32"/>
        <v>0</v>
      </c>
      <c r="G243" s="285">
        <f t="shared" si="33"/>
        <v>42004</v>
      </c>
      <c r="H243" s="13">
        <v>406</v>
      </c>
      <c r="I243" s="97">
        <f t="shared" si="30"/>
        <v>2014</v>
      </c>
      <c r="J243" s="90"/>
      <c r="K243" s="90"/>
      <c r="L243" s="90" t="str">
        <f t="shared" ca="1" si="34"/>
        <v/>
      </c>
      <c r="M243" s="90" t="str">
        <f t="shared" ca="1" si="35"/>
        <v/>
      </c>
    </row>
    <row r="244" spans="1:13" x14ac:dyDescent="0.2">
      <c r="A244" s="216">
        <v>252</v>
      </c>
      <c r="B244" s="217" t="s">
        <v>1018</v>
      </c>
      <c r="C244" s="97">
        <f t="shared" si="31"/>
        <v>4</v>
      </c>
      <c r="D244" s="97" t="str">
        <f t="shared" si="28"/>
        <v>11029752</v>
      </c>
      <c r="E244" s="97" t="str">
        <f t="shared" si="29"/>
        <v>4402748120004</v>
      </c>
      <c r="F244" s="97" t="b">
        <f t="shared" si="32"/>
        <v>0</v>
      </c>
      <c r="G244" s="285">
        <f t="shared" si="33"/>
        <v>42004</v>
      </c>
      <c r="H244" s="13">
        <v>407</v>
      </c>
      <c r="I244" s="97">
        <f t="shared" si="30"/>
        <v>2014</v>
      </c>
      <c r="J244" s="90"/>
      <c r="K244" s="90"/>
      <c r="L244" s="90" t="str">
        <f t="shared" ca="1" si="34"/>
        <v/>
      </c>
      <c r="M244" s="90" t="str">
        <f t="shared" ca="1" si="35"/>
        <v/>
      </c>
    </row>
    <row r="245" spans="1:13" x14ac:dyDescent="0.2">
      <c r="A245" s="216">
        <v>253</v>
      </c>
      <c r="B245" s="217" t="s">
        <v>1018</v>
      </c>
      <c r="C245" s="97">
        <f t="shared" si="31"/>
        <v>4</v>
      </c>
      <c r="D245" s="97" t="str">
        <f t="shared" si="28"/>
        <v>11029752</v>
      </c>
      <c r="E245" s="97" t="str">
        <f t="shared" si="29"/>
        <v>4402748120004</v>
      </c>
      <c r="F245" s="97" t="b">
        <f t="shared" si="32"/>
        <v>0</v>
      </c>
      <c r="G245" s="285">
        <f t="shared" si="33"/>
        <v>42004</v>
      </c>
      <c r="H245" s="13">
        <v>408</v>
      </c>
      <c r="I245" s="97">
        <f t="shared" si="30"/>
        <v>2014</v>
      </c>
      <c r="J245" s="90"/>
      <c r="K245" s="90"/>
      <c r="L245" s="90">
        <f t="shared" ca="1" si="34"/>
        <v>0</v>
      </c>
      <c r="M245" s="90">
        <f t="shared" ca="1" si="35"/>
        <v>0</v>
      </c>
    </row>
    <row r="246" spans="1:13" x14ac:dyDescent="0.2">
      <c r="A246" s="216">
        <v>254</v>
      </c>
      <c r="B246" s="217" t="s">
        <v>1018</v>
      </c>
      <c r="C246" s="97">
        <f t="shared" si="31"/>
        <v>4</v>
      </c>
      <c r="D246" s="97" t="str">
        <f t="shared" si="28"/>
        <v>11029752</v>
      </c>
      <c r="E246" s="97" t="str">
        <f t="shared" si="29"/>
        <v>4402748120004</v>
      </c>
      <c r="F246" s="97" t="b">
        <f t="shared" si="32"/>
        <v>0</v>
      </c>
      <c r="G246" s="285">
        <f t="shared" si="33"/>
        <v>42004</v>
      </c>
      <c r="H246" s="13">
        <v>409</v>
      </c>
      <c r="I246" s="97">
        <f t="shared" si="30"/>
        <v>2014</v>
      </c>
      <c r="J246" s="90"/>
      <c r="K246" s="90"/>
      <c r="L246" s="90" t="str">
        <f t="shared" ca="1" si="34"/>
        <v/>
      </c>
      <c r="M246" s="90" t="str">
        <f t="shared" ca="1" si="35"/>
        <v/>
      </c>
    </row>
    <row r="247" spans="1:13" x14ac:dyDescent="0.2">
      <c r="A247" s="216">
        <v>255</v>
      </c>
      <c r="B247" s="217" t="s">
        <v>1018</v>
      </c>
      <c r="C247" s="97">
        <f t="shared" si="31"/>
        <v>4</v>
      </c>
      <c r="D247" s="97" t="str">
        <f t="shared" si="28"/>
        <v>11029752</v>
      </c>
      <c r="E247" s="97" t="str">
        <f t="shared" si="29"/>
        <v>4402748120004</v>
      </c>
      <c r="F247" s="97" t="b">
        <f t="shared" si="32"/>
        <v>0</v>
      </c>
      <c r="G247" s="285">
        <f t="shared" si="33"/>
        <v>42004</v>
      </c>
      <c r="H247" s="13">
        <v>410</v>
      </c>
      <c r="I247" s="97">
        <f t="shared" si="30"/>
        <v>2014</v>
      </c>
      <c r="J247" s="90"/>
      <c r="K247" s="90"/>
      <c r="L247" s="90" t="str">
        <f t="shared" ca="1" si="34"/>
        <v/>
      </c>
      <c r="M247" s="90" t="str">
        <f t="shared" ca="1" si="35"/>
        <v/>
      </c>
    </row>
    <row r="248" spans="1:13" x14ac:dyDescent="0.2">
      <c r="A248" s="216">
        <v>256</v>
      </c>
      <c r="B248" s="217" t="s">
        <v>1018</v>
      </c>
      <c r="C248" s="97">
        <f t="shared" si="31"/>
        <v>4</v>
      </c>
      <c r="D248" s="97" t="str">
        <f t="shared" si="28"/>
        <v>11029752</v>
      </c>
      <c r="E248" s="97" t="str">
        <f t="shared" si="29"/>
        <v>4402748120004</v>
      </c>
      <c r="F248" s="97" t="b">
        <f t="shared" si="32"/>
        <v>0</v>
      </c>
      <c r="G248" s="285">
        <f t="shared" si="33"/>
        <v>42004</v>
      </c>
      <c r="H248" s="13">
        <v>411</v>
      </c>
      <c r="I248" s="97">
        <f t="shared" si="30"/>
        <v>2014</v>
      </c>
      <c r="J248" s="90"/>
      <c r="K248" s="90"/>
      <c r="L248" s="90" t="str">
        <f t="shared" ca="1" si="34"/>
        <v/>
      </c>
      <c r="M248" s="90" t="str">
        <f t="shared" ca="1" si="35"/>
        <v/>
      </c>
    </row>
    <row r="249" spans="1:13" x14ac:dyDescent="0.2">
      <c r="A249" s="216">
        <v>257</v>
      </c>
      <c r="B249" s="217" t="s">
        <v>1018</v>
      </c>
      <c r="C249" s="97">
        <f t="shared" si="31"/>
        <v>4</v>
      </c>
      <c r="D249" s="97" t="str">
        <f t="shared" si="28"/>
        <v>11029752</v>
      </c>
      <c r="E249" s="97" t="str">
        <f t="shared" si="29"/>
        <v>4402748120004</v>
      </c>
      <c r="F249" s="97" t="b">
        <f t="shared" si="32"/>
        <v>0</v>
      </c>
      <c r="G249" s="285">
        <f t="shared" si="33"/>
        <v>42004</v>
      </c>
      <c r="H249" s="13">
        <v>412</v>
      </c>
      <c r="I249" s="97">
        <f t="shared" si="30"/>
        <v>2014</v>
      </c>
      <c r="J249" s="90"/>
      <c r="K249" s="90"/>
      <c r="L249" s="90" t="str">
        <f t="shared" ca="1" si="34"/>
        <v/>
      </c>
      <c r="M249" s="90" t="str">
        <f t="shared" ca="1" si="35"/>
        <v/>
      </c>
    </row>
    <row r="250" spans="1:13" x14ac:dyDescent="0.2">
      <c r="A250" s="216">
        <v>258</v>
      </c>
      <c r="B250" s="217" t="s">
        <v>1018</v>
      </c>
      <c r="C250" s="97">
        <f t="shared" si="31"/>
        <v>4</v>
      </c>
      <c r="D250" s="97" t="str">
        <f t="shared" si="28"/>
        <v>11029752</v>
      </c>
      <c r="E250" s="97" t="str">
        <f t="shared" si="29"/>
        <v>4402748120004</v>
      </c>
      <c r="F250" s="97" t="b">
        <f t="shared" si="32"/>
        <v>0</v>
      </c>
      <c r="G250" s="285">
        <f t="shared" si="33"/>
        <v>42004</v>
      </c>
      <c r="H250" s="13">
        <v>413</v>
      </c>
      <c r="I250" s="97">
        <f t="shared" si="30"/>
        <v>2014</v>
      </c>
      <c r="J250" s="90"/>
      <c r="K250" s="90"/>
      <c r="L250" s="90" t="str">
        <f t="shared" ca="1" si="34"/>
        <v/>
      </c>
      <c r="M250" s="90" t="str">
        <f t="shared" ca="1" si="35"/>
        <v/>
      </c>
    </row>
    <row r="251" spans="1:13" x14ac:dyDescent="0.2">
      <c r="A251" s="216">
        <v>259</v>
      </c>
      <c r="B251" s="217" t="s">
        <v>1018</v>
      </c>
      <c r="C251" s="97">
        <f t="shared" si="31"/>
        <v>4</v>
      </c>
      <c r="D251" s="97" t="str">
        <f t="shared" si="28"/>
        <v>11029752</v>
      </c>
      <c r="E251" s="97" t="str">
        <f t="shared" si="29"/>
        <v>4402748120004</v>
      </c>
      <c r="F251" s="97" t="b">
        <f t="shared" si="32"/>
        <v>0</v>
      </c>
      <c r="G251" s="285">
        <f t="shared" si="33"/>
        <v>42004</v>
      </c>
      <c r="H251" s="13">
        <v>414</v>
      </c>
      <c r="I251" s="97">
        <f t="shared" si="30"/>
        <v>2014</v>
      </c>
      <c r="J251" s="90"/>
      <c r="K251" s="90"/>
      <c r="L251" s="90">
        <f t="shared" ca="1" si="34"/>
        <v>0</v>
      </c>
      <c r="M251" s="90">
        <f t="shared" ca="1" si="35"/>
        <v>0</v>
      </c>
    </row>
    <row r="252" spans="1:13" x14ac:dyDescent="0.2">
      <c r="A252" s="216">
        <v>260</v>
      </c>
      <c r="B252" s="217" t="s">
        <v>1018</v>
      </c>
      <c r="C252" s="97">
        <f t="shared" si="31"/>
        <v>4</v>
      </c>
      <c r="D252" s="97" t="str">
        <f t="shared" si="28"/>
        <v>11029752</v>
      </c>
      <c r="E252" s="97" t="str">
        <f t="shared" si="29"/>
        <v>4402748120004</v>
      </c>
      <c r="F252" s="97" t="b">
        <f t="shared" si="32"/>
        <v>0</v>
      </c>
      <c r="G252" s="285">
        <f t="shared" si="33"/>
        <v>42004</v>
      </c>
      <c r="H252" s="13">
        <v>415</v>
      </c>
      <c r="I252" s="97">
        <f t="shared" si="30"/>
        <v>2014</v>
      </c>
      <c r="J252" s="90"/>
      <c r="K252" s="90"/>
      <c r="L252" s="90" t="str">
        <f t="shared" ca="1" si="34"/>
        <v/>
      </c>
      <c r="M252" s="90" t="str">
        <f t="shared" ca="1" si="35"/>
        <v/>
      </c>
    </row>
    <row r="253" spans="1:13" x14ac:dyDescent="0.2">
      <c r="A253" s="216">
        <v>261</v>
      </c>
      <c r="B253" s="217" t="s">
        <v>1018</v>
      </c>
      <c r="C253" s="97">
        <f t="shared" si="31"/>
        <v>4</v>
      </c>
      <c r="D253" s="97" t="str">
        <f t="shared" si="28"/>
        <v>11029752</v>
      </c>
      <c r="E253" s="97" t="str">
        <f t="shared" si="29"/>
        <v>4402748120004</v>
      </c>
      <c r="F253" s="97" t="b">
        <f t="shared" si="32"/>
        <v>0</v>
      </c>
      <c r="G253" s="285">
        <f t="shared" si="33"/>
        <v>42004</v>
      </c>
      <c r="H253" s="13">
        <v>416</v>
      </c>
      <c r="I253" s="97">
        <f t="shared" si="30"/>
        <v>2014</v>
      </c>
      <c r="J253" s="90"/>
      <c r="K253" s="90"/>
      <c r="L253" s="90">
        <f t="shared" ca="1" si="34"/>
        <v>0</v>
      </c>
      <c r="M253" s="90">
        <f t="shared" ca="1" si="35"/>
        <v>0</v>
      </c>
    </row>
    <row r="254" spans="1:13" x14ac:dyDescent="0.2">
      <c r="A254" s="216">
        <v>263</v>
      </c>
      <c r="B254" s="217" t="s">
        <v>1018</v>
      </c>
      <c r="C254" s="97">
        <f t="shared" si="31"/>
        <v>4</v>
      </c>
      <c r="D254" s="97" t="str">
        <f t="shared" si="28"/>
        <v>11029752</v>
      </c>
      <c r="E254" s="97" t="str">
        <f t="shared" si="29"/>
        <v>4402748120004</v>
      </c>
      <c r="F254" s="97" t="b">
        <f t="shared" si="32"/>
        <v>0</v>
      </c>
      <c r="G254" s="285">
        <f t="shared" si="33"/>
        <v>42004</v>
      </c>
      <c r="H254" s="13">
        <v>417</v>
      </c>
      <c r="I254" s="97">
        <f t="shared" si="30"/>
        <v>2014</v>
      </c>
      <c r="J254" s="90"/>
      <c r="K254" s="90"/>
      <c r="L254" s="90">
        <f t="shared" ca="1" si="34"/>
        <v>0</v>
      </c>
      <c r="M254" s="90">
        <f t="shared" ca="1" si="35"/>
        <v>0</v>
      </c>
    </row>
    <row r="255" spans="1:13" x14ac:dyDescent="0.2">
      <c r="A255" s="216">
        <v>264</v>
      </c>
      <c r="B255" s="217" t="s">
        <v>1018</v>
      </c>
      <c r="C255" s="97">
        <f t="shared" si="31"/>
        <v>4</v>
      </c>
      <c r="D255" s="97" t="str">
        <f t="shared" si="28"/>
        <v>11029752</v>
      </c>
      <c r="E255" s="97" t="str">
        <f t="shared" si="29"/>
        <v>4402748120004</v>
      </c>
      <c r="F255" s="97" t="b">
        <f t="shared" si="32"/>
        <v>0</v>
      </c>
      <c r="G255" s="285">
        <f t="shared" si="33"/>
        <v>42004</v>
      </c>
      <c r="H255" s="13">
        <v>418</v>
      </c>
      <c r="I255" s="97">
        <f t="shared" si="30"/>
        <v>2014</v>
      </c>
      <c r="J255" s="90"/>
      <c r="K255" s="90"/>
      <c r="L255" s="90">
        <f t="shared" ca="1" si="34"/>
        <v>14580</v>
      </c>
      <c r="M255" s="90">
        <f t="shared" ca="1" si="35"/>
        <v>132834</v>
      </c>
    </row>
    <row r="256" spans="1:13" x14ac:dyDescent="0.2">
      <c r="A256" s="216">
        <v>266</v>
      </c>
      <c r="B256" s="217" t="s">
        <v>820</v>
      </c>
      <c r="C256" s="97">
        <f t="shared" si="31"/>
        <v>4</v>
      </c>
      <c r="D256" s="97" t="str">
        <f t="shared" si="28"/>
        <v>11029752</v>
      </c>
      <c r="E256" s="97" t="str">
        <f t="shared" si="29"/>
        <v>4402748120004</v>
      </c>
      <c r="F256" s="97" t="b">
        <f t="shared" si="32"/>
        <v>0</v>
      </c>
      <c r="G256" s="285">
        <f t="shared" si="33"/>
        <v>42004</v>
      </c>
      <c r="H256" s="13">
        <v>501</v>
      </c>
      <c r="I256" s="97">
        <f t="shared" si="30"/>
        <v>2014</v>
      </c>
      <c r="J256" s="90"/>
      <c r="K256" s="90"/>
      <c r="L256" s="90">
        <f t="shared" ca="1" si="34"/>
        <v>5404240</v>
      </c>
      <c r="M256" s="90">
        <f t="shared" ca="1" si="35"/>
        <v>3032976</v>
      </c>
    </row>
    <row r="257" spans="1:13" x14ac:dyDescent="0.2">
      <c r="A257" s="216">
        <v>267</v>
      </c>
      <c r="B257" s="217" t="s">
        <v>820</v>
      </c>
      <c r="C257" s="97">
        <f t="shared" si="31"/>
        <v>4</v>
      </c>
      <c r="D257" s="97" t="str">
        <f t="shared" ref="D257:D320" si="36">Podatak_MB</f>
        <v>11029752</v>
      </c>
      <c r="E257" s="97" t="str">
        <f t="shared" ref="E257:E320" si="37">Podatak_JIB</f>
        <v>4402748120004</v>
      </c>
      <c r="F257" s="97" t="b">
        <f t="shared" si="32"/>
        <v>0</v>
      </c>
      <c r="G257" s="285">
        <f t="shared" si="33"/>
        <v>42004</v>
      </c>
      <c r="H257" s="13">
        <v>502</v>
      </c>
      <c r="I257" s="97">
        <f t="shared" ref="I257:I320" si="38">Godina</f>
        <v>2014</v>
      </c>
      <c r="J257" s="90"/>
      <c r="K257" s="90"/>
      <c r="L257" s="90">
        <f t="shared" ca="1" si="34"/>
        <v>5360139</v>
      </c>
      <c r="M257" s="90">
        <f t="shared" ca="1" si="35"/>
        <v>3017292</v>
      </c>
    </row>
    <row r="258" spans="1:13" x14ac:dyDescent="0.2">
      <c r="A258" s="216">
        <v>268</v>
      </c>
      <c r="B258" s="217" t="s">
        <v>820</v>
      </c>
      <c r="C258" s="97">
        <f t="shared" ref="C258:C321" si="39">ID_Izvjestaj</f>
        <v>4</v>
      </c>
      <c r="D258" s="97" t="str">
        <f t="shared" si="36"/>
        <v>11029752</v>
      </c>
      <c r="E258" s="97" t="str">
        <f t="shared" si="37"/>
        <v>4402748120004</v>
      </c>
      <c r="F258" s="97" t="b">
        <f t="shared" ref="F258:F321" si="40">Konsolidovan_izvjestaj</f>
        <v>0</v>
      </c>
      <c r="G258" s="285">
        <f t="shared" ref="G258:G321" si="41">Datum_Broj</f>
        <v>42004</v>
      </c>
      <c r="H258" s="13">
        <v>503</v>
      </c>
      <c r="I258" s="97">
        <f t="shared" si="38"/>
        <v>2014</v>
      </c>
      <c r="J258" s="90"/>
      <c r="K258" s="90"/>
      <c r="L258" s="90" t="str">
        <f t="shared" ref="L258:L321" ca="1" si="42">IF(VLOOKUP($H258,INDIRECT("Lookup_"&amp;$B258),IF($B258="BS",R$2,R$1),0)="","",VLOOKUP($H258,INDIRECT("Lookup_"&amp;$B258),IF($B258="BS",R$2,R$1),0))</f>
        <v/>
      </c>
      <c r="M258" s="90" t="str">
        <f t="shared" ref="M258:M321" ca="1" si="43">IF(VLOOKUP($H258,INDIRECT("Lookup_"&amp;$B258),IF($B258="BS",S$2,S$1),0)="","",VLOOKUP($H258,INDIRECT("Lookup_"&amp;$B258),IF($B258="BS",S$2,S$1),0))</f>
        <v/>
      </c>
    </row>
    <row r="259" spans="1:13" x14ac:dyDescent="0.2">
      <c r="A259" s="216">
        <v>269</v>
      </c>
      <c r="B259" s="217" t="s">
        <v>820</v>
      </c>
      <c r="C259" s="97">
        <f t="shared" si="39"/>
        <v>4</v>
      </c>
      <c r="D259" s="97" t="str">
        <f t="shared" si="36"/>
        <v>11029752</v>
      </c>
      <c r="E259" s="97" t="str">
        <f t="shared" si="37"/>
        <v>4402748120004</v>
      </c>
      <c r="F259" s="97" t="b">
        <f t="shared" si="40"/>
        <v>0</v>
      </c>
      <c r="G259" s="285">
        <f t="shared" si="41"/>
        <v>42004</v>
      </c>
      <c r="H259" s="13">
        <v>504</v>
      </c>
      <c r="I259" s="97">
        <f t="shared" si="38"/>
        <v>2014</v>
      </c>
      <c r="J259" s="90"/>
      <c r="K259" s="90"/>
      <c r="L259" s="90">
        <f t="shared" ca="1" si="42"/>
        <v>44101</v>
      </c>
      <c r="M259" s="90">
        <f t="shared" ca="1" si="43"/>
        <v>15684</v>
      </c>
    </row>
    <row r="260" spans="1:13" x14ac:dyDescent="0.2">
      <c r="A260" s="216">
        <v>270</v>
      </c>
      <c r="B260" s="217" t="s">
        <v>820</v>
      </c>
      <c r="C260" s="97">
        <f t="shared" si="39"/>
        <v>4</v>
      </c>
      <c r="D260" s="97" t="str">
        <f t="shared" si="36"/>
        <v>11029752</v>
      </c>
      <c r="E260" s="97" t="str">
        <f t="shared" si="37"/>
        <v>4402748120004</v>
      </c>
      <c r="F260" s="97" t="b">
        <f t="shared" si="40"/>
        <v>0</v>
      </c>
      <c r="G260" s="285">
        <f t="shared" si="41"/>
        <v>42004</v>
      </c>
      <c r="H260" s="13">
        <v>505</v>
      </c>
      <c r="I260" s="97">
        <f t="shared" si="38"/>
        <v>2014</v>
      </c>
      <c r="J260" s="90"/>
      <c r="K260" s="90"/>
      <c r="L260" s="90">
        <f t="shared" ca="1" si="42"/>
        <v>4648940</v>
      </c>
      <c r="M260" s="90">
        <f t="shared" ca="1" si="43"/>
        <v>2857648</v>
      </c>
    </row>
    <row r="261" spans="1:13" x14ac:dyDescent="0.2">
      <c r="A261" s="216">
        <v>271</v>
      </c>
      <c r="B261" s="217" t="s">
        <v>820</v>
      </c>
      <c r="C261" s="97">
        <f t="shared" si="39"/>
        <v>4</v>
      </c>
      <c r="D261" s="97" t="str">
        <f t="shared" si="36"/>
        <v>11029752</v>
      </c>
      <c r="E261" s="97" t="str">
        <f t="shared" si="37"/>
        <v>4402748120004</v>
      </c>
      <c r="F261" s="97" t="b">
        <f t="shared" si="40"/>
        <v>0</v>
      </c>
      <c r="G261" s="285">
        <f t="shared" si="41"/>
        <v>42004</v>
      </c>
      <c r="H261" s="13">
        <v>506</v>
      </c>
      <c r="I261" s="97">
        <f t="shared" si="38"/>
        <v>2014</v>
      </c>
      <c r="J261" s="90"/>
      <c r="K261" s="90"/>
      <c r="L261" s="90">
        <f t="shared" ca="1" si="42"/>
        <v>3365774</v>
      </c>
      <c r="M261" s="90">
        <f t="shared" ca="1" si="43"/>
        <v>1976383</v>
      </c>
    </row>
    <row r="262" spans="1:13" x14ac:dyDescent="0.2">
      <c r="A262" s="216">
        <v>272</v>
      </c>
      <c r="B262" s="217" t="s">
        <v>820</v>
      </c>
      <c r="C262" s="97">
        <f t="shared" si="39"/>
        <v>4</v>
      </c>
      <c r="D262" s="97" t="str">
        <f t="shared" si="36"/>
        <v>11029752</v>
      </c>
      <c r="E262" s="97" t="str">
        <f t="shared" si="37"/>
        <v>4402748120004</v>
      </c>
      <c r="F262" s="97" t="b">
        <f t="shared" si="40"/>
        <v>0</v>
      </c>
      <c r="G262" s="285">
        <f t="shared" si="41"/>
        <v>42004</v>
      </c>
      <c r="H262" s="13">
        <v>507</v>
      </c>
      <c r="I262" s="97">
        <f t="shared" si="38"/>
        <v>2014</v>
      </c>
      <c r="J262" s="90"/>
      <c r="K262" s="90"/>
      <c r="L262" s="90">
        <f t="shared" ca="1" si="42"/>
        <v>816718</v>
      </c>
      <c r="M262" s="90">
        <f t="shared" ca="1" si="43"/>
        <v>600987</v>
      </c>
    </row>
    <row r="263" spans="1:13" x14ac:dyDescent="0.2">
      <c r="A263" s="216">
        <v>273</v>
      </c>
      <c r="B263" s="217" t="s">
        <v>820</v>
      </c>
      <c r="C263" s="97">
        <f t="shared" si="39"/>
        <v>4</v>
      </c>
      <c r="D263" s="97" t="str">
        <f t="shared" si="36"/>
        <v>11029752</v>
      </c>
      <c r="E263" s="97" t="str">
        <f t="shared" si="37"/>
        <v>4402748120004</v>
      </c>
      <c r="F263" s="97" t="b">
        <f t="shared" si="40"/>
        <v>0</v>
      </c>
      <c r="G263" s="285">
        <f t="shared" si="41"/>
        <v>42004</v>
      </c>
      <c r="H263" s="13">
        <v>508</v>
      </c>
      <c r="I263" s="97">
        <f t="shared" si="38"/>
        <v>2014</v>
      </c>
      <c r="J263" s="90"/>
      <c r="K263" s="90"/>
      <c r="L263" s="90" t="str">
        <f t="shared" ca="1" si="42"/>
        <v/>
      </c>
      <c r="M263" s="90" t="str">
        <f t="shared" ca="1" si="43"/>
        <v/>
      </c>
    </row>
    <row r="264" spans="1:13" x14ac:dyDescent="0.2">
      <c r="A264" s="216">
        <v>274</v>
      </c>
      <c r="B264" s="217" t="s">
        <v>820</v>
      </c>
      <c r="C264" s="97">
        <f t="shared" si="39"/>
        <v>4</v>
      </c>
      <c r="D264" s="97" t="str">
        <f t="shared" si="36"/>
        <v>11029752</v>
      </c>
      <c r="E264" s="97" t="str">
        <f t="shared" si="37"/>
        <v>4402748120004</v>
      </c>
      <c r="F264" s="97" t="b">
        <f t="shared" si="40"/>
        <v>0</v>
      </c>
      <c r="G264" s="285">
        <f t="shared" si="41"/>
        <v>42004</v>
      </c>
      <c r="H264" s="13">
        <v>509</v>
      </c>
      <c r="I264" s="97">
        <f t="shared" si="38"/>
        <v>2014</v>
      </c>
      <c r="J264" s="90"/>
      <c r="K264" s="90"/>
      <c r="L264" s="90" t="str">
        <f t="shared" ca="1" si="42"/>
        <v/>
      </c>
      <c r="M264" s="90" t="str">
        <f t="shared" ca="1" si="43"/>
        <v/>
      </c>
    </row>
    <row r="265" spans="1:13" x14ac:dyDescent="0.2">
      <c r="A265" s="216">
        <v>275</v>
      </c>
      <c r="B265" s="217" t="s">
        <v>820</v>
      </c>
      <c r="C265" s="97">
        <f t="shared" si="39"/>
        <v>4</v>
      </c>
      <c r="D265" s="97" t="str">
        <f t="shared" si="36"/>
        <v>11029752</v>
      </c>
      <c r="E265" s="97" t="str">
        <f t="shared" si="37"/>
        <v>4402748120004</v>
      </c>
      <c r="F265" s="97" t="b">
        <f t="shared" si="40"/>
        <v>0</v>
      </c>
      <c r="G265" s="285">
        <f t="shared" si="41"/>
        <v>42004</v>
      </c>
      <c r="H265" s="13">
        <v>510</v>
      </c>
      <c r="I265" s="97">
        <f t="shared" si="38"/>
        <v>2014</v>
      </c>
      <c r="J265" s="90"/>
      <c r="K265" s="90"/>
      <c r="L265" s="90">
        <f t="shared" ca="1" si="42"/>
        <v>466448</v>
      </c>
      <c r="M265" s="90">
        <f t="shared" ca="1" si="43"/>
        <v>280278</v>
      </c>
    </row>
    <row r="266" spans="1:13" x14ac:dyDescent="0.2">
      <c r="A266" s="216">
        <v>276</v>
      </c>
      <c r="B266" s="217" t="s">
        <v>820</v>
      </c>
      <c r="C266" s="97">
        <f t="shared" si="39"/>
        <v>4</v>
      </c>
      <c r="D266" s="97" t="str">
        <f t="shared" si="36"/>
        <v>11029752</v>
      </c>
      <c r="E266" s="97" t="str">
        <f t="shared" si="37"/>
        <v>4402748120004</v>
      </c>
      <c r="F266" s="97" t="b">
        <f t="shared" si="40"/>
        <v>0</v>
      </c>
      <c r="G266" s="285">
        <f t="shared" si="41"/>
        <v>42004</v>
      </c>
      <c r="H266" s="13">
        <v>511</v>
      </c>
      <c r="I266" s="97">
        <f t="shared" si="38"/>
        <v>2014</v>
      </c>
      <c r="J266" s="90"/>
      <c r="K266" s="90"/>
      <c r="L266" s="90">
        <f t="shared" ca="1" si="42"/>
        <v>755300</v>
      </c>
      <c r="M266" s="90">
        <f t="shared" ca="1" si="43"/>
        <v>175328</v>
      </c>
    </row>
    <row r="267" spans="1:13" x14ac:dyDescent="0.2">
      <c r="A267" s="216">
        <v>277</v>
      </c>
      <c r="B267" s="217" t="s">
        <v>820</v>
      </c>
      <c r="C267" s="97">
        <f t="shared" si="39"/>
        <v>4</v>
      </c>
      <c r="D267" s="97" t="str">
        <f t="shared" si="36"/>
        <v>11029752</v>
      </c>
      <c r="E267" s="97" t="str">
        <f t="shared" si="37"/>
        <v>4402748120004</v>
      </c>
      <c r="F267" s="97" t="b">
        <f t="shared" si="40"/>
        <v>0</v>
      </c>
      <c r="G267" s="285">
        <f t="shared" si="41"/>
        <v>42004</v>
      </c>
      <c r="H267" s="13">
        <v>512</v>
      </c>
      <c r="I267" s="97">
        <f t="shared" si="38"/>
        <v>2014</v>
      </c>
      <c r="J267" s="90"/>
      <c r="K267" s="90"/>
      <c r="L267" s="90">
        <f t="shared" ca="1" si="42"/>
        <v>0</v>
      </c>
      <c r="M267" s="90">
        <f t="shared" ca="1" si="43"/>
        <v>0</v>
      </c>
    </row>
    <row r="268" spans="1:13" x14ac:dyDescent="0.2">
      <c r="A268" s="216">
        <v>279</v>
      </c>
      <c r="B268" s="217" t="s">
        <v>820</v>
      </c>
      <c r="C268" s="97">
        <f t="shared" si="39"/>
        <v>4</v>
      </c>
      <c r="D268" s="97" t="str">
        <f t="shared" si="36"/>
        <v>11029752</v>
      </c>
      <c r="E268" s="97" t="str">
        <f t="shared" si="37"/>
        <v>4402748120004</v>
      </c>
      <c r="F268" s="97" t="b">
        <f t="shared" si="40"/>
        <v>0</v>
      </c>
      <c r="G268" s="285">
        <f t="shared" si="41"/>
        <v>42004</v>
      </c>
      <c r="H268" s="13">
        <v>513</v>
      </c>
      <c r="I268" s="97">
        <f t="shared" si="38"/>
        <v>2014</v>
      </c>
      <c r="J268" s="90"/>
      <c r="K268" s="90"/>
      <c r="L268" s="90">
        <f t="shared" ca="1" si="42"/>
        <v>609</v>
      </c>
      <c r="M268" s="90">
        <f t="shared" ca="1" si="43"/>
        <v>0</v>
      </c>
    </row>
    <row r="269" spans="1:13" x14ac:dyDescent="0.2">
      <c r="A269" s="216">
        <v>280</v>
      </c>
      <c r="B269" s="217" t="s">
        <v>820</v>
      </c>
      <c r="C269" s="97">
        <f t="shared" si="39"/>
        <v>4</v>
      </c>
      <c r="D269" s="97" t="str">
        <f t="shared" si="36"/>
        <v>11029752</v>
      </c>
      <c r="E269" s="97" t="str">
        <f t="shared" si="37"/>
        <v>4402748120004</v>
      </c>
      <c r="F269" s="97" t="b">
        <f t="shared" si="40"/>
        <v>0</v>
      </c>
      <c r="G269" s="285">
        <f t="shared" si="41"/>
        <v>42004</v>
      </c>
      <c r="H269" s="13">
        <v>514</v>
      </c>
      <c r="I269" s="97">
        <f t="shared" si="38"/>
        <v>2014</v>
      </c>
      <c r="J269" s="90"/>
      <c r="K269" s="90"/>
      <c r="L269" s="90" t="str">
        <f t="shared" ca="1" si="42"/>
        <v/>
      </c>
      <c r="M269" s="90" t="str">
        <f t="shared" ca="1" si="43"/>
        <v/>
      </c>
    </row>
    <row r="270" spans="1:13" x14ac:dyDescent="0.2">
      <c r="A270" s="216">
        <v>281</v>
      </c>
      <c r="B270" s="217" t="s">
        <v>820</v>
      </c>
      <c r="C270" s="97">
        <f t="shared" si="39"/>
        <v>4</v>
      </c>
      <c r="D270" s="97" t="str">
        <f t="shared" si="36"/>
        <v>11029752</v>
      </c>
      <c r="E270" s="97" t="str">
        <f t="shared" si="37"/>
        <v>4402748120004</v>
      </c>
      <c r="F270" s="97" t="b">
        <f t="shared" si="40"/>
        <v>0</v>
      </c>
      <c r="G270" s="285">
        <f t="shared" si="41"/>
        <v>42004</v>
      </c>
      <c r="H270" s="13">
        <v>515</v>
      </c>
      <c r="I270" s="97">
        <f t="shared" si="38"/>
        <v>2014</v>
      </c>
      <c r="J270" s="90"/>
      <c r="K270" s="90"/>
      <c r="L270" s="90" t="str">
        <f t="shared" ca="1" si="42"/>
        <v/>
      </c>
      <c r="M270" s="90" t="str">
        <f t="shared" ca="1" si="43"/>
        <v/>
      </c>
    </row>
    <row r="271" spans="1:13" x14ac:dyDescent="0.2">
      <c r="A271" s="216">
        <v>282</v>
      </c>
      <c r="B271" s="217" t="s">
        <v>820</v>
      </c>
      <c r="C271" s="97">
        <f t="shared" si="39"/>
        <v>4</v>
      </c>
      <c r="D271" s="97" t="str">
        <f t="shared" si="36"/>
        <v>11029752</v>
      </c>
      <c r="E271" s="97" t="str">
        <f t="shared" si="37"/>
        <v>4402748120004</v>
      </c>
      <c r="F271" s="97" t="b">
        <f t="shared" si="40"/>
        <v>0</v>
      </c>
      <c r="G271" s="285">
        <f t="shared" si="41"/>
        <v>42004</v>
      </c>
      <c r="H271" s="13">
        <v>516</v>
      </c>
      <c r="I271" s="97">
        <f t="shared" si="38"/>
        <v>2014</v>
      </c>
      <c r="J271" s="90"/>
      <c r="K271" s="90"/>
      <c r="L271" s="90" t="str">
        <f t="shared" ca="1" si="42"/>
        <v/>
      </c>
      <c r="M271" s="90" t="str">
        <f t="shared" ca="1" si="43"/>
        <v/>
      </c>
    </row>
    <row r="272" spans="1:13" x14ac:dyDescent="0.2">
      <c r="A272" s="216">
        <v>283</v>
      </c>
      <c r="B272" s="217" t="s">
        <v>820</v>
      </c>
      <c r="C272" s="97">
        <f t="shared" si="39"/>
        <v>4</v>
      </c>
      <c r="D272" s="97" t="str">
        <f t="shared" si="36"/>
        <v>11029752</v>
      </c>
      <c r="E272" s="97" t="str">
        <f t="shared" si="37"/>
        <v>4402748120004</v>
      </c>
      <c r="F272" s="97" t="b">
        <f t="shared" si="40"/>
        <v>0</v>
      </c>
      <c r="G272" s="285">
        <f t="shared" si="41"/>
        <v>42004</v>
      </c>
      <c r="H272" s="13">
        <v>517</v>
      </c>
      <c r="I272" s="97">
        <f t="shared" si="38"/>
        <v>2014</v>
      </c>
      <c r="J272" s="90"/>
      <c r="K272" s="90"/>
      <c r="L272" s="90">
        <f t="shared" ca="1" si="42"/>
        <v>609</v>
      </c>
      <c r="M272" s="90" t="str">
        <f t="shared" ca="1" si="43"/>
        <v/>
      </c>
    </row>
    <row r="273" spans="1:13" x14ac:dyDescent="0.2">
      <c r="A273" s="216">
        <v>284</v>
      </c>
      <c r="B273" s="217" t="s">
        <v>820</v>
      </c>
      <c r="C273" s="97">
        <f t="shared" si="39"/>
        <v>4</v>
      </c>
      <c r="D273" s="97" t="str">
        <f t="shared" si="36"/>
        <v>11029752</v>
      </c>
      <c r="E273" s="97" t="str">
        <f t="shared" si="37"/>
        <v>4402748120004</v>
      </c>
      <c r="F273" s="97" t="b">
        <f t="shared" si="40"/>
        <v>0</v>
      </c>
      <c r="G273" s="285">
        <f t="shared" si="41"/>
        <v>42004</v>
      </c>
      <c r="H273" s="13">
        <v>518</v>
      </c>
      <c r="I273" s="97">
        <f t="shared" si="38"/>
        <v>2014</v>
      </c>
      <c r="J273" s="90"/>
      <c r="K273" s="90"/>
      <c r="L273" s="90" t="str">
        <f t="shared" ca="1" si="42"/>
        <v/>
      </c>
      <c r="M273" s="90" t="str">
        <f t="shared" ca="1" si="43"/>
        <v/>
      </c>
    </row>
    <row r="274" spans="1:13" x14ac:dyDescent="0.2">
      <c r="A274" s="216">
        <v>285</v>
      </c>
      <c r="B274" s="217" t="s">
        <v>820</v>
      </c>
      <c r="C274" s="97">
        <f t="shared" si="39"/>
        <v>4</v>
      </c>
      <c r="D274" s="97" t="str">
        <f t="shared" si="36"/>
        <v>11029752</v>
      </c>
      <c r="E274" s="97" t="str">
        <f t="shared" si="37"/>
        <v>4402748120004</v>
      </c>
      <c r="F274" s="97" t="b">
        <f t="shared" si="40"/>
        <v>0</v>
      </c>
      <c r="G274" s="285">
        <f t="shared" si="41"/>
        <v>42004</v>
      </c>
      <c r="H274" s="13">
        <v>519</v>
      </c>
      <c r="I274" s="97">
        <f t="shared" si="38"/>
        <v>2014</v>
      </c>
      <c r="J274" s="90"/>
      <c r="K274" s="90"/>
      <c r="L274" s="90" t="str">
        <f t="shared" ca="1" si="42"/>
        <v/>
      </c>
      <c r="M274" s="90" t="str">
        <f t="shared" ca="1" si="43"/>
        <v/>
      </c>
    </row>
    <row r="275" spans="1:13" x14ac:dyDescent="0.2">
      <c r="A275" s="216">
        <v>286</v>
      </c>
      <c r="B275" s="217" t="s">
        <v>820</v>
      </c>
      <c r="C275" s="97">
        <f t="shared" si="39"/>
        <v>4</v>
      </c>
      <c r="D275" s="97" t="str">
        <f t="shared" si="36"/>
        <v>11029752</v>
      </c>
      <c r="E275" s="97" t="str">
        <f t="shared" si="37"/>
        <v>4402748120004</v>
      </c>
      <c r="F275" s="97" t="b">
        <f t="shared" si="40"/>
        <v>0</v>
      </c>
      <c r="G275" s="285">
        <f t="shared" si="41"/>
        <v>42004</v>
      </c>
      <c r="H275" s="13">
        <v>520</v>
      </c>
      <c r="I275" s="97">
        <f t="shared" si="38"/>
        <v>2014</v>
      </c>
      <c r="J275" s="90"/>
      <c r="K275" s="90"/>
      <c r="L275" s="90">
        <f t="shared" ca="1" si="42"/>
        <v>2068</v>
      </c>
      <c r="M275" s="90">
        <f t="shared" ca="1" si="43"/>
        <v>0</v>
      </c>
    </row>
    <row r="276" spans="1:13" x14ac:dyDescent="0.2">
      <c r="A276" s="216">
        <v>287</v>
      </c>
      <c r="B276" s="217" t="s">
        <v>820</v>
      </c>
      <c r="C276" s="97">
        <f t="shared" si="39"/>
        <v>4</v>
      </c>
      <c r="D276" s="97" t="str">
        <f t="shared" si="36"/>
        <v>11029752</v>
      </c>
      <c r="E276" s="97" t="str">
        <f t="shared" si="37"/>
        <v>4402748120004</v>
      </c>
      <c r="F276" s="97" t="b">
        <f t="shared" si="40"/>
        <v>0</v>
      </c>
      <c r="G276" s="285">
        <f t="shared" si="41"/>
        <v>42004</v>
      </c>
      <c r="H276" s="13">
        <v>521</v>
      </c>
      <c r="I276" s="97">
        <f t="shared" si="38"/>
        <v>2014</v>
      </c>
      <c r="J276" s="90"/>
      <c r="K276" s="90"/>
      <c r="L276" s="90" t="str">
        <f t="shared" ca="1" si="42"/>
        <v/>
      </c>
      <c r="M276" s="90" t="str">
        <f t="shared" ca="1" si="43"/>
        <v/>
      </c>
    </row>
    <row r="277" spans="1:13" x14ac:dyDescent="0.2">
      <c r="A277" s="216">
        <v>288</v>
      </c>
      <c r="B277" s="217" t="s">
        <v>820</v>
      </c>
      <c r="C277" s="97">
        <f t="shared" si="39"/>
        <v>4</v>
      </c>
      <c r="D277" s="97" t="str">
        <f t="shared" si="36"/>
        <v>11029752</v>
      </c>
      <c r="E277" s="97" t="str">
        <f t="shared" si="37"/>
        <v>4402748120004</v>
      </c>
      <c r="F277" s="97" t="b">
        <f t="shared" si="40"/>
        <v>0</v>
      </c>
      <c r="G277" s="285">
        <f t="shared" si="41"/>
        <v>42004</v>
      </c>
      <c r="H277" s="13">
        <v>522</v>
      </c>
      <c r="I277" s="97">
        <f t="shared" si="38"/>
        <v>2014</v>
      </c>
      <c r="J277" s="90"/>
      <c r="K277" s="90"/>
      <c r="L277" s="90" t="str">
        <f t="shared" ca="1" si="42"/>
        <v/>
      </c>
      <c r="M277" s="90" t="str">
        <f t="shared" ca="1" si="43"/>
        <v/>
      </c>
    </row>
    <row r="278" spans="1:13" x14ac:dyDescent="0.2">
      <c r="A278" s="216">
        <v>289</v>
      </c>
      <c r="B278" s="217" t="s">
        <v>820</v>
      </c>
      <c r="C278" s="97">
        <f t="shared" si="39"/>
        <v>4</v>
      </c>
      <c r="D278" s="97" t="str">
        <f t="shared" si="36"/>
        <v>11029752</v>
      </c>
      <c r="E278" s="97" t="str">
        <f t="shared" si="37"/>
        <v>4402748120004</v>
      </c>
      <c r="F278" s="97" t="b">
        <f t="shared" si="40"/>
        <v>0</v>
      </c>
      <c r="G278" s="285">
        <f t="shared" si="41"/>
        <v>42004</v>
      </c>
      <c r="H278" s="13">
        <v>523</v>
      </c>
      <c r="I278" s="97">
        <f t="shared" si="38"/>
        <v>2014</v>
      </c>
      <c r="J278" s="90"/>
      <c r="K278" s="90"/>
      <c r="L278" s="90">
        <f t="shared" ca="1" si="42"/>
        <v>2068</v>
      </c>
      <c r="M278" s="90" t="str">
        <f t="shared" ca="1" si="43"/>
        <v/>
      </c>
    </row>
    <row r="279" spans="1:13" x14ac:dyDescent="0.2">
      <c r="A279" s="216">
        <v>290</v>
      </c>
      <c r="B279" s="217" t="s">
        <v>820</v>
      </c>
      <c r="C279" s="97">
        <f t="shared" si="39"/>
        <v>4</v>
      </c>
      <c r="D279" s="97" t="str">
        <f t="shared" si="36"/>
        <v>11029752</v>
      </c>
      <c r="E279" s="97" t="str">
        <f t="shared" si="37"/>
        <v>4402748120004</v>
      </c>
      <c r="F279" s="97" t="b">
        <f t="shared" si="40"/>
        <v>0</v>
      </c>
      <c r="G279" s="285">
        <f t="shared" si="41"/>
        <v>42004</v>
      </c>
      <c r="H279" s="13">
        <v>524</v>
      </c>
      <c r="I279" s="97">
        <f t="shared" si="38"/>
        <v>2014</v>
      </c>
      <c r="J279" s="90"/>
      <c r="K279" s="90"/>
      <c r="L279" s="90" t="str">
        <f t="shared" ca="1" si="42"/>
        <v/>
      </c>
      <c r="M279" s="90" t="str">
        <f t="shared" ca="1" si="43"/>
        <v/>
      </c>
    </row>
    <row r="280" spans="1:13" x14ac:dyDescent="0.2">
      <c r="A280" s="216">
        <v>291</v>
      </c>
      <c r="B280" s="217" t="s">
        <v>820</v>
      </c>
      <c r="C280" s="97">
        <f t="shared" si="39"/>
        <v>4</v>
      </c>
      <c r="D280" s="97" t="str">
        <f t="shared" si="36"/>
        <v>11029752</v>
      </c>
      <c r="E280" s="97" t="str">
        <f t="shared" si="37"/>
        <v>4402748120004</v>
      </c>
      <c r="F280" s="97" t="b">
        <f t="shared" si="40"/>
        <v>0</v>
      </c>
      <c r="G280" s="285">
        <f t="shared" si="41"/>
        <v>42004</v>
      </c>
      <c r="H280" s="13">
        <v>525</v>
      </c>
      <c r="I280" s="97">
        <f t="shared" si="38"/>
        <v>2014</v>
      </c>
      <c r="J280" s="90"/>
      <c r="K280" s="90"/>
      <c r="L280" s="90">
        <f t="shared" ca="1" si="42"/>
        <v>0</v>
      </c>
      <c r="M280" s="90">
        <f t="shared" ca="1" si="43"/>
        <v>0</v>
      </c>
    </row>
    <row r="281" spans="1:13" x14ac:dyDescent="0.2">
      <c r="A281" s="216">
        <v>292</v>
      </c>
      <c r="B281" s="217" t="s">
        <v>820</v>
      </c>
      <c r="C281" s="97">
        <f t="shared" si="39"/>
        <v>4</v>
      </c>
      <c r="D281" s="97" t="str">
        <f t="shared" si="36"/>
        <v>11029752</v>
      </c>
      <c r="E281" s="97" t="str">
        <f t="shared" si="37"/>
        <v>4402748120004</v>
      </c>
      <c r="F281" s="97" t="b">
        <f t="shared" si="40"/>
        <v>0</v>
      </c>
      <c r="G281" s="285">
        <f t="shared" si="41"/>
        <v>42004</v>
      </c>
      <c r="H281" s="13">
        <v>526</v>
      </c>
      <c r="I281" s="97">
        <f t="shared" si="38"/>
        <v>2014</v>
      </c>
      <c r="J281" s="90"/>
      <c r="K281" s="90"/>
      <c r="L281" s="90">
        <f t="shared" ca="1" si="42"/>
        <v>1459</v>
      </c>
      <c r="M281" s="90">
        <f t="shared" ca="1" si="43"/>
        <v>0</v>
      </c>
    </row>
    <row r="282" spans="1:13" x14ac:dyDescent="0.2">
      <c r="A282" s="216">
        <v>294</v>
      </c>
      <c r="B282" s="217" t="s">
        <v>820</v>
      </c>
      <c r="C282" s="97">
        <f t="shared" si="39"/>
        <v>4</v>
      </c>
      <c r="D282" s="97" t="str">
        <f t="shared" si="36"/>
        <v>11029752</v>
      </c>
      <c r="E282" s="97" t="str">
        <f t="shared" si="37"/>
        <v>4402748120004</v>
      </c>
      <c r="F282" s="97" t="b">
        <f t="shared" si="40"/>
        <v>0</v>
      </c>
      <c r="G282" s="285">
        <f t="shared" si="41"/>
        <v>42004</v>
      </c>
      <c r="H282" s="13">
        <v>527</v>
      </c>
      <c r="I282" s="97">
        <f t="shared" si="38"/>
        <v>2014</v>
      </c>
      <c r="J282" s="90"/>
      <c r="K282" s="90"/>
      <c r="L282" s="90">
        <f t="shared" ca="1" si="42"/>
        <v>0</v>
      </c>
      <c r="M282" s="90">
        <f t="shared" ca="1" si="43"/>
        <v>0</v>
      </c>
    </row>
    <row r="283" spans="1:13" x14ac:dyDescent="0.2">
      <c r="A283" s="216">
        <v>295</v>
      </c>
      <c r="B283" s="217" t="s">
        <v>820</v>
      </c>
      <c r="C283" s="97">
        <f t="shared" si="39"/>
        <v>4</v>
      </c>
      <c r="D283" s="97" t="str">
        <f t="shared" si="36"/>
        <v>11029752</v>
      </c>
      <c r="E283" s="97" t="str">
        <f t="shared" si="37"/>
        <v>4402748120004</v>
      </c>
      <c r="F283" s="97" t="b">
        <f t="shared" si="40"/>
        <v>0</v>
      </c>
      <c r="G283" s="285">
        <f t="shared" si="41"/>
        <v>42004</v>
      </c>
      <c r="H283" s="13">
        <v>528</v>
      </c>
      <c r="I283" s="97">
        <f t="shared" si="38"/>
        <v>2014</v>
      </c>
      <c r="J283" s="90"/>
      <c r="K283" s="90"/>
      <c r="L283" s="90" t="str">
        <f t="shared" ca="1" si="42"/>
        <v/>
      </c>
      <c r="M283" s="90" t="str">
        <f t="shared" ca="1" si="43"/>
        <v/>
      </c>
    </row>
    <row r="284" spans="1:13" x14ac:dyDescent="0.2">
      <c r="A284" s="216">
        <v>296</v>
      </c>
      <c r="B284" s="217" t="s">
        <v>820</v>
      </c>
      <c r="C284" s="97">
        <f t="shared" si="39"/>
        <v>4</v>
      </c>
      <c r="D284" s="97" t="str">
        <f t="shared" si="36"/>
        <v>11029752</v>
      </c>
      <c r="E284" s="97" t="str">
        <f t="shared" si="37"/>
        <v>4402748120004</v>
      </c>
      <c r="F284" s="97" t="b">
        <f t="shared" si="40"/>
        <v>0</v>
      </c>
      <c r="G284" s="285">
        <f t="shared" si="41"/>
        <v>42004</v>
      </c>
      <c r="H284" s="13">
        <v>529</v>
      </c>
      <c r="I284" s="97">
        <f t="shared" si="38"/>
        <v>2014</v>
      </c>
      <c r="J284" s="90"/>
      <c r="K284" s="90"/>
      <c r="L284" s="90" t="str">
        <f t="shared" ca="1" si="42"/>
        <v/>
      </c>
      <c r="M284" s="90" t="str">
        <f t="shared" ca="1" si="43"/>
        <v/>
      </c>
    </row>
    <row r="285" spans="1:13" x14ac:dyDescent="0.2">
      <c r="A285" s="216">
        <v>297</v>
      </c>
      <c r="B285" s="217" t="s">
        <v>820</v>
      </c>
      <c r="C285" s="97">
        <f t="shared" si="39"/>
        <v>4</v>
      </c>
      <c r="D285" s="97" t="str">
        <f t="shared" si="36"/>
        <v>11029752</v>
      </c>
      <c r="E285" s="97" t="str">
        <f t="shared" si="37"/>
        <v>4402748120004</v>
      </c>
      <c r="F285" s="97" t="b">
        <f t="shared" si="40"/>
        <v>0</v>
      </c>
      <c r="G285" s="285">
        <f t="shared" si="41"/>
        <v>42004</v>
      </c>
      <c r="H285" s="13">
        <v>530</v>
      </c>
      <c r="I285" s="97">
        <f t="shared" si="38"/>
        <v>2014</v>
      </c>
      <c r="J285" s="90"/>
      <c r="K285" s="90"/>
      <c r="L285" s="90" t="str">
        <f t="shared" ca="1" si="42"/>
        <v/>
      </c>
      <c r="M285" s="90" t="str">
        <f t="shared" ca="1" si="43"/>
        <v/>
      </c>
    </row>
    <row r="286" spans="1:13" x14ac:dyDescent="0.2">
      <c r="A286" s="216">
        <v>298</v>
      </c>
      <c r="B286" s="217" t="s">
        <v>820</v>
      </c>
      <c r="C286" s="97">
        <f t="shared" si="39"/>
        <v>4</v>
      </c>
      <c r="D286" s="97" t="str">
        <f t="shared" si="36"/>
        <v>11029752</v>
      </c>
      <c r="E286" s="97" t="str">
        <f t="shared" si="37"/>
        <v>4402748120004</v>
      </c>
      <c r="F286" s="97" t="b">
        <f t="shared" si="40"/>
        <v>0</v>
      </c>
      <c r="G286" s="285">
        <f t="shared" si="41"/>
        <v>42004</v>
      </c>
      <c r="H286" s="13">
        <v>531</v>
      </c>
      <c r="I286" s="97">
        <f t="shared" si="38"/>
        <v>2014</v>
      </c>
      <c r="J286" s="90"/>
      <c r="K286" s="90"/>
      <c r="L286" s="90" t="str">
        <f t="shared" ca="1" si="42"/>
        <v/>
      </c>
      <c r="M286" s="90" t="str">
        <f t="shared" ca="1" si="43"/>
        <v/>
      </c>
    </row>
    <row r="287" spans="1:13" x14ac:dyDescent="0.2">
      <c r="A287" s="216">
        <v>299</v>
      </c>
      <c r="B287" s="217" t="s">
        <v>820</v>
      </c>
      <c r="C287" s="97">
        <f t="shared" si="39"/>
        <v>4</v>
      </c>
      <c r="D287" s="97" t="str">
        <f t="shared" si="36"/>
        <v>11029752</v>
      </c>
      <c r="E287" s="97" t="str">
        <f t="shared" si="37"/>
        <v>4402748120004</v>
      </c>
      <c r="F287" s="97" t="b">
        <f t="shared" si="40"/>
        <v>0</v>
      </c>
      <c r="G287" s="285">
        <f t="shared" si="41"/>
        <v>42004</v>
      </c>
      <c r="H287" s="13">
        <v>532</v>
      </c>
      <c r="I287" s="97">
        <f t="shared" si="38"/>
        <v>2014</v>
      </c>
      <c r="J287" s="90"/>
      <c r="K287" s="90"/>
      <c r="L287" s="90">
        <f t="shared" ca="1" si="42"/>
        <v>3521</v>
      </c>
      <c r="M287" s="90">
        <f t="shared" ca="1" si="43"/>
        <v>205281</v>
      </c>
    </row>
    <row r="288" spans="1:13" x14ac:dyDescent="0.2">
      <c r="A288" s="216">
        <v>300</v>
      </c>
      <c r="B288" s="217" t="s">
        <v>820</v>
      </c>
      <c r="C288" s="97">
        <f t="shared" si="39"/>
        <v>4</v>
      </c>
      <c r="D288" s="97" t="str">
        <f t="shared" si="36"/>
        <v>11029752</v>
      </c>
      <c r="E288" s="97" t="str">
        <f t="shared" si="37"/>
        <v>4402748120004</v>
      </c>
      <c r="F288" s="97" t="b">
        <f t="shared" si="40"/>
        <v>0</v>
      </c>
      <c r="G288" s="285">
        <f t="shared" si="41"/>
        <v>42004</v>
      </c>
      <c r="H288" s="13">
        <v>533</v>
      </c>
      <c r="I288" s="97">
        <f t="shared" si="38"/>
        <v>2014</v>
      </c>
      <c r="J288" s="90"/>
      <c r="K288" s="90"/>
      <c r="L288" s="90" t="str">
        <f t="shared" ca="1" si="42"/>
        <v/>
      </c>
      <c r="M288" s="90" t="str">
        <f t="shared" ca="1" si="43"/>
        <v/>
      </c>
    </row>
    <row r="289" spans="1:13" x14ac:dyDescent="0.2">
      <c r="A289" s="216">
        <v>301</v>
      </c>
      <c r="B289" s="217" t="s">
        <v>820</v>
      </c>
      <c r="C289" s="97">
        <f t="shared" si="39"/>
        <v>4</v>
      </c>
      <c r="D289" s="97" t="str">
        <f t="shared" si="36"/>
        <v>11029752</v>
      </c>
      <c r="E289" s="97" t="str">
        <f t="shared" si="37"/>
        <v>4402748120004</v>
      </c>
      <c r="F289" s="97" t="b">
        <f t="shared" si="40"/>
        <v>0</v>
      </c>
      <c r="G289" s="285">
        <f t="shared" si="41"/>
        <v>42004</v>
      </c>
      <c r="H289" s="13">
        <v>534</v>
      </c>
      <c r="I289" s="97">
        <f t="shared" si="38"/>
        <v>2014</v>
      </c>
      <c r="J289" s="90"/>
      <c r="K289" s="90"/>
      <c r="L289" s="90" t="str">
        <f t="shared" ca="1" si="42"/>
        <v/>
      </c>
      <c r="M289" s="90" t="str">
        <f t="shared" ca="1" si="43"/>
        <v/>
      </c>
    </row>
    <row r="290" spans="1:13" x14ac:dyDescent="0.2">
      <c r="A290" s="216">
        <v>302</v>
      </c>
      <c r="B290" s="217" t="s">
        <v>820</v>
      </c>
      <c r="C290" s="97">
        <f t="shared" si="39"/>
        <v>4</v>
      </c>
      <c r="D290" s="97" t="str">
        <f t="shared" si="36"/>
        <v>11029752</v>
      </c>
      <c r="E290" s="97" t="str">
        <f t="shared" si="37"/>
        <v>4402748120004</v>
      </c>
      <c r="F290" s="97" t="b">
        <f t="shared" si="40"/>
        <v>0</v>
      </c>
      <c r="G290" s="285">
        <f t="shared" si="41"/>
        <v>42004</v>
      </c>
      <c r="H290" s="13">
        <v>535</v>
      </c>
      <c r="I290" s="97">
        <f t="shared" si="38"/>
        <v>2014</v>
      </c>
      <c r="J290" s="90"/>
      <c r="K290" s="90"/>
      <c r="L290" s="90" t="str">
        <f t="shared" ca="1" si="42"/>
        <v/>
      </c>
      <c r="M290" s="90">
        <f t="shared" ca="1" si="43"/>
        <v>200000</v>
      </c>
    </row>
    <row r="291" spans="1:13" x14ac:dyDescent="0.2">
      <c r="A291" s="216">
        <v>303</v>
      </c>
      <c r="B291" s="217" t="s">
        <v>820</v>
      </c>
      <c r="C291" s="97">
        <f t="shared" si="39"/>
        <v>4</v>
      </c>
      <c r="D291" s="97" t="str">
        <f t="shared" si="36"/>
        <v>11029752</v>
      </c>
      <c r="E291" s="97" t="str">
        <f t="shared" si="37"/>
        <v>4402748120004</v>
      </c>
      <c r="F291" s="97" t="b">
        <f t="shared" si="40"/>
        <v>0</v>
      </c>
      <c r="G291" s="285">
        <f t="shared" si="41"/>
        <v>42004</v>
      </c>
      <c r="H291" s="13">
        <v>536</v>
      </c>
      <c r="I291" s="97">
        <f t="shared" si="38"/>
        <v>2014</v>
      </c>
      <c r="J291" s="90"/>
      <c r="K291" s="90"/>
      <c r="L291" s="90">
        <f t="shared" ca="1" si="42"/>
        <v>3521</v>
      </c>
      <c r="M291" s="90">
        <f t="shared" ca="1" si="43"/>
        <v>5281</v>
      </c>
    </row>
    <row r="292" spans="1:13" x14ac:dyDescent="0.2">
      <c r="A292" s="216">
        <v>304</v>
      </c>
      <c r="B292" s="217" t="s">
        <v>820</v>
      </c>
      <c r="C292" s="97">
        <f t="shared" si="39"/>
        <v>4</v>
      </c>
      <c r="D292" s="97" t="str">
        <f t="shared" si="36"/>
        <v>11029752</v>
      </c>
      <c r="E292" s="97" t="str">
        <f t="shared" si="37"/>
        <v>4402748120004</v>
      </c>
      <c r="F292" s="97" t="b">
        <f t="shared" si="40"/>
        <v>0</v>
      </c>
      <c r="G292" s="285">
        <f t="shared" si="41"/>
        <v>42004</v>
      </c>
      <c r="H292" s="13">
        <v>537</v>
      </c>
      <c r="I292" s="97">
        <f t="shared" si="38"/>
        <v>2014</v>
      </c>
      <c r="J292" s="90"/>
      <c r="K292" s="90"/>
      <c r="L292" s="90" t="str">
        <f t="shared" ca="1" si="42"/>
        <v/>
      </c>
      <c r="M292" s="90" t="str">
        <f t="shared" ca="1" si="43"/>
        <v/>
      </c>
    </row>
    <row r="293" spans="1:13" x14ac:dyDescent="0.2">
      <c r="A293" s="216">
        <v>305</v>
      </c>
      <c r="B293" s="217" t="s">
        <v>820</v>
      </c>
      <c r="C293" s="97">
        <f t="shared" si="39"/>
        <v>4</v>
      </c>
      <c r="D293" s="97" t="str">
        <f t="shared" si="36"/>
        <v>11029752</v>
      </c>
      <c r="E293" s="97" t="str">
        <f t="shared" si="37"/>
        <v>4402748120004</v>
      </c>
      <c r="F293" s="97" t="b">
        <f t="shared" si="40"/>
        <v>0</v>
      </c>
      <c r="G293" s="285">
        <f t="shared" si="41"/>
        <v>42004</v>
      </c>
      <c r="H293" s="13">
        <v>538</v>
      </c>
      <c r="I293" s="97">
        <f t="shared" si="38"/>
        <v>2014</v>
      </c>
      <c r="J293" s="90"/>
      <c r="K293" s="90"/>
      <c r="L293" s="90" t="str">
        <f t="shared" ca="1" si="42"/>
        <v/>
      </c>
      <c r="M293" s="90" t="str">
        <f t="shared" ca="1" si="43"/>
        <v/>
      </c>
    </row>
    <row r="294" spans="1:13" x14ac:dyDescent="0.2">
      <c r="A294" s="216">
        <v>306</v>
      </c>
      <c r="B294" s="217" t="s">
        <v>820</v>
      </c>
      <c r="C294" s="97">
        <f t="shared" si="39"/>
        <v>4</v>
      </c>
      <c r="D294" s="97" t="str">
        <f t="shared" si="36"/>
        <v>11029752</v>
      </c>
      <c r="E294" s="97" t="str">
        <f t="shared" si="37"/>
        <v>4402748120004</v>
      </c>
      <c r="F294" s="97" t="b">
        <f t="shared" si="40"/>
        <v>0</v>
      </c>
      <c r="G294" s="285">
        <f t="shared" si="41"/>
        <v>42004</v>
      </c>
      <c r="H294" s="13">
        <v>539</v>
      </c>
      <c r="I294" s="97">
        <f t="shared" si="38"/>
        <v>2014</v>
      </c>
      <c r="J294" s="90"/>
      <c r="K294" s="90"/>
      <c r="L294" s="90">
        <f t="shared" ca="1" si="42"/>
        <v>0</v>
      </c>
      <c r="M294" s="90">
        <f t="shared" ca="1" si="43"/>
        <v>0</v>
      </c>
    </row>
    <row r="295" spans="1:13" x14ac:dyDescent="0.2">
      <c r="A295" s="216">
        <v>307</v>
      </c>
      <c r="B295" s="217" t="s">
        <v>820</v>
      </c>
      <c r="C295" s="97">
        <f t="shared" si="39"/>
        <v>4</v>
      </c>
      <c r="D295" s="97" t="str">
        <f t="shared" si="36"/>
        <v>11029752</v>
      </c>
      <c r="E295" s="97" t="str">
        <f t="shared" si="37"/>
        <v>4402748120004</v>
      </c>
      <c r="F295" s="97" t="b">
        <f t="shared" si="40"/>
        <v>0</v>
      </c>
      <c r="G295" s="285">
        <f t="shared" si="41"/>
        <v>42004</v>
      </c>
      <c r="H295" s="13">
        <v>540</v>
      </c>
      <c r="I295" s="97">
        <f t="shared" si="38"/>
        <v>2014</v>
      </c>
      <c r="J295" s="90"/>
      <c r="K295" s="90"/>
      <c r="L295" s="90">
        <f t="shared" ca="1" si="42"/>
        <v>3521</v>
      </c>
      <c r="M295" s="90">
        <f t="shared" ca="1" si="43"/>
        <v>205281</v>
      </c>
    </row>
    <row r="296" spans="1:13" x14ac:dyDescent="0.2">
      <c r="A296" s="216">
        <v>308</v>
      </c>
      <c r="B296" s="217" t="s">
        <v>820</v>
      </c>
      <c r="C296" s="97">
        <f t="shared" si="39"/>
        <v>4</v>
      </c>
      <c r="D296" s="97" t="str">
        <f t="shared" si="36"/>
        <v>11029752</v>
      </c>
      <c r="E296" s="97" t="str">
        <f t="shared" si="37"/>
        <v>4402748120004</v>
      </c>
      <c r="F296" s="97" t="b">
        <f t="shared" si="40"/>
        <v>0</v>
      </c>
      <c r="G296" s="285">
        <f t="shared" si="41"/>
        <v>42004</v>
      </c>
      <c r="H296" s="13">
        <v>541</v>
      </c>
      <c r="I296" s="97">
        <f t="shared" si="38"/>
        <v>2014</v>
      </c>
      <c r="J296" s="90"/>
      <c r="K296" s="90"/>
      <c r="L296" s="90">
        <f t="shared" ca="1" si="42"/>
        <v>5404849</v>
      </c>
      <c r="M296" s="90">
        <f t="shared" ca="1" si="43"/>
        <v>3032976</v>
      </c>
    </row>
    <row r="297" spans="1:13" x14ac:dyDescent="0.2">
      <c r="A297" s="216">
        <v>309</v>
      </c>
      <c r="B297" s="217" t="s">
        <v>820</v>
      </c>
      <c r="C297" s="97">
        <f t="shared" si="39"/>
        <v>4</v>
      </c>
      <c r="D297" s="97" t="str">
        <f t="shared" si="36"/>
        <v>11029752</v>
      </c>
      <c r="E297" s="97" t="str">
        <f t="shared" si="37"/>
        <v>4402748120004</v>
      </c>
      <c r="F297" s="97" t="b">
        <f t="shared" si="40"/>
        <v>0</v>
      </c>
      <c r="G297" s="285">
        <f t="shared" si="41"/>
        <v>42004</v>
      </c>
      <c r="H297" s="13">
        <v>542</v>
      </c>
      <c r="I297" s="97">
        <f t="shared" si="38"/>
        <v>2014</v>
      </c>
      <c r="J297" s="90"/>
      <c r="K297" s="90"/>
      <c r="L297" s="90">
        <f t="shared" ca="1" si="42"/>
        <v>4654529</v>
      </c>
      <c r="M297" s="90">
        <f t="shared" ca="1" si="43"/>
        <v>3062929</v>
      </c>
    </row>
    <row r="298" spans="1:13" x14ac:dyDescent="0.2">
      <c r="A298" s="216">
        <v>310</v>
      </c>
      <c r="B298" s="217" t="s">
        <v>820</v>
      </c>
      <c r="C298" s="97">
        <f t="shared" si="39"/>
        <v>4</v>
      </c>
      <c r="D298" s="97" t="str">
        <f t="shared" si="36"/>
        <v>11029752</v>
      </c>
      <c r="E298" s="97" t="str">
        <f t="shared" si="37"/>
        <v>4402748120004</v>
      </c>
      <c r="F298" s="97" t="b">
        <f t="shared" si="40"/>
        <v>0</v>
      </c>
      <c r="G298" s="285">
        <f t="shared" si="41"/>
        <v>42004</v>
      </c>
      <c r="H298" s="13">
        <v>543</v>
      </c>
      <c r="I298" s="97">
        <f t="shared" si="38"/>
        <v>2014</v>
      </c>
      <c r="J298" s="90"/>
      <c r="K298" s="90"/>
      <c r="L298" s="90">
        <f t="shared" ca="1" si="42"/>
        <v>750320</v>
      </c>
      <c r="M298" s="90">
        <f t="shared" ca="1" si="43"/>
        <v>0</v>
      </c>
    </row>
    <row r="299" spans="1:13" x14ac:dyDescent="0.2">
      <c r="A299" s="216">
        <v>311</v>
      </c>
      <c r="B299" s="217" t="s">
        <v>820</v>
      </c>
      <c r="C299" s="97">
        <f t="shared" si="39"/>
        <v>4</v>
      </c>
      <c r="D299" s="97" t="str">
        <f t="shared" si="36"/>
        <v>11029752</v>
      </c>
      <c r="E299" s="97" t="str">
        <f t="shared" si="37"/>
        <v>4402748120004</v>
      </c>
      <c r="F299" s="97" t="b">
        <f t="shared" si="40"/>
        <v>0</v>
      </c>
      <c r="G299" s="285">
        <f t="shared" si="41"/>
        <v>42004</v>
      </c>
      <c r="H299" s="13">
        <v>544</v>
      </c>
      <c r="I299" s="97">
        <f t="shared" si="38"/>
        <v>2014</v>
      </c>
      <c r="J299" s="90"/>
      <c r="K299" s="90"/>
      <c r="L299" s="90">
        <f t="shared" ca="1" si="42"/>
        <v>0</v>
      </c>
      <c r="M299" s="90">
        <f t="shared" ca="1" si="43"/>
        <v>29953</v>
      </c>
    </row>
    <row r="300" spans="1:13" x14ac:dyDescent="0.2">
      <c r="A300" s="216">
        <v>312</v>
      </c>
      <c r="B300" s="217" t="s">
        <v>820</v>
      </c>
      <c r="C300" s="97">
        <f t="shared" si="39"/>
        <v>4</v>
      </c>
      <c r="D300" s="97" t="str">
        <f t="shared" si="36"/>
        <v>11029752</v>
      </c>
      <c r="E300" s="97" t="str">
        <f t="shared" si="37"/>
        <v>4402748120004</v>
      </c>
      <c r="F300" s="97" t="b">
        <f t="shared" si="40"/>
        <v>0</v>
      </c>
      <c r="G300" s="285">
        <f t="shared" si="41"/>
        <v>42004</v>
      </c>
      <c r="H300" s="13">
        <v>545</v>
      </c>
      <c r="I300" s="97">
        <f t="shared" si="38"/>
        <v>2014</v>
      </c>
      <c r="J300" s="90"/>
      <c r="K300" s="90"/>
      <c r="L300" s="90">
        <f t="shared" ca="1" si="42"/>
        <v>67138</v>
      </c>
      <c r="M300" s="90">
        <f t="shared" ca="1" si="43"/>
        <v>97091</v>
      </c>
    </row>
    <row r="301" spans="1:13" x14ac:dyDescent="0.2">
      <c r="A301" s="216">
        <v>313</v>
      </c>
      <c r="B301" s="217" t="s">
        <v>820</v>
      </c>
      <c r="C301" s="97">
        <f t="shared" si="39"/>
        <v>4</v>
      </c>
      <c r="D301" s="97" t="str">
        <f t="shared" si="36"/>
        <v>11029752</v>
      </c>
      <c r="E301" s="97" t="str">
        <f t="shared" si="37"/>
        <v>4402748120004</v>
      </c>
      <c r="F301" s="97" t="b">
        <f t="shared" si="40"/>
        <v>0</v>
      </c>
      <c r="G301" s="285">
        <f t="shared" si="41"/>
        <v>42004</v>
      </c>
      <c r="H301" s="13">
        <v>546</v>
      </c>
      <c r="I301" s="97">
        <f t="shared" si="38"/>
        <v>2014</v>
      </c>
      <c r="J301" s="90"/>
      <c r="K301" s="90"/>
      <c r="L301" s="90" t="str">
        <f t="shared" ca="1" si="42"/>
        <v/>
      </c>
      <c r="M301" s="90" t="str">
        <f t="shared" ca="1" si="43"/>
        <v/>
      </c>
    </row>
    <row r="302" spans="1:13" x14ac:dyDescent="0.2">
      <c r="A302" s="216">
        <v>314</v>
      </c>
      <c r="B302" s="217" t="s">
        <v>820</v>
      </c>
      <c r="C302" s="97">
        <f t="shared" si="39"/>
        <v>4</v>
      </c>
      <c r="D302" s="97" t="str">
        <f t="shared" si="36"/>
        <v>11029752</v>
      </c>
      <c r="E302" s="97" t="str">
        <f t="shared" si="37"/>
        <v>4402748120004</v>
      </c>
      <c r="F302" s="97" t="b">
        <f t="shared" si="40"/>
        <v>0</v>
      </c>
      <c r="G302" s="285">
        <f t="shared" si="41"/>
        <v>42004</v>
      </c>
      <c r="H302" s="13">
        <v>547</v>
      </c>
      <c r="I302" s="97">
        <f t="shared" si="38"/>
        <v>2014</v>
      </c>
      <c r="J302" s="90"/>
      <c r="K302" s="90"/>
      <c r="L302" s="90" t="str">
        <f t="shared" ca="1" si="42"/>
        <v/>
      </c>
      <c r="M302" s="90" t="str">
        <f t="shared" ca="1" si="43"/>
        <v/>
      </c>
    </row>
    <row r="303" spans="1:13" x14ac:dyDescent="0.2">
      <c r="A303" s="216">
        <v>315</v>
      </c>
      <c r="B303" s="217" t="s">
        <v>820</v>
      </c>
      <c r="C303" s="97">
        <f t="shared" si="39"/>
        <v>4</v>
      </c>
      <c r="D303" s="97" t="str">
        <f t="shared" si="36"/>
        <v>11029752</v>
      </c>
      <c r="E303" s="97" t="str">
        <f t="shared" si="37"/>
        <v>4402748120004</v>
      </c>
      <c r="F303" s="97" t="b">
        <f t="shared" si="40"/>
        <v>0</v>
      </c>
      <c r="G303" s="285">
        <f t="shared" si="41"/>
        <v>42004</v>
      </c>
      <c r="H303" s="13">
        <v>548</v>
      </c>
      <c r="I303" s="97">
        <f t="shared" si="38"/>
        <v>2014</v>
      </c>
      <c r="J303" s="90"/>
      <c r="K303" s="90"/>
      <c r="L303" s="90">
        <f t="shared" ca="1" si="42"/>
        <v>817458</v>
      </c>
      <c r="M303" s="90">
        <f t="shared" ca="1" si="43"/>
        <v>67138</v>
      </c>
    </row>
    <row r="304" spans="1:13" x14ac:dyDescent="0.2">
      <c r="A304" s="216">
        <v>316</v>
      </c>
      <c r="B304" s="217" t="s">
        <v>821</v>
      </c>
      <c r="C304" s="97">
        <f t="shared" si="39"/>
        <v>4</v>
      </c>
      <c r="D304" s="97" t="str">
        <f t="shared" si="36"/>
        <v>11029752</v>
      </c>
      <c r="E304" s="97" t="str">
        <f t="shared" si="37"/>
        <v>4402748120004</v>
      </c>
      <c r="F304" s="97" t="b">
        <f t="shared" si="40"/>
        <v>0</v>
      </c>
      <c r="G304" s="285">
        <f t="shared" si="41"/>
        <v>42004</v>
      </c>
      <c r="H304" s="13">
        <v>601</v>
      </c>
      <c r="I304" s="97">
        <f t="shared" si="38"/>
        <v>2014</v>
      </c>
      <c r="J304" s="90"/>
      <c r="K304" s="90"/>
      <c r="L304" s="90">
        <f t="shared" ca="1" si="42"/>
        <v>4862397</v>
      </c>
      <c r="M304" s="90">
        <f t="shared" ca="1" si="43"/>
        <v>2334546</v>
      </c>
    </row>
    <row r="305" spans="1:13" x14ac:dyDescent="0.2">
      <c r="A305" s="216">
        <v>317</v>
      </c>
      <c r="B305" s="217" t="s">
        <v>821</v>
      </c>
      <c r="C305" s="97">
        <f t="shared" si="39"/>
        <v>4</v>
      </c>
      <c r="D305" s="97" t="str">
        <f t="shared" si="36"/>
        <v>11029752</v>
      </c>
      <c r="E305" s="97" t="str">
        <f t="shared" si="37"/>
        <v>4402748120004</v>
      </c>
      <c r="F305" s="97" t="b">
        <f t="shared" si="40"/>
        <v>0</v>
      </c>
      <c r="G305" s="285">
        <f t="shared" si="41"/>
        <v>42004</v>
      </c>
      <c r="H305" s="13">
        <v>602</v>
      </c>
      <c r="I305" s="97">
        <f t="shared" si="38"/>
        <v>2014</v>
      </c>
      <c r="J305" s="90"/>
      <c r="K305" s="90"/>
      <c r="L305" s="90">
        <f t="shared" ca="1" si="42"/>
        <v>4858797</v>
      </c>
      <c r="M305" s="90">
        <f t="shared" ca="1" si="43"/>
        <v>2330946</v>
      </c>
    </row>
    <row r="306" spans="1:13" x14ac:dyDescent="0.2">
      <c r="A306" s="216">
        <v>318</v>
      </c>
      <c r="B306" s="217" t="s">
        <v>821</v>
      </c>
      <c r="C306" s="97">
        <f t="shared" si="39"/>
        <v>4</v>
      </c>
      <c r="D306" s="97" t="str">
        <f t="shared" si="36"/>
        <v>11029752</v>
      </c>
      <c r="E306" s="97" t="str">
        <f t="shared" si="37"/>
        <v>4402748120004</v>
      </c>
      <c r="F306" s="97" t="b">
        <f t="shared" si="40"/>
        <v>0</v>
      </c>
      <c r="G306" s="285">
        <f t="shared" si="41"/>
        <v>42004</v>
      </c>
      <c r="H306" s="13">
        <v>603</v>
      </c>
      <c r="I306" s="97">
        <f t="shared" si="38"/>
        <v>2014</v>
      </c>
      <c r="J306" s="90"/>
      <c r="K306" s="90"/>
      <c r="L306" s="90">
        <f t="shared" ca="1" si="42"/>
        <v>6303</v>
      </c>
      <c r="M306" s="90">
        <f t="shared" ca="1" si="43"/>
        <v>469</v>
      </c>
    </row>
    <row r="307" spans="1:13" x14ac:dyDescent="0.2">
      <c r="A307" s="216">
        <v>319</v>
      </c>
      <c r="B307" s="217" t="s">
        <v>821</v>
      </c>
      <c r="C307" s="97">
        <f t="shared" si="39"/>
        <v>4</v>
      </c>
      <c r="D307" s="97" t="str">
        <f t="shared" si="36"/>
        <v>11029752</v>
      </c>
      <c r="E307" s="97" t="str">
        <f t="shared" si="37"/>
        <v>4402748120004</v>
      </c>
      <c r="F307" s="97" t="b">
        <f t="shared" si="40"/>
        <v>0</v>
      </c>
      <c r="G307" s="285">
        <f t="shared" si="41"/>
        <v>42004</v>
      </c>
      <c r="H307" s="13">
        <v>604</v>
      </c>
      <c r="I307" s="97">
        <f t="shared" si="38"/>
        <v>2014</v>
      </c>
      <c r="J307" s="90"/>
      <c r="K307" s="90"/>
      <c r="L307" s="90" t="str">
        <f t="shared" ca="1" si="42"/>
        <v/>
      </c>
      <c r="M307" s="90" t="str">
        <f t="shared" ca="1" si="43"/>
        <v/>
      </c>
    </row>
    <row r="308" spans="1:13" x14ac:dyDescent="0.2">
      <c r="A308" s="216">
        <v>320</v>
      </c>
      <c r="B308" s="217" t="s">
        <v>821</v>
      </c>
      <c r="C308" s="97">
        <f t="shared" si="39"/>
        <v>4</v>
      </c>
      <c r="D308" s="97" t="str">
        <f t="shared" si="36"/>
        <v>11029752</v>
      </c>
      <c r="E308" s="97" t="str">
        <f t="shared" si="37"/>
        <v>4402748120004</v>
      </c>
      <c r="F308" s="97" t="b">
        <f t="shared" si="40"/>
        <v>0</v>
      </c>
      <c r="G308" s="285">
        <f t="shared" si="41"/>
        <v>42004</v>
      </c>
      <c r="H308" s="13">
        <v>605</v>
      </c>
      <c r="I308" s="97">
        <f t="shared" si="38"/>
        <v>2014</v>
      </c>
      <c r="J308" s="90"/>
      <c r="K308" s="90"/>
      <c r="L308" s="90">
        <f t="shared" ca="1" si="42"/>
        <v>3600</v>
      </c>
      <c r="M308" s="90">
        <f t="shared" ca="1" si="43"/>
        <v>3600</v>
      </c>
    </row>
    <row r="309" spans="1:13" x14ac:dyDescent="0.2">
      <c r="A309" s="216">
        <v>321</v>
      </c>
      <c r="B309" s="217" t="s">
        <v>821</v>
      </c>
      <c r="C309" s="97">
        <f t="shared" si="39"/>
        <v>4</v>
      </c>
      <c r="D309" s="97" t="str">
        <f t="shared" si="36"/>
        <v>11029752</v>
      </c>
      <c r="E309" s="97" t="str">
        <f t="shared" si="37"/>
        <v>4402748120004</v>
      </c>
      <c r="F309" s="97" t="b">
        <f t="shared" si="40"/>
        <v>0</v>
      </c>
      <c r="G309" s="285">
        <f t="shared" si="41"/>
        <v>42004</v>
      </c>
      <c r="H309" s="13">
        <v>606</v>
      </c>
      <c r="I309" s="97">
        <f t="shared" si="38"/>
        <v>2014</v>
      </c>
      <c r="J309" s="90"/>
      <c r="K309" s="90"/>
      <c r="L309" s="90" t="str">
        <f t="shared" ca="1" si="42"/>
        <v/>
      </c>
      <c r="M309" s="90" t="str">
        <f t="shared" ca="1" si="43"/>
        <v/>
      </c>
    </row>
    <row r="310" spans="1:13" x14ac:dyDescent="0.2">
      <c r="A310" s="216">
        <v>322</v>
      </c>
      <c r="B310" s="217" t="s">
        <v>821</v>
      </c>
      <c r="C310" s="97">
        <f t="shared" si="39"/>
        <v>4</v>
      </c>
      <c r="D310" s="97" t="str">
        <f t="shared" si="36"/>
        <v>11029752</v>
      </c>
      <c r="E310" s="97" t="str">
        <f t="shared" si="37"/>
        <v>4402748120004</v>
      </c>
      <c r="F310" s="97" t="b">
        <f t="shared" si="40"/>
        <v>0</v>
      </c>
      <c r="G310" s="285">
        <f t="shared" si="41"/>
        <v>42004</v>
      </c>
      <c r="H310" s="13">
        <v>607</v>
      </c>
      <c r="I310" s="97">
        <f t="shared" si="38"/>
        <v>2014</v>
      </c>
      <c r="J310" s="90"/>
      <c r="K310" s="90"/>
      <c r="L310" s="90" t="str">
        <f t="shared" ca="1" si="42"/>
        <v/>
      </c>
      <c r="M310" s="90" t="str">
        <f t="shared" ca="1" si="43"/>
        <v/>
      </c>
    </row>
    <row r="311" spans="1:13" x14ac:dyDescent="0.2">
      <c r="A311" s="216">
        <v>323</v>
      </c>
      <c r="B311" s="217" t="s">
        <v>821</v>
      </c>
      <c r="C311" s="97">
        <f t="shared" si="39"/>
        <v>4</v>
      </c>
      <c r="D311" s="97" t="str">
        <f t="shared" si="36"/>
        <v>11029752</v>
      </c>
      <c r="E311" s="97" t="str">
        <f t="shared" si="37"/>
        <v>4402748120004</v>
      </c>
      <c r="F311" s="97" t="b">
        <f t="shared" si="40"/>
        <v>0</v>
      </c>
      <c r="G311" s="285">
        <f t="shared" si="41"/>
        <v>42004</v>
      </c>
      <c r="H311" s="13">
        <v>608</v>
      </c>
      <c r="I311" s="97">
        <f t="shared" si="38"/>
        <v>2014</v>
      </c>
      <c r="J311" s="90"/>
      <c r="K311" s="90"/>
      <c r="L311" s="90">
        <f t="shared" ca="1" si="42"/>
        <v>41002</v>
      </c>
      <c r="M311" s="90">
        <f t="shared" ca="1" si="43"/>
        <v>4439</v>
      </c>
    </row>
    <row r="312" spans="1:13" x14ac:dyDescent="0.2">
      <c r="A312" s="216">
        <v>324</v>
      </c>
      <c r="B312" s="217" t="s">
        <v>821</v>
      </c>
      <c r="C312" s="97">
        <f t="shared" si="39"/>
        <v>4</v>
      </c>
      <c r="D312" s="97" t="str">
        <f t="shared" si="36"/>
        <v>11029752</v>
      </c>
      <c r="E312" s="97" t="str">
        <f t="shared" si="37"/>
        <v>4402748120004</v>
      </c>
      <c r="F312" s="97" t="b">
        <f t="shared" si="40"/>
        <v>0</v>
      </c>
      <c r="G312" s="285">
        <f t="shared" si="41"/>
        <v>42004</v>
      </c>
      <c r="H312" s="13">
        <v>609</v>
      </c>
      <c r="I312" s="97">
        <f t="shared" si="38"/>
        <v>2014</v>
      </c>
      <c r="J312" s="90"/>
      <c r="K312" s="90"/>
      <c r="L312" s="90" t="str">
        <f t="shared" ca="1" si="42"/>
        <v/>
      </c>
      <c r="M312" s="90" t="str">
        <f t="shared" ca="1" si="43"/>
        <v/>
      </c>
    </row>
    <row r="313" spans="1:13" x14ac:dyDescent="0.2">
      <c r="A313" s="216">
        <v>325</v>
      </c>
      <c r="B313" s="217" t="s">
        <v>821</v>
      </c>
      <c r="C313" s="97">
        <f t="shared" si="39"/>
        <v>4</v>
      </c>
      <c r="D313" s="97" t="str">
        <f t="shared" si="36"/>
        <v>11029752</v>
      </c>
      <c r="E313" s="97" t="str">
        <f t="shared" si="37"/>
        <v>4402748120004</v>
      </c>
      <c r="F313" s="97" t="b">
        <f t="shared" si="40"/>
        <v>0</v>
      </c>
      <c r="G313" s="285">
        <f t="shared" si="41"/>
        <v>42004</v>
      </c>
      <c r="H313" s="13">
        <v>610</v>
      </c>
      <c r="I313" s="97">
        <f t="shared" si="38"/>
        <v>2014</v>
      </c>
      <c r="J313" s="90"/>
      <c r="K313" s="90"/>
      <c r="L313" s="90" t="str">
        <f t="shared" ca="1" si="42"/>
        <v/>
      </c>
      <c r="M313" s="90" t="str">
        <f t="shared" ca="1" si="43"/>
        <v/>
      </c>
    </row>
    <row r="314" spans="1:13" x14ac:dyDescent="0.2">
      <c r="A314" s="216">
        <v>326</v>
      </c>
      <c r="B314" s="217" t="s">
        <v>821</v>
      </c>
      <c r="C314" s="97">
        <f t="shared" si="39"/>
        <v>4</v>
      </c>
      <c r="D314" s="97" t="str">
        <f t="shared" si="36"/>
        <v>11029752</v>
      </c>
      <c r="E314" s="97" t="str">
        <f t="shared" si="37"/>
        <v>4402748120004</v>
      </c>
      <c r="F314" s="97" t="b">
        <f t="shared" si="40"/>
        <v>0</v>
      </c>
      <c r="G314" s="285">
        <f t="shared" si="41"/>
        <v>42004</v>
      </c>
      <c r="H314" s="13">
        <v>611</v>
      </c>
      <c r="I314" s="97">
        <f t="shared" si="38"/>
        <v>2014</v>
      </c>
      <c r="J314" s="90"/>
      <c r="K314" s="90"/>
      <c r="L314" s="90" t="str">
        <f t="shared" ca="1" si="42"/>
        <v/>
      </c>
      <c r="M314" s="90" t="str">
        <f t="shared" ca="1" si="43"/>
        <v/>
      </c>
    </row>
    <row r="315" spans="1:13" x14ac:dyDescent="0.2">
      <c r="A315" s="216">
        <v>327</v>
      </c>
      <c r="B315" s="217" t="s">
        <v>821</v>
      </c>
      <c r="C315" s="97">
        <f t="shared" si="39"/>
        <v>4</v>
      </c>
      <c r="D315" s="97" t="str">
        <f t="shared" si="36"/>
        <v>11029752</v>
      </c>
      <c r="E315" s="97" t="str">
        <f t="shared" si="37"/>
        <v>4402748120004</v>
      </c>
      <c r="F315" s="97" t="b">
        <f t="shared" si="40"/>
        <v>0</v>
      </c>
      <c r="G315" s="285">
        <f t="shared" si="41"/>
        <v>42004</v>
      </c>
      <c r="H315" s="13">
        <v>612</v>
      </c>
      <c r="I315" s="97">
        <f t="shared" si="38"/>
        <v>2014</v>
      </c>
      <c r="J315" s="90"/>
      <c r="K315" s="90"/>
      <c r="L315" s="90" t="str">
        <f t="shared" ca="1" si="42"/>
        <v/>
      </c>
      <c r="M315" s="90" t="str">
        <f t="shared" ca="1" si="43"/>
        <v/>
      </c>
    </row>
    <row r="316" spans="1:13" x14ac:dyDescent="0.2">
      <c r="A316" s="216">
        <v>328</v>
      </c>
      <c r="B316" s="217" t="s">
        <v>821</v>
      </c>
      <c r="C316" s="97">
        <f t="shared" si="39"/>
        <v>4</v>
      </c>
      <c r="D316" s="97" t="str">
        <f t="shared" si="36"/>
        <v>11029752</v>
      </c>
      <c r="E316" s="97" t="str">
        <f t="shared" si="37"/>
        <v>4402748120004</v>
      </c>
      <c r="F316" s="97" t="b">
        <f t="shared" si="40"/>
        <v>0</v>
      </c>
      <c r="G316" s="285">
        <f t="shared" si="41"/>
        <v>42004</v>
      </c>
      <c r="H316" s="13">
        <v>613</v>
      </c>
      <c r="I316" s="97">
        <f t="shared" si="38"/>
        <v>2014</v>
      </c>
      <c r="J316" s="90"/>
      <c r="K316" s="90"/>
      <c r="L316" s="90" t="str">
        <f t="shared" ca="1" si="42"/>
        <v/>
      </c>
      <c r="M316" s="90" t="str">
        <f t="shared" ca="1" si="43"/>
        <v/>
      </c>
    </row>
    <row r="317" spans="1:13" x14ac:dyDescent="0.2">
      <c r="A317" s="216">
        <v>329</v>
      </c>
      <c r="B317" s="217" t="s">
        <v>821</v>
      </c>
      <c r="C317" s="97">
        <f t="shared" si="39"/>
        <v>4</v>
      </c>
      <c r="D317" s="97" t="str">
        <f t="shared" si="36"/>
        <v>11029752</v>
      </c>
      <c r="E317" s="97" t="str">
        <f t="shared" si="37"/>
        <v>4402748120004</v>
      </c>
      <c r="F317" s="97" t="b">
        <f t="shared" si="40"/>
        <v>0</v>
      </c>
      <c r="G317" s="285">
        <f t="shared" si="41"/>
        <v>42004</v>
      </c>
      <c r="H317" s="13">
        <v>614</v>
      </c>
      <c r="I317" s="97">
        <f t="shared" si="38"/>
        <v>2014</v>
      </c>
      <c r="J317" s="90"/>
      <c r="K317" s="90"/>
      <c r="L317" s="90" t="str">
        <f t="shared" ca="1" si="42"/>
        <v/>
      </c>
      <c r="M317" s="90" t="str">
        <f t="shared" ca="1" si="43"/>
        <v/>
      </c>
    </row>
    <row r="318" spans="1:13" x14ac:dyDescent="0.2">
      <c r="A318" s="216">
        <v>330</v>
      </c>
      <c r="B318" s="217" t="s">
        <v>821</v>
      </c>
      <c r="C318" s="97">
        <f t="shared" si="39"/>
        <v>4</v>
      </c>
      <c r="D318" s="97" t="str">
        <f t="shared" si="36"/>
        <v>11029752</v>
      </c>
      <c r="E318" s="97" t="str">
        <f t="shared" si="37"/>
        <v>4402748120004</v>
      </c>
      <c r="F318" s="97" t="b">
        <f t="shared" si="40"/>
        <v>0</v>
      </c>
      <c r="G318" s="285">
        <f t="shared" si="41"/>
        <v>42004</v>
      </c>
      <c r="H318" s="13">
        <v>615</v>
      </c>
      <c r="I318" s="97">
        <f t="shared" si="38"/>
        <v>2014</v>
      </c>
      <c r="J318" s="90"/>
      <c r="K318" s="90"/>
      <c r="L318" s="90" t="str">
        <f t="shared" ca="1" si="42"/>
        <v/>
      </c>
      <c r="M318" s="90" t="str">
        <f t="shared" ca="1" si="43"/>
        <v/>
      </c>
    </row>
    <row r="319" spans="1:13" x14ac:dyDescent="0.2">
      <c r="A319" s="216">
        <v>331</v>
      </c>
      <c r="B319" s="217" t="s">
        <v>821</v>
      </c>
      <c r="C319" s="97">
        <f t="shared" si="39"/>
        <v>4</v>
      </c>
      <c r="D319" s="97" t="str">
        <f t="shared" si="36"/>
        <v>11029752</v>
      </c>
      <c r="E319" s="97" t="str">
        <f t="shared" si="37"/>
        <v>4402748120004</v>
      </c>
      <c r="F319" s="97" t="b">
        <f t="shared" si="40"/>
        <v>0</v>
      </c>
      <c r="G319" s="285">
        <f t="shared" si="41"/>
        <v>42004</v>
      </c>
      <c r="H319" s="13">
        <v>616</v>
      </c>
      <c r="I319" s="97">
        <f t="shared" si="38"/>
        <v>2014</v>
      </c>
      <c r="J319" s="90"/>
      <c r="K319" s="90"/>
      <c r="L319" s="90">
        <f t="shared" ca="1" si="42"/>
        <v>41002</v>
      </c>
      <c r="M319" s="90">
        <f t="shared" ca="1" si="43"/>
        <v>4439</v>
      </c>
    </row>
    <row r="320" spans="1:13" x14ac:dyDescent="0.2">
      <c r="A320" s="216">
        <v>332</v>
      </c>
      <c r="B320" s="217" t="s">
        <v>821</v>
      </c>
      <c r="C320" s="97">
        <f t="shared" si="39"/>
        <v>4</v>
      </c>
      <c r="D320" s="97" t="str">
        <f t="shared" si="36"/>
        <v>11029752</v>
      </c>
      <c r="E320" s="97" t="str">
        <f t="shared" si="37"/>
        <v>4402748120004</v>
      </c>
      <c r="F320" s="97" t="b">
        <f t="shared" si="40"/>
        <v>0</v>
      </c>
      <c r="G320" s="285">
        <f t="shared" si="41"/>
        <v>42004</v>
      </c>
      <c r="H320" s="13">
        <v>617</v>
      </c>
      <c r="I320" s="97">
        <f t="shared" si="38"/>
        <v>2014</v>
      </c>
      <c r="J320" s="90"/>
      <c r="K320" s="90"/>
      <c r="L320" s="90" t="str">
        <f t="shared" ca="1" si="42"/>
        <v/>
      </c>
      <c r="M320" s="90" t="str">
        <f t="shared" ca="1" si="43"/>
        <v/>
      </c>
    </row>
    <row r="321" spans="1:13" x14ac:dyDescent="0.2">
      <c r="A321" s="216">
        <v>333</v>
      </c>
      <c r="B321" s="217" t="s">
        <v>821</v>
      </c>
      <c r="C321" s="97">
        <f t="shared" si="39"/>
        <v>4</v>
      </c>
      <c r="D321" s="97" t="str">
        <f t="shared" ref="D321:D366" si="44">Podatak_MB</f>
        <v>11029752</v>
      </c>
      <c r="E321" s="97" t="str">
        <f t="shared" ref="E321:E366" si="45">Podatak_JIB</f>
        <v>4402748120004</v>
      </c>
      <c r="F321" s="97" t="b">
        <f t="shared" si="40"/>
        <v>0</v>
      </c>
      <c r="G321" s="285">
        <f t="shared" si="41"/>
        <v>42004</v>
      </c>
      <c r="H321" s="13">
        <v>618</v>
      </c>
      <c r="I321" s="97">
        <f t="shared" ref="I321:I366" si="46">Godina</f>
        <v>2014</v>
      </c>
      <c r="J321" s="90"/>
      <c r="K321" s="90"/>
      <c r="L321" s="90">
        <f t="shared" ca="1" si="42"/>
        <v>17589</v>
      </c>
      <c r="M321" s="90">
        <f t="shared" ca="1" si="43"/>
        <v>530258</v>
      </c>
    </row>
    <row r="322" spans="1:13" x14ac:dyDescent="0.2">
      <c r="A322" s="216">
        <v>334</v>
      </c>
      <c r="B322" s="217" t="s">
        <v>821</v>
      </c>
      <c r="C322" s="97">
        <f t="shared" ref="C322:C366" si="47">ID_Izvjestaj</f>
        <v>4</v>
      </c>
      <c r="D322" s="97" t="str">
        <f t="shared" si="44"/>
        <v>11029752</v>
      </c>
      <c r="E322" s="97" t="str">
        <f t="shared" si="45"/>
        <v>4402748120004</v>
      </c>
      <c r="F322" s="97" t="b">
        <f t="shared" ref="F322:F366" si="48">Konsolidovan_izvjestaj</f>
        <v>0</v>
      </c>
      <c r="G322" s="285">
        <f t="shared" ref="G322:G366" si="49">Datum_Broj</f>
        <v>42004</v>
      </c>
      <c r="H322" s="13">
        <v>619</v>
      </c>
      <c r="I322" s="97">
        <f t="shared" si="46"/>
        <v>2014</v>
      </c>
      <c r="J322" s="90"/>
      <c r="K322" s="90"/>
      <c r="L322" s="90" t="str">
        <f t="shared" ref="L322:L335" ca="1" si="50">IF(VLOOKUP($H322,INDIRECT("Lookup_"&amp;$B322),IF($B322="BS",R$2,R$1),0)="","",VLOOKUP($H322,INDIRECT("Lookup_"&amp;$B322),IF($B322="BS",R$2,R$1),0))</f>
        <v/>
      </c>
      <c r="M322" s="90" t="str">
        <f t="shared" ref="M322:M335" ca="1" si="51">IF(VLOOKUP($H322,INDIRECT("Lookup_"&amp;$B322),IF($B322="BS",S$2,S$1),0)="","",VLOOKUP($H322,INDIRECT("Lookup_"&amp;$B322),IF($B322="BS",S$2,S$1),0))</f>
        <v/>
      </c>
    </row>
    <row r="323" spans="1:13" x14ac:dyDescent="0.2">
      <c r="A323" s="216">
        <v>335</v>
      </c>
      <c r="B323" s="217" t="s">
        <v>821</v>
      </c>
      <c r="C323" s="97">
        <f t="shared" si="47"/>
        <v>4</v>
      </c>
      <c r="D323" s="97" t="str">
        <f t="shared" si="44"/>
        <v>11029752</v>
      </c>
      <c r="E323" s="97" t="str">
        <f t="shared" si="45"/>
        <v>4402748120004</v>
      </c>
      <c r="F323" s="97" t="b">
        <f t="shared" si="48"/>
        <v>0</v>
      </c>
      <c r="G323" s="285">
        <f t="shared" si="49"/>
        <v>42004</v>
      </c>
      <c r="H323" s="13">
        <v>620</v>
      </c>
      <c r="I323" s="97">
        <f t="shared" si="46"/>
        <v>2014</v>
      </c>
      <c r="J323" s="90"/>
      <c r="K323" s="90"/>
      <c r="L323" s="90" t="str">
        <f t="shared" ca="1" si="50"/>
        <v/>
      </c>
      <c r="M323" s="90">
        <f t="shared" ca="1" si="51"/>
        <v>194621</v>
      </c>
    </row>
    <row r="324" spans="1:13" x14ac:dyDescent="0.2">
      <c r="A324" s="216">
        <v>336</v>
      </c>
      <c r="B324" s="217" t="s">
        <v>821</v>
      </c>
      <c r="C324" s="97">
        <f t="shared" si="47"/>
        <v>4</v>
      </c>
      <c r="D324" s="97" t="str">
        <f t="shared" si="44"/>
        <v>11029752</v>
      </c>
      <c r="E324" s="97" t="str">
        <f t="shared" si="45"/>
        <v>4402748120004</v>
      </c>
      <c r="F324" s="97" t="b">
        <f t="shared" si="48"/>
        <v>0</v>
      </c>
      <c r="G324" s="285">
        <f t="shared" si="49"/>
        <v>42004</v>
      </c>
      <c r="H324" s="13">
        <v>621</v>
      </c>
      <c r="I324" s="97">
        <f t="shared" si="46"/>
        <v>2014</v>
      </c>
      <c r="J324" s="90"/>
      <c r="K324" s="90"/>
      <c r="L324" s="90" t="str">
        <f t="shared" ca="1" si="50"/>
        <v/>
      </c>
      <c r="M324" s="90" t="str">
        <f t="shared" ca="1" si="51"/>
        <v/>
      </c>
    </row>
    <row r="325" spans="1:13" x14ac:dyDescent="0.2">
      <c r="A325" s="216">
        <v>337</v>
      </c>
      <c r="B325" s="217" t="s">
        <v>821</v>
      </c>
      <c r="C325" s="97">
        <f t="shared" si="47"/>
        <v>4</v>
      </c>
      <c r="D325" s="97" t="str">
        <f t="shared" si="44"/>
        <v>11029752</v>
      </c>
      <c r="E325" s="97" t="str">
        <f t="shared" si="45"/>
        <v>4402748120004</v>
      </c>
      <c r="F325" s="97" t="b">
        <f t="shared" si="48"/>
        <v>0</v>
      </c>
      <c r="G325" s="285">
        <f t="shared" si="49"/>
        <v>42004</v>
      </c>
      <c r="H325" s="13">
        <v>622</v>
      </c>
      <c r="I325" s="97">
        <f t="shared" si="46"/>
        <v>2014</v>
      </c>
      <c r="J325" s="90"/>
      <c r="K325" s="90"/>
      <c r="L325" s="90">
        <f t="shared" ca="1" si="50"/>
        <v>450928</v>
      </c>
      <c r="M325" s="90">
        <f t="shared" ca="1" si="51"/>
        <v>364608</v>
      </c>
    </row>
    <row r="326" spans="1:13" x14ac:dyDescent="0.2">
      <c r="A326" s="216">
        <v>338</v>
      </c>
      <c r="B326" s="217" t="s">
        <v>821</v>
      </c>
      <c r="C326" s="97">
        <f t="shared" si="47"/>
        <v>4</v>
      </c>
      <c r="D326" s="97" t="str">
        <f t="shared" si="44"/>
        <v>11029752</v>
      </c>
      <c r="E326" s="97" t="str">
        <f t="shared" si="45"/>
        <v>4402748120004</v>
      </c>
      <c r="F326" s="97" t="b">
        <f t="shared" si="48"/>
        <v>0</v>
      </c>
      <c r="G326" s="285">
        <f t="shared" si="49"/>
        <v>42004</v>
      </c>
      <c r="H326" s="13">
        <v>623</v>
      </c>
      <c r="I326" s="97">
        <f t="shared" si="46"/>
        <v>2014</v>
      </c>
      <c r="J326" s="90"/>
      <c r="K326" s="90"/>
      <c r="L326" s="90">
        <f t="shared" ca="1" si="50"/>
        <v>383722</v>
      </c>
      <c r="M326" s="90">
        <f t="shared" ca="1" si="51"/>
        <v>246370</v>
      </c>
    </row>
    <row r="327" spans="1:13" x14ac:dyDescent="0.2">
      <c r="A327" s="216">
        <v>339</v>
      </c>
      <c r="B327" s="217" t="s">
        <v>821</v>
      </c>
      <c r="C327" s="97">
        <f t="shared" si="47"/>
        <v>4</v>
      </c>
      <c r="D327" s="97" t="str">
        <f t="shared" si="44"/>
        <v>11029752</v>
      </c>
      <c r="E327" s="97" t="str">
        <f t="shared" si="45"/>
        <v>4402748120004</v>
      </c>
      <c r="F327" s="97" t="b">
        <f t="shared" si="48"/>
        <v>0</v>
      </c>
      <c r="G327" s="285">
        <f t="shared" si="49"/>
        <v>42004</v>
      </c>
      <c r="H327" s="13">
        <v>624</v>
      </c>
      <c r="I327" s="97">
        <f t="shared" si="46"/>
        <v>2014</v>
      </c>
      <c r="J327" s="90"/>
      <c r="K327" s="90"/>
      <c r="L327" s="90">
        <f t="shared" ca="1" si="50"/>
        <v>551320</v>
      </c>
      <c r="M327" s="90">
        <f t="shared" ca="1" si="51"/>
        <v>576547</v>
      </c>
    </row>
    <row r="328" spans="1:13" x14ac:dyDescent="0.2">
      <c r="A328" s="216">
        <v>340</v>
      </c>
      <c r="B328" s="217" t="s">
        <v>821</v>
      </c>
      <c r="C328" s="97">
        <f t="shared" si="47"/>
        <v>4</v>
      </c>
      <c r="D328" s="97" t="str">
        <f t="shared" si="44"/>
        <v>11029752</v>
      </c>
      <c r="E328" s="97" t="str">
        <f t="shared" si="45"/>
        <v>4402748120004</v>
      </c>
      <c r="F328" s="97" t="b">
        <f t="shared" si="48"/>
        <v>0</v>
      </c>
      <c r="G328" s="285">
        <f t="shared" si="49"/>
        <v>42004</v>
      </c>
      <c r="H328" s="13">
        <v>625</v>
      </c>
      <c r="I328" s="97">
        <f t="shared" si="46"/>
        <v>2014</v>
      </c>
      <c r="J328" s="90"/>
      <c r="K328" s="90"/>
      <c r="L328" s="90" t="str">
        <f t="shared" ca="1" si="50"/>
        <v/>
      </c>
      <c r="M328" s="90" t="str">
        <f t="shared" ca="1" si="51"/>
        <v/>
      </c>
    </row>
    <row r="329" spans="1:13" x14ac:dyDescent="0.2">
      <c r="A329" s="216">
        <v>341</v>
      </c>
      <c r="B329" s="217" t="s">
        <v>821</v>
      </c>
      <c r="C329" s="97">
        <f t="shared" si="47"/>
        <v>4</v>
      </c>
      <c r="D329" s="97" t="str">
        <f t="shared" si="44"/>
        <v>11029752</v>
      </c>
      <c r="E329" s="97" t="str">
        <f t="shared" si="45"/>
        <v>4402748120004</v>
      </c>
      <c r="F329" s="97" t="b">
        <f t="shared" si="48"/>
        <v>0</v>
      </c>
      <c r="G329" s="285">
        <f t="shared" si="49"/>
        <v>42004</v>
      </c>
      <c r="H329" s="13">
        <v>626</v>
      </c>
      <c r="I329" s="97">
        <f t="shared" si="46"/>
        <v>2014</v>
      </c>
      <c r="J329" s="90"/>
      <c r="K329" s="90"/>
      <c r="L329" s="90">
        <f t="shared" ca="1" si="50"/>
        <v>176</v>
      </c>
      <c r="M329" s="90">
        <f t="shared" ca="1" si="51"/>
        <v>460</v>
      </c>
    </row>
    <row r="330" spans="1:13" x14ac:dyDescent="0.2">
      <c r="A330" s="216">
        <v>342</v>
      </c>
      <c r="B330" s="217" t="s">
        <v>821</v>
      </c>
      <c r="C330" s="97">
        <f t="shared" si="47"/>
        <v>4</v>
      </c>
      <c r="D330" s="97" t="str">
        <f t="shared" si="44"/>
        <v>11029752</v>
      </c>
      <c r="E330" s="97" t="str">
        <f t="shared" si="45"/>
        <v>4402748120004</v>
      </c>
      <c r="F330" s="97" t="b">
        <f t="shared" si="48"/>
        <v>0</v>
      </c>
      <c r="G330" s="285">
        <f t="shared" si="49"/>
        <v>42004</v>
      </c>
      <c r="H330" s="13">
        <v>627</v>
      </c>
      <c r="I330" s="97">
        <f t="shared" si="46"/>
        <v>2014</v>
      </c>
      <c r="J330" s="90"/>
      <c r="K330" s="90"/>
      <c r="L330" s="90">
        <f t="shared" ca="1" si="50"/>
        <v>155</v>
      </c>
      <c r="M330" s="90">
        <f t="shared" ca="1" si="51"/>
        <v>1371</v>
      </c>
    </row>
    <row r="331" spans="1:13" x14ac:dyDescent="0.2">
      <c r="A331" s="216">
        <v>343</v>
      </c>
      <c r="B331" s="217" t="s">
        <v>821</v>
      </c>
      <c r="C331" s="97">
        <f t="shared" si="47"/>
        <v>4</v>
      </c>
      <c r="D331" s="97" t="str">
        <f t="shared" si="44"/>
        <v>11029752</v>
      </c>
      <c r="E331" s="97" t="str">
        <f t="shared" si="45"/>
        <v>4402748120004</v>
      </c>
      <c r="F331" s="97" t="b">
        <f t="shared" si="48"/>
        <v>0</v>
      </c>
      <c r="G331" s="285">
        <f t="shared" si="49"/>
        <v>42004</v>
      </c>
      <c r="H331" s="13">
        <v>628</v>
      </c>
      <c r="I331" s="97">
        <f t="shared" si="46"/>
        <v>2014</v>
      </c>
      <c r="J331" s="90"/>
      <c r="K331" s="90"/>
      <c r="L331" s="90">
        <f t="shared" ca="1" si="50"/>
        <v>2042992</v>
      </c>
      <c r="M331" s="90">
        <f t="shared" ca="1" si="51"/>
        <v>1049868</v>
      </c>
    </row>
    <row r="332" spans="1:13" x14ac:dyDescent="0.2">
      <c r="A332" s="216">
        <v>344</v>
      </c>
      <c r="B332" s="217" t="s">
        <v>821</v>
      </c>
      <c r="C332" s="97">
        <f t="shared" si="47"/>
        <v>4</v>
      </c>
      <c r="D332" s="97" t="str">
        <f t="shared" si="44"/>
        <v>11029752</v>
      </c>
      <c r="E332" s="97" t="str">
        <f t="shared" si="45"/>
        <v>4402748120004</v>
      </c>
      <c r="F332" s="97" t="b">
        <f t="shared" si="48"/>
        <v>0</v>
      </c>
      <c r="G332" s="285">
        <f t="shared" si="49"/>
        <v>42004</v>
      </c>
      <c r="H332" s="13">
        <v>629</v>
      </c>
      <c r="I332" s="97">
        <f t="shared" si="46"/>
        <v>2014</v>
      </c>
      <c r="J332" s="90"/>
      <c r="K332" s="90"/>
      <c r="L332" s="90">
        <f t="shared" ca="1" si="50"/>
        <v>801798</v>
      </c>
      <c r="M332" s="90">
        <f t="shared" ca="1" si="51"/>
        <v>671763</v>
      </c>
    </row>
    <row r="333" spans="1:13" x14ac:dyDescent="0.2">
      <c r="A333" s="216">
        <v>345</v>
      </c>
      <c r="B333" s="217" t="s">
        <v>821</v>
      </c>
      <c r="C333" s="97">
        <f t="shared" si="47"/>
        <v>4</v>
      </c>
      <c r="D333" s="97" t="str">
        <f t="shared" si="44"/>
        <v>11029752</v>
      </c>
      <c r="E333" s="97" t="str">
        <f t="shared" si="45"/>
        <v>4402748120004</v>
      </c>
      <c r="F333" s="97" t="b">
        <f t="shared" si="48"/>
        <v>0</v>
      </c>
      <c r="G333" s="285">
        <f t="shared" si="49"/>
        <v>42004</v>
      </c>
      <c r="H333" s="13">
        <v>630</v>
      </c>
      <c r="I333" s="97">
        <f t="shared" si="46"/>
        <v>2014</v>
      </c>
      <c r="J333" s="90"/>
      <c r="K333" s="90"/>
      <c r="L333" s="90">
        <f t="shared" ca="1" si="50"/>
        <v>997870</v>
      </c>
      <c r="M333" s="90">
        <f t="shared" ca="1" si="51"/>
        <v>187466</v>
      </c>
    </row>
    <row r="334" spans="1:13" x14ac:dyDescent="0.2">
      <c r="A334" s="216">
        <v>346</v>
      </c>
      <c r="B334" s="217" t="s">
        <v>821</v>
      </c>
      <c r="C334" s="97">
        <f t="shared" si="47"/>
        <v>4</v>
      </c>
      <c r="D334" s="97" t="str">
        <f t="shared" si="44"/>
        <v>11029752</v>
      </c>
      <c r="E334" s="97" t="str">
        <f t="shared" si="45"/>
        <v>4402748120004</v>
      </c>
      <c r="F334" s="97" t="b">
        <f t="shared" si="48"/>
        <v>0</v>
      </c>
      <c r="G334" s="285">
        <f t="shared" si="49"/>
        <v>42004</v>
      </c>
      <c r="H334" s="13">
        <v>631</v>
      </c>
      <c r="I334" s="97">
        <f t="shared" si="46"/>
        <v>2014</v>
      </c>
      <c r="J334" s="90"/>
      <c r="K334" s="90"/>
      <c r="L334" s="90">
        <f t="shared" ca="1" si="50"/>
        <v>28572</v>
      </c>
      <c r="M334" s="90">
        <f t="shared" ca="1" si="51"/>
        <v>22778</v>
      </c>
    </row>
    <row r="335" spans="1:13" x14ac:dyDescent="0.2">
      <c r="A335" s="216">
        <v>347</v>
      </c>
      <c r="B335" s="217" t="s">
        <v>821</v>
      </c>
      <c r="C335" s="97">
        <f t="shared" si="47"/>
        <v>4</v>
      </c>
      <c r="D335" s="97" t="str">
        <f t="shared" si="44"/>
        <v>11029752</v>
      </c>
      <c r="E335" s="97" t="str">
        <f t="shared" si="45"/>
        <v>4402748120004</v>
      </c>
      <c r="F335" s="97" t="b">
        <f t="shared" si="48"/>
        <v>0</v>
      </c>
      <c r="G335" s="285">
        <f t="shared" si="49"/>
        <v>42004</v>
      </c>
      <c r="H335" s="13">
        <v>632</v>
      </c>
      <c r="I335" s="97">
        <f t="shared" si="46"/>
        <v>2014</v>
      </c>
      <c r="J335" s="90"/>
      <c r="K335" s="90"/>
      <c r="L335" s="90" t="str">
        <f t="shared" ca="1" si="50"/>
        <v/>
      </c>
      <c r="M335" s="90" t="str">
        <f t="shared" ca="1" si="51"/>
        <v/>
      </c>
    </row>
    <row r="336" spans="1:13" x14ac:dyDescent="0.2">
      <c r="A336" s="216">
        <v>348</v>
      </c>
      <c r="B336" s="217" t="s">
        <v>821</v>
      </c>
      <c r="C336" s="97">
        <f t="shared" si="47"/>
        <v>4</v>
      </c>
      <c r="D336" s="97" t="str">
        <f t="shared" si="44"/>
        <v>11029752</v>
      </c>
      <c r="E336" s="97" t="str">
        <f t="shared" si="45"/>
        <v>4402748120004</v>
      </c>
      <c r="F336" s="97" t="b">
        <f t="shared" si="48"/>
        <v>0</v>
      </c>
      <c r="G336" s="285">
        <f t="shared" si="49"/>
        <v>42004</v>
      </c>
      <c r="H336" s="13">
        <v>633</v>
      </c>
      <c r="I336" s="97">
        <f t="shared" si="46"/>
        <v>2014</v>
      </c>
      <c r="J336" s="90"/>
      <c r="K336" s="90"/>
      <c r="L336" s="90" t="str">
        <f t="shared" ref="L336:L364" ca="1" si="52">IF(VLOOKUP($H336,INDIRECT("Lookup_"&amp;$B336),IF($B336="BS",R$2,R$1),0)="","",VLOOKUP($H336,INDIRECT("Lookup_"&amp;$B336),IF($B336="BS",R$2,R$1),0))</f>
        <v/>
      </c>
      <c r="M336" s="90">
        <f t="shared" ref="M336:M364" ca="1" si="53">IF(VLOOKUP($H336,INDIRECT("Lookup_"&amp;$B336),IF($B336="BS",S$2,S$1),0)="","",VLOOKUP($H336,INDIRECT("Lookup_"&amp;$B336),IF($B336="BS",S$2,S$1),0))</f>
        <v>305</v>
      </c>
    </row>
    <row r="337" spans="1:13" x14ac:dyDescent="0.2">
      <c r="A337" s="216">
        <v>349</v>
      </c>
      <c r="B337" s="217" t="s">
        <v>821</v>
      </c>
      <c r="C337" s="97">
        <f t="shared" si="47"/>
        <v>4</v>
      </c>
      <c r="D337" s="97" t="str">
        <f t="shared" si="44"/>
        <v>11029752</v>
      </c>
      <c r="E337" s="97" t="str">
        <f t="shared" si="45"/>
        <v>4402748120004</v>
      </c>
      <c r="F337" s="97" t="b">
        <f t="shared" si="48"/>
        <v>0</v>
      </c>
      <c r="G337" s="285">
        <f t="shared" si="49"/>
        <v>42004</v>
      </c>
      <c r="H337" s="13">
        <v>634</v>
      </c>
      <c r="I337" s="97">
        <f t="shared" si="46"/>
        <v>2014</v>
      </c>
      <c r="J337" s="90"/>
      <c r="K337" s="90"/>
      <c r="L337" s="90">
        <f t="shared" ca="1" si="52"/>
        <v>1148</v>
      </c>
      <c r="M337" s="90">
        <f t="shared" ca="1" si="53"/>
        <v>100</v>
      </c>
    </row>
    <row r="338" spans="1:13" x14ac:dyDescent="0.2">
      <c r="A338" s="216">
        <v>350</v>
      </c>
      <c r="B338" s="217" t="s">
        <v>821</v>
      </c>
      <c r="C338" s="97">
        <f t="shared" si="47"/>
        <v>4</v>
      </c>
      <c r="D338" s="97" t="str">
        <f t="shared" si="44"/>
        <v>11029752</v>
      </c>
      <c r="E338" s="97" t="str">
        <f t="shared" si="45"/>
        <v>4402748120004</v>
      </c>
      <c r="F338" s="97" t="b">
        <f t="shared" si="48"/>
        <v>0</v>
      </c>
      <c r="G338" s="285">
        <f t="shared" si="49"/>
        <v>42004</v>
      </c>
      <c r="H338" s="13">
        <v>635</v>
      </c>
      <c r="I338" s="97">
        <f t="shared" si="46"/>
        <v>2014</v>
      </c>
      <c r="J338" s="90"/>
      <c r="K338" s="90"/>
      <c r="L338" s="90">
        <f t="shared" ca="1" si="52"/>
        <v>202983</v>
      </c>
      <c r="M338" s="90">
        <f t="shared" ca="1" si="53"/>
        <v>161439</v>
      </c>
    </row>
    <row r="339" spans="1:13" x14ac:dyDescent="0.2">
      <c r="A339" s="216">
        <v>351</v>
      </c>
      <c r="B339" s="217" t="s">
        <v>821</v>
      </c>
      <c r="C339" s="97">
        <f t="shared" si="47"/>
        <v>4</v>
      </c>
      <c r="D339" s="97" t="str">
        <f t="shared" si="44"/>
        <v>11029752</v>
      </c>
      <c r="E339" s="97" t="str">
        <f t="shared" si="45"/>
        <v>4402748120004</v>
      </c>
      <c r="F339" s="97" t="b">
        <f t="shared" si="48"/>
        <v>0</v>
      </c>
      <c r="G339" s="285">
        <f t="shared" si="49"/>
        <v>42004</v>
      </c>
      <c r="H339" s="13">
        <v>636</v>
      </c>
      <c r="I339" s="97">
        <f t="shared" si="46"/>
        <v>2014</v>
      </c>
      <c r="J339" s="90"/>
      <c r="K339" s="90"/>
      <c r="L339" s="90">
        <f t="shared" ca="1" si="52"/>
        <v>10621</v>
      </c>
      <c r="M339" s="90">
        <f t="shared" ca="1" si="53"/>
        <v>6017</v>
      </c>
    </row>
    <row r="340" spans="1:13" x14ac:dyDescent="0.2">
      <c r="A340" s="216">
        <v>352</v>
      </c>
      <c r="B340" s="217" t="s">
        <v>821</v>
      </c>
      <c r="C340" s="97">
        <f t="shared" si="47"/>
        <v>4</v>
      </c>
      <c r="D340" s="97" t="str">
        <f t="shared" si="44"/>
        <v>11029752</v>
      </c>
      <c r="E340" s="97" t="str">
        <f t="shared" si="45"/>
        <v>4402748120004</v>
      </c>
      <c r="F340" s="97" t="b">
        <f t="shared" si="48"/>
        <v>0</v>
      </c>
      <c r="G340" s="285">
        <f t="shared" si="49"/>
        <v>42004</v>
      </c>
      <c r="H340" s="13">
        <v>637</v>
      </c>
      <c r="I340" s="97">
        <f t="shared" si="46"/>
        <v>2014</v>
      </c>
      <c r="J340" s="90"/>
      <c r="K340" s="90"/>
      <c r="L340" s="90" t="str">
        <f t="shared" ca="1" si="52"/>
        <v/>
      </c>
      <c r="M340" s="90" t="str">
        <f t="shared" ca="1" si="53"/>
        <v/>
      </c>
    </row>
    <row r="341" spans="1:13" x14ac:dyDescent="0.2">
      <c r="A341" s="216">
        <v>353</v>
      </c>
      <c r="B341" s="217" t="s">
        <v>821</v>
      </c>
      <c r="C341" s="97">
        <f t="shared" si="47"/>
        <v>4</v>
      </c>
      <c r="D341" s="97" t="str">
        <f t="shared" si="44"/>
        <v>11029752</v>
      </c>
      <c r="E341" s="97" t="str">
        <f t="shared" si="45"/>
        <v>4402748120004</v>
      </c>
      <c r="F341" s="97" t="b">
        <f t="shared" si="48"/>
        <v>0</v>
      </c>
      <c r="G341" s="285">
        <f t="shared" si="49"/>
        <v>42004</v>
      </c>
      <c r="H341" s="13">
        <v>638</v>
      </c>
      <c r="I341" s="97">
        <f t="shared" si="46"/>
        <v>2014</v>
      </c>
      <c r="J341" s="90"/>
      <c r="K341" s="90"/>
      <c r="L341" s="90" t="str">
        <f t="shared" ca="1" si="52"/>
        <v/>
      </c>
      <c r="M341" s="90" t="str">
        <f t="shared" ca="1" si="53"/>
        <v/>
      </c>
    </row>
    <row r="342" spans="1:13" x14ac:dyDescent="0.2">
      <c r="A342" s="216">
        <v>354</v>
      </c>
      <c r="B342" s="217" t="s">
        <v>821</v>
      </c>
      <c r="C342" s="97">
        <f t="shared" si="47"/>
        <v>4</v>
      </c>
      <c r="D342" s="97" t="str">
        <f t="shared" si="44"/>
        <v>11029752</v>
      </c>
      <c r="E342" s="97" t="str">
        <f t="shared" si="45"/>
        <v>4402748120004</v>
      </c>
      <c r="F342" s="97" t="b">
        <f t="shared" si="48"/>
        <v>0</v>
      </c>
      <c r="G342" s="285">
        <f t="shared" si="49"/>
        <v>42004</v>
      </c>
      <c r="H342" s="13">
        <v>639</v>
      </c>
      <c r="I342" s="97">
        <f t="shared" si="46"/>
        <v>2014</v>
      </c>
      <c r="J342" s="90"/>
      <c r="K342" s="90"/>
      <c r="L342" s="90">
        <f t="shared" ca="1" si="52"/>
        <v>367416</v>
      </c>
      <c r="M342" s="90">
        <f t="shared" ca="1" si="53"/>
        <v>471175</v>
      </c>
    </row>
    <row r="343" spans="1:13" x14ac:dyDescent="0.2">
      <c r="A343" s="216">
        <v>355</v>
      </c>
      <c r="B343" s="217" t="s">
        <v>821</v>
      </c>
      <c r="C343" s="97">
        <f t="shared" si="47"/>
        <v>4</v>
      </c>
      <c r="D343" s="97" t="str">
        <f t="shared" si="44"/>
        <v>11029752</v>
      </c>
      <c r="E343" s="97" t="str">
        <f t="shared" si="45"/>
        <v>4402748120004</v>
      </c>
      <c r="F343" s="97" t="b">
        <f t="shared" si="48"/>
        <v>0</v>
      </c>
      <c r="G343" s="285">
        <f t="shared" si="49"/>
        <v>42004</v>
      </c>
      <c r="H343" s="13">
        <v>640</v>
      </c>
      <c r="I343" s="97">
        <f t="shared" si="46"/>
        <v>2014</v>
      </c>
      <c r="J343" s="90"/>
      <c r="K343" s="90"/>
      <c r="L343" s="90">
        <f t="shared" ca="1" si="52"/>
        <v>90789</v>
      </c>
      <c r="M343" s="90">
        <f t="shared" ca="1" si="53"/>
        <v>119953</v>
      </c>
    </row>
    <row r="344" spans="1:13" x14ac:dyDescent="0.2">
      <c r="A344" s="216">
        <v>356</v>
      </c>
      <c r="B344" s="217" t="s">
        <v>821</v>
      </c>
      <c r="C344" s="97">
        <f t="shared" si="47"/>
        <v>4</v>
      </c>
      <c r="D344" s="97" t="str">
        <f t="shared" si="44"/>
        <v>11029752</v>
      </c>
      <c r="E344" s="97" t="str">
        <f t="shared" si="45"/>
        <v>4402748120004</v>
      </c>
      <c r="F344" s="97" t="b">
        <f t="shared" si="48"/>
        <v>0</v>
      </c>
      <c r="G344" s="285">
        <f t="shared" si="49"/>
        <v>42004</v>
      </c>
      <c r="H344" s="13">
        <v>641</v>
      </c>
      <c r="I344" s="97">
        <f t="shared" si="46"/>
        <v>2014</v>
      </c>
      <c r="J344" s="90"/>
      <c r="K344" s="90"/>
      <c r="L344" s="90">
        <f t="shared" ca="1" si="52"/>
        <v>1245</v>
      </c>
      <c r="M344" s="90">
        <f t="shared" ca="1" si="53"/>
        <v>2090</v>
      </c>
    </row>
    <row r="345" spans="1:13" x14ac:dyDescent="0.2">
      <c r="A345" s="216">
        <v>357</v>
      </c>
      <c r="B345" s="217" t="s">
        <v>821</v>
      </c>
      <c r="C345" s="97">
        <f t="shared" si="47"/>
        <v>4</v>
      </c>
      <c r="D345" s="97" t="str">
        <f t="shared" si="44"/>
        <v>11029752</v>
      </c>
      <c r="E345" s="97" t="str">
        <f t="shared" si="45"/>
        <v>4402748120004</v>
      </c>
      <c r="F345" s="97" t="b">
        <f t="shared" si="48"/>
        <v>0</v>
      </c>
      <c r="G345" s="285">
        <f t="shared" si="49"/>
        <v>42004</v>
      </c>
      <c r="H345" s="13">
        <v>642</v>
      </c>
      <c r="I345" s="97">
        <f t="shared" si="46"/>
        <v>2014</v>
      </c>
      <c r="J345" s="90"/>
      <c r="K345" s="90"/>
      <c r="L345" s="90">
        <f t="shared" ca="1" si="52"/>
        <v>6785</v>
      </c>
      <c r="M345" s="90">
        <f t="shared" ca="1" si="53"/>
        <v>6964</v>
      </c>
    </row>
    <row r="346" spans="1:13" x14ac:dyDescent="0.2">
      <c r="A346" s="216">
        <v>358</v>
      </c>
      <c r="B346" s="217" t="s">
        <v>821</v>
      </c>
      <c r="C346" s="97">
        <f t="shared" si="47"/>
        <v>4</v>
      </c>
      <c r="D346" s="97" t="str">
        <f t="shared" si="44"/>
        <v>11029752</v>
      </c>
      <c r="E346" s="97" t="str">
        <f t="shared" si="45"/>
        <v>4402748120004</v>
      </c>
      <c r="F346" s="97" t="b">
        <f t="shared" si="48"/>
        <v>0</v>
      </c>
      <c r="G346" s="285">
        <f t="shared" si="49"/>
        <v>42004</v>
      </c>
      <c r="H346" s="13">
        <v>643</v>
      </c>
      <c r="I346" s="97">
        <f t="shared" si="46"/>
        <v>2014</v>
      </c>
      <c r="J346" s="90"/>
      <c r="K346" s="90"/>
      <c r="L346" s="90">
        <f t="shared" ca="1" si="52"/>
        <v>3891</v>
      </c>
      <c r="M346" s="90">
        <f t="shared" ca="1" si="53"/>
        <v>5378</v>
      </c>
    </row>
    <row r="347" spans="1:13" x14ac:dyDescent="0.2">
      <c r="A347" s="216">
        <v>359</v>
      </c>
      <c r="B347" s="217" t="s">
        <v>821</v>
      </c>
      <c r="C347" s="97">
        <f t="shared" si="47"/>
        <v>4</v>
      </c>
      <c r="D347" s="97" t="str">
        <f t="shared" si="44"/>
        <v>11029752</v>
      </c>
      <c r="E347" s="97" t="str">
        <f t="shared" si="45"/>
        <v>4402748120004</v>
      </c>
      <c r="F347" s="97" t="b">
        <f t="shared" si="48"/>
        <v>0</v>
      </c>
      <c r="G347" s="285">
        <f t="shared" si="49"/>
        <v>42004</v>
      </c>
      <c r="H347" s="13">
        <v>644</v>
      </c>
      <c r="I347" s="97">
        <f t="shared" si="46"/>
        <v>2014</v>
      </c>
      <c r="J347" s="90"/>
      <c r="K347" s="90"/>
      <c r="L347" s="90">
        <f t="shared" ca="1" si="52"/>
        <v>4372</v>
      </c>
      <c r="M347" s="90">
        <f t="shared" ca="1" si="53"/>
        <v>3713</v>
      </c>
    </row>
    <row r="348" spans="1:13" x14ac:dyDescent="0.2">
      <c r="A348" s="216">
        <v>360</v>
      </c>
      <c r="B348" s="217" t="s">
        <v>821</v>
      </c>
      <c r="C348" s="97">
        <f t="shared" si="47"/>
        <v>4</v>
      </c>
      <c r="D348" s="97" t="str">
        <f t="shared" si="44"/>
        <v>11029752</v>
      </c>
      <c r="E348" s="97" t="str">
        <f t="shared" si="45"/>
        <v>4402748120004</v>
      </c>
      <c r="F348" s="97" t="b">
        <f t="shared" si="48"/>
        <v>0</v>
      </c>
      <c r="G348" s="285">
        <f t="shared" si="49"/>
        <v>42004</v>
      </c>
      <c r="H348" s="13">
        <v>645</v>
      </c>
      <c r="I348" s="97">
        <f t="shared" si="46"/>
        <v>2014</v>
      </c>
      <c r="J348" s="90"/>
      <c r="K348" s="90"/>
      <c r="L348" s="90">
        <f t="shared" ca="1" si="52"/>
        <v>1016</v>
      </c>
      <c r="M348" s="90">
        <f t="shared" ca="1" si="53"/>
        <v>1068</v>
      </c>
    </row>
    <row r="349" spans="1:13" x14ac:dyDescent="0.2">
      <c r="A349" s="216">
        <v>361</v>
      </c>
      <c r="B349" s="217" t="s">
        <v>821</v>
      </c>
      <c r="C349" s="97">
        <f t="shared" si="47"/>
        <v>4</v>
      </c>
      <c r="D349" s="97" t="str">
        <f t="shared" si="44"/>
        <v>11029752</v>
      </c>
      <c r="E349" s="97" t="str">
        <f t="shared" si="45"/>
        <v>4402748120004</v>
      </c>
      <c r="F349" s="97" t="b">
        <f t="shared" si="48"/>
        <v>0</v>
      </c>
      <c r="G349" s="285">
        <f t="shared" si="49"/>
        <v>42004</v>
      </c>
      <c r="H349" s="13">
        <v>646</v>
      </c>
      <c r="I349" s="97">
        <f t="shared" si="46"/>
        <v>2014</v>
      </c>
      <c r="J349" s="90"/>
      <c r="K349" s="90"/>
      <c r="L349" s="90" t="str">
        <f t="shared" ca="1" si="52"/>
        <v/>
      </c>
      <c r="M349" s="90" t="str">
        <f t="shared" ca="1" si="53"/>
        <v/>
      </c>
    </row>
    <row r="350" spans="1:13" x14ac:dyDescent="0.2">
      <c r="A350" s="216">
        <v>362</v>
      </c>
      <c r="B350" s="217" t="s">
        <v>821</v>
      </c>
      <c r="C350" s="97">
        <f t="shared" si="47"/>
        <v>4</v>
      </c>
      <c r="D350" s="97" t="str">
        <f t="shared" si="44"/>
        <v>11029752</v>
      </c>
      <c r="E350" s="97" t="str">
        <f t="shared" si="45"/>
        <v>4402748120004</v>
      </c>
      <c r="F350" s="97" t="b">
        <f t="shared" si="48"/>
        <v>0</v>
      </c>
      <c r="G350" s="285">
        <f t="shared" si="49"/>
        <v>42004</v>
      </c>
      <c r="H350" s="13">
        <v>647</v>
      </c>
      <c r="I350" s="97">
        <f t="shared" si="46"/>
        <v>2014</v>
      </c>
      <c r="J350" s="90"/>
      <c r="K350" s="90"/>
      <c r="L350" s="90">
        <f t="shared" ca="1" si="52"/>
        <v>12109</v>
      </c>
      <c r="M350" s="90">
        <f t="shared" ca="1" si="53"/>
        <v>99822</v>
      </c>
    </row>
    <row r="351" spans="1:13" x14ac:dyDescent="0.2">
      <c r="A351" s="216">
        <v>363</v>
      </c>
      <c r="B351" s="217" t="s">
        <v>821</v>
      </c>
      <c r="C351" s="97">
        <f t="shared" si="47"/>
        <v>4</v>
      </c>
      <c r="D351" s="97" t="str">
        <f t="shared" si="44"/>
        <v>11029752</v>
      </c>
      <c r="E351" s="97" t="str">
        <f t="shared" si="45"/>
        <v>4402748120004</v>
      </c>
      <c r="F351" s="97" t="b">
        <f t="shared" si="48"/>
        <v>0</v>
      </c>
      <c r="G351" s="285">
        <f t="shared" si="49"/>
        <v>42004</v>
      </c>
      <c r="H351" s="13">
        <v>648</v>
      </c>
      <c r="I351" s="97">
        <f t="shared" si="46"/>
        <v>2014</v>
      </c>
      <c r="J351" s="90"/>
      <c r="K351" s="90"/>
      <c r="L351" s="90">
        <f t="shared" ca="1" si="52"/>
        <v>248454</v>
      </c>
      <c r="M351" s="90">
        <f t="shared" ca="1" si="53"/>
        <v>234277</v>
      </c>
    </row>
    <row r="352" spans="1:13" x14ac:dyDescent="0.2">
      <c r="A352" s="216">
        <v>365</v>
      </c>
      <c r="B352" s="217" t="s">
        <v>821</v>
      </c>
      <c r="C352" s="97">
        <f t="shared" si="47"/>
        <v>4</v>
      </c>
      <c r="D352" s="97" t="str">
        <f t="shared" si="44"/>
        <v>11029752</v>
      </c>
      <c r="E352" s="97" t="str">
        <f t="shared" si="45"/>
        <v>4402748120004</v>
      </c>
      <c r="F352" s="97" t="b">
        <f t="shared" si="48"/>
        <v>0</v>
      </c>
      <c r="G352" s="285">
        <f t="shared" si="49"/>
        <v>42004</v>
      </c>
      <c r="H352" s="13">
        <v>649</v>
      </c>
      <c r="I352" s="97">
        <f t="shared" si="46"/>
        <v>2014</v>
      </c>
      <c r="J352" s="90"/>
      <c r="K352" s="90"/>
      <c r="L352" s="90">
        <f t="shared" ca="1" si="52"/>
        <v>831857</v>
      </c>
      <c r="M352" s="90">
        <f t="shared" ca="1" si="53"/>
        <v>419033</v>
      </c>
    </row>
    <row r="353" spans="1:13" x14ac:dyDescent="0.2">
      <c r="A353" s="216">
        <v>366</v>
      </c>
      <c r="B353" s="217" t="s">
        <v>821</v>
      </c>
      <c r="C353" s="97">
        <f t="shared" si="47"/>
        <v>4</v>
      </c>
      <c r="D353" s="97" t="str">
        <f t="shared" si="44"/>
        <v>11029752</v>
      </c>
      <c r="E353" s="97" t="str">
        <f t="shared" si="45"/>
        <v>4402748120004</v>
      </c>
      <c r="F353" s="97" t="b">
        <f t="shared" si="48"/>
        <v>0</v>
      </c>
      <c r="G353" s="285">
        <f t="shared" si="49"/>
        <v>42004</v>
      </c>
      <c r="H353" s="13">
        <v>650</v>
      </c>
      <c r="I353" s="97">
        <f t="shared" si="46"/>
        <v>2014</v>
      </c>
      <c r="J353" s="90"/>
      <c r="K353" s="90"/>
      <c r="L353" s="90">
        <f t="shared" ca="1" si="52"/>
        <v>524522</v>
      </c>
      <c r="M353" s="90">
        <f t="shared" ca="1" si="53"/>
        <v>328429</v>
      </c>
    </row>
    <row r="354" spans="1:13" x14ac:dyDescent="0.2">
      <c r="A354" s="216">
        <v>367</v>
      </c>
      <c r="B354" s="217" t="s">
        <v>821</v>
      </c>
      <c r="C354" s="97">
        <f t="shared" si="47"/>
        <v>4</v>
      </c>
      <c r="D354" s="97" t="str">
        <f t="shared" si="44"/>
        <v>11029752</v>
      </c>
      <c r="E354" s="97" t="str">
        <f t="shared" si="45"/>
        <v>4402748120004</v>
      </c>
      <c r="F354" s="97" t="b">
        <f t="shared" si="48"/>
        <v>0</v>
      </c>
      <c r="G354" s="285">
        <f t="shared" si="49"/>
        <v>42004</v>
      </c>
      <c r="H354" s="13">
        <v>651</v>
      </c>
      <c r="I354" s="97">
        <f t="shared" si="46"/>
        <v>2014</v>
      </c>
      <c r="J354" s="90"/>
      <c r="K354" s="90"/>
      <c r="L354" s="90">
        <f t="shared" ca="1" si="52"/>
        <v>1</v>
      </c>
      <c r="M354" s="90">
        <f t="shared" ca="1" si="53"/>
        <v>9601</v>
      </c>
    </row>
    <row r="355" spans="1:13" x14ac:dyDescent="0.2">
      <c r="A355" s="216">
        <v>368</v>
      </c>
      <c r="B355" s="217" t="s">
        <v>821</v>
      </c>
      <c r="C355" s="97">
        <f t="shared" si="47"/>
        <v>4</v>
      </c>
      <c r="D355" s="97" t="str">
        <f t="shared" si="44"/>
        <v>11029752</v>
      </c>
      <c r="E355" s="97" t="str">
        <f t="shared" si="45"/>
        <v>4402748120004</v>
      </c>
      <c r="F355" s="97" t="b">
        <f t="shared" si="48"/>
        <v>0</v>
      </c>
      <c r="G355" s="285">
        <f t="shared" si="49"/>
        <v>42004</v>
      </c>
      <c r="H355" s="13">
        <v>652</v>
      </c>
      <c r="I355" s="97">
        <f t="shared" si="46"/>
        <v>2014</v>
      </c>
      <c r="J355" s="90"/>
      <c r="K355" s="90"/>
      <c r="L355" s="90">
        <f t="shared" ca="1" si="52"/>
        <v>41495</v>
      </c>
      <c r="M355" s="90" t="str">
        <f t="shared" ca="1" si="53"/>
        <v/>
      </c>
    </row>
    <row r="356" spans="1:13" x14ac:dyDescent="0.2">
      <c r="A356" s="216">
        <v>369</v>
      </c>
      <c r="B356" s="217" t="s">
        <v>821</v>
      </c>
      <c r="C356" s="97">
        <f t="shared" si="47"/>
        <v>4</v>
      </c>
      <c r="D356" s="97" t="str">
        <f t="shared" si="44"/>
        <v>11029752</v>
      </c>
      <c r="E356" s="97" t="str">
        <f t="shared" si="45"/>
        <v>4402748120004</v>
      </c>
      <c r="F356" s="97" t="b">
        <f t="shared" si="48"/>
        <v>0</v>
      </c>
      <c r="G356" s="285">
        <f t="shared" si="49"/>
        <v>42004</v>
      </c>
      <c r="H356" s="13">
        <v>653</v>
      </c>
      <c r="I356" s="97">
        <f t="shared" si="46"/>
        <v>2014</v>
      </c>
      <c r="J356" s="90"/>
      <c r="K356" s="90"/>
      <c r="L356" s="90">
        <f t="shared" ca="1" si="52"/>
        <v>46463</v>
      </c>
      <c r="M356" s="90">
        <f t="shared" ca="1" si="53"/>
        <v>67293</v>
      </c>
    </row>
    <row r="357" spans="1:13" x14ac:dyDescent="0.2">
      <c r="A357" s="216">
        <v>370</v>
      </c>
      <c r="B357" s="217" t="s">
        <v>821</v>
      </c>
      <c r="C357" s="97">
        <f t="shared" si="47"/>
        <v>4</v>
      </c>
      <c r="D357" s="97" t="str">
        <f t="shared" si="44"/>
        <v>11029752</v>
      </c>
      <c r="E357" s="97" t="str">
        <f t="shared" si="45"/>
        <v>4402748120004</v>
      </c>
      <c r="F357" s="97" t="b">
        <f t="shared" si="48"/>
        <v>0</v>
      </c>
      <c r="G357" s="285">
        <f t="shared" si="49"/>
        <v>42004</v>
      </c>
      <c r="H357" s="13">
        <v>654</v>
      </c>
      <c r="I357" s="97">
        <f t="shared" si="46"/>
        <v>2014</v>
      </c>
      <c r="J357" s="90"/>
      <c r="K357" s="90"/>
      <c r="L357" s="90">
        <f t="shared" ca="1" si="52"/>
        <v>46463</v>
      </c>
      <c r="M357" s="90">
        <f t="shared" ca="1" si="53"/>
        <v>67293</v>
      </c>
    </row>
    <row r="358" spans="1:13" x14ac:dyDescent="0.2">
      <c r="A358" s="216">
        <v>371</v>
      </c>
      <c r="B358" s="217" t="s">
        <v>821</v>
      </c>
      <c r="C358" s="97">
        <f t="shared" si="47"/>
        <v>4</v>
      </c>
      <c r="D358" s="97" t="str">
        <f t="shared" si="44"/>
        <v>11029752</v>
      </c>
      <c r="E358" s="97" t="str">
        <f t="shared" si="45"/>
        <v>4402748120004</v>
      </c>
      <c r="F358" s="97" t="b">
        <f t="shared" si="48"/>
        <v>0</v>
      </c>
      <c r="G358" s="285">
        <f t="shared" si="49"/>
        <v>42004</v>
      </c>
      <c r="H358" s="13">
        <v>655</v>
      </c>
      <c r="I358" s="97">
        <f t="shared" si="46"/>
        <v>2014</v>
      </c>
      <c r="J358" s="90"/>
      <c r="K358" s="90"/>
      <c r="L358" s="90" t="str">
        <f t="shared" ca="1" si="52"/>
        <v/>
      </c>
      <c r="M358" s="90" t="str">
        <f t="shared" ca="1" si="53"/>
        <v/>
      </c>
    </row>
    <row r="359" spans="1:13" x14ac:dyDescent="0.2">
      <c r="A359" s="216">
        <v>372</v>
      </c>
      <c r="B359" s="217" t="s">
        <v>821</v>
      </c>
      <c r="C359" s="97">
        <f t="shared" si="47"/>
        <v>4</v>
      </c>
      <c r="D359" s="97" t="str">
        <f t="shared" si="44"/>
        <v>11029752</v>
      </c>
      <c r="E359" s="97" t="str">
        <f t="shared" si="45"/>
        <v>4402748120004</v>
      </c>
      <c r="F359" s="97" t="b">
        <f t="shared" si="48"/>
        <v>0</v>
      </c>
      <c r="G359" s="285">
        <f t="shared" si="49"/>
        <v>42004</v>
      </c>
      <c r="H359" s="13">
        <v>656</v>
      </c>
      <c r="I359" s="97">
        <f t="shared" si="46"/>
        <v>2014</v>
      </c>
      <c r="J359" s="90"/>
      <c r="K359" s="90"/>
      <c r="L359" s="90" t="str">
        <f t="shared" ca="1" si="52"/>
        <v/>
      </c>
      <c r="M359" s="90" t="str">
        <f t="shared" ca="1" si="53"/>
        <v/>
      </c>
    </row>
    <row r="360" spans="1:13" x14ac:dyDescent="0.2">
      <c r="A360" s="216">
        <v>373</v>
      </c>
      <c r="B360" s="217" t="s">
        <v>821</v>
      </c>
      <c r="C360" s="97">
        <f t="shared" si="47"/>
        <v>4</v>
      </c>
      <c r="D360" s="97" t="str">
        <f t="shared" si="44"/>
        <v>11029752</v>
      </c>
      <c r="E360" s="97" t="str">
        <f t="shared" si="45"/>
        <v>4402748120004</v>
      </c>
      <c r="F360" s="97" t="b">
        <f t="shared" si="48"/>
        <v>0</v>
      </c>
      <c r="G360" s="285">
        <f t="shared" si="49"/>
        <v>42004</v>
      </c>
      <c r="H360" s="13">
        <v>657</v>
      </c>
      <c r="I360" s="97">
        <f t="shared" si="46"/>
        <v>2014</v>
      </c>
      <c r="J360" s="90"/>
      <c r="K360" s="90"/>
      <c r="L360" s="90" t="str">
        <f t="shared" ca="1" si="52"/>
        <v/>
      </c>
      <c r="M360" s="90">
        <f t="shared" ca="1" si="53"/>
        <v>3907</v>
      </c>
    </row>
    <row r="361" spans="1:13" x14ac:dyDescent="0.2">
      <c r="A361" s="216">
        <v>374</v>
      </c>
      <c r="B361" s="217" t="s">
        <v>821</v>
      </c>
      <c r="C361" s="97">
        <f t="shared" si="47"/>
        <v>4</v>
      </c>
      <c r="D361" s="97" t="str">
        <f t="shared" si="44"/>
        <v>11029752</v>
      </c>
      <c r="E361" s="97" t="str">
        <f t="shared" si="45"/>
        <v>4402748120004</v>
      </c>
      <c r="F361" s="97" t="b">
        <f t="shared" si="48"/>
        <v>0</v>
      </c>
      <c r="G361" s="285">
        <f t="shared" si="49"/>
        <v>42004</v>
      </c>
      <c r="H361" s="13">
        <v>658</v>
      </c>
      <c r="I361" s="97">
        <f t="shared" si="46"/>
        <v>2014</v>
      </c>
      <c r="J361" s="90"/>
      <c r="K361" s="90"/>
      <c r="L361" s="90">
        <f t="shared" ca="1" si="52"/>
        <v>246240</v>
      </c>
      <c r="M361" s="90">
        <f t="shared" ca="1" si="53"/>
        <v>230114</v>
      </c>
    </row>
    <row r="362" spans="1:13" x14ac:dyDescent="0.2">
      <c r="A362" s="216">
        <v>375</v>
      </c>
      <c r="B362" s="217" t="s">
        <v>821</v>
      </c>
      <c r="C362" s="97">
        <f t="shared" si="47"/>
        <v>4</v>
      </c>
      <c r="D362" s="97" t="str">
        <f t="shared" si="44"/>
        <v>11029752</v>
      </c>
      <c r="E362" s="97" t="str">
        <f t="shared" si="45"/>
        <v>4402748120004</v>
      </c>
      <c r="F362" s="97" t="b">
        <f t="shared" si="48"/>
        <v>0</v>
      </c>
      <c r="G362" s="285">
        <f t="shared" si="49"/>
        <v>42004</v>
      </c>
      <c r="H362" s="13">
        <v>659</v>
      </c>
      <c r="I362" s="97">
        <f t="shared" si="46"/>
        <v>2014</v>
      </c>
      <c r="J362" s="90"/>
      <c r="K362" s="90"/>
      <c r="L362" s="90">
        <f t="shared" ca="1" si="52"/>
        <v>424587</v>
      </c>
      <c r="M362" s="90">
        <f t="shared" ca="1" si="53"/>
        <v>12035</v>
      </c>
    </row>
    <row r="363" spans="1:13" x14ac:dyDescent="0.2">
      <c r="A363" s="216">
        <v>376</v>
      </c>
      <c r="B363" s="217" t="s">
        <v>821</v>
      </c>
      <c r="C363" s="97">
        <f t="shared" si="47"/>
        <v>4</v>
      </c>
      <c r="D363" s="97" t="str">
        <f t="shared" si="44"/>
        <v>11029752</v>
      </c>
      <c r="E363" s="97" t="str">
        <f t="shared" si="45"/>
        <v>4402748120004</v>
      </c>
      <c r="F363" s="97" t="b">
        <f t="shared" si="48"/>
        <v>0</v>
      </c>
      <c r="G363" s="285">
        <f t="shared" si="49"/>
        <v>42004</v>
      </c>
      <c r="H363" s="13">
        <v>660</v>
      </c>
      <c r="I363" s="97">
        <f t="shared" si="46"/>
        <v>2014</v>
      </c>
      <c r="J363" s="90"/>
      <c r="K363" s="90"/>
      <c r="L363" s="90">
        <f t="shared" ca="1" si="52"/>
        <v>990704</v>
      </c>
      <c r="M363" s="90">
        <f t="shared" ca="1" si="53"/>
        <v>310419</v>
      </c>
    </row>
    <row r="364" spans="1:13" x14ac:dyDescent="0.2">
      <c r="A364" s="216">
        <v>377</v>
      </c>
      <c r="B364" s="217" t="s">
        <v>821</v>
      </c>
      <c r="C364" s="97">
        <f t="shared" si="47"/>
        <v>4</v>
      </c>
      <c r="D364" s="97" t="str">
        <f t="shared" si="44"/>
        <v>11029752</v>
      </c>
      <c r="E364" s="97" t="str">
        <f t="shared" si="45"/>
        <v>4402748120004</v>
      </c>
      <c r="F364" s="97" t="b">
        <f t="shared" si="48"/>
        <v>0</v>
      </c>
      <c r="G364" s="285">
        <f t="shared" si="49"/>
        <v>42004</v>
      </c>
      <c r="H364" s="13">
        <v>661</v>
      </c>
      <c r="I364" s="97">
        <f t="shared" si="46"/>
        <v>2014</v>
      </c>
      <c r="J364" s="90"/>
      <c r="K364" s="90"/>
      <c r="L364" s="90" t="str">
        <f t="shared" ca="1" si="52"/>
        <v/>
      </c>
      <c r="M364" s="90" t="str">
        <f t="shared" ca="1" si="53"/>
        <v/>
      </c>
    </row>
    <row r="365" spans="1:13" x14ac:dyDescent="0.2">
      <c r="A365" s="216">
        <v>378</v>
      </c>
      <c r="B365" s="217" t="s">
        <v>821</v>
      </c>
      <c r="C365" s="97">
        <f t="shared" si="47"/>
        <v>4</v>
      </c>
      <c r="D365" s="97" t="str">
        <f t="shared" si="44"/>
        <v>11029752</v>
      </c>
      <c r="E365" s="97" t="str">
        <f t="shared" si="45"/>
        <v>4402748120004</v>
      </c>
      <c r="F365" s="97" t="b">
        <f t="shared" si="48"/>
        <v>0</v>
      </c>
      <c r="G365" s="285">
        <f t="shared" si="49"/>
        <v>42004</v>
      </c>
      <c r="H365" s="13">
        <v>662</v>
      </c>
      <c r="I365" s="97">
        <f t="shared" si="46"/>
        <v>2014</v>
      </c>
      <c r="J365" s="90"/>
      <c r="K365" s="90"/>
      <c r="L365" s="90" t="str">
        <f ca="1">IF(VLOOKUP($H365,INDIRECT("Lookup_"&amp;$B365),IF($B365="BS",R$2,R$1),0)="","",VLOOKUP($H365,INDIRECT("Lookup_"&amp;$B365),IF($B365="BS",R$2,R$1),0))</f>
        <v/>
      </c>
      <c r="M365" s="90" t="str">
        <f ca="1">IF(VLOOKUP($H365,INDIRECT("Lookup_"&amp;$B365),IF($B365="BS",S$2,S$1),0)="","",VLOOKUP($H365,INDIRECT("Lookup_"&amp;$B365),IF($B365="BS",S$2,S$1),0))</f>
        <v/>
      </c>
    </row>
    <row r="366" spans="1:13" x14ac:dyDescent="0.2">
      <c r="A366" s="216">
        <v>379</v>
      </c>
      <c r="B366" s="217" t="s">
        <v>821</v>
      </c>
      <c r="C366" s="97">
        <f t="shared" si="47"/>
        <v>4</v>
      </c>
      <c r="D366" s="97" t="str">
        <f t="shared" si="44"/>
        <v>11029752</v>
      </c>
      <c r="E366" s="97" t="str">
        <f t="shared" si="45"/>
        <v>4402748120004</v>
      </c>
      <c r="F366" s="97" t="b">
        <f t="shared" si="48"/>
        <v>0</v>
      </c>
      <c r="G366" s="285">
        <f t="shared" si="49"/>
        <v>42004</v>
      </c>
      <c r="H366" s="13">
        <v>663</v>
      </c>
      <c r="I366" s="97">
        <f t="shared" si="46"/>
        <v>2014</v>
      </c>
      <c r="J366" s="90"/>
      <c r="K366" s="90"/>
      <c r="L366" s="90">
        <f ca="1">IF(VLOOKUP($H366,INDIRECT("Lookup_"&amp;$B366),IF($B366="BS",R$2,R$1),0)="","",VLOOKUP($H366,INDIRECT("Lookup_"&amp;$B366),IF($B366="BS",R$2,R$1),0))</f>
        <v>39734</v>
      </c>
      <c r="M366" s="90">
        <f ca="1">IF(VLOOKUP($H366,INDIRECT("Lookup_"&amp;$B366),IF($B366="BS",S$2,S$1),0)="","",VLOOKUP($H366,INDIRECT("Lookup_"&amp;$B366),IF($B366="BS",S$2,S$1),0))</f>
        <v>37344</v>
      </c>
    </row>
  </sheetData>
  <sheetProtection password="FE56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O5" sqref="O5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1" width="10.7109375" customWidth="1"/>
  </cols>
  <sheetData>
    <row r="1" spans="1:17" ht="13.5" thickBot="1" x14ac:dyDescent="0.25">
      <c r="A1" s="222" t="s">
        <v>810</v>
      </c>
      <c r="B1" s="223" t="s">
        <v>942</v>
      </c>
      <c r="C1" s="224" t="s">
        <v>812</v>
      </c>
      <c r="D1" s="224" t="s">
        <v>574</v>
      </c>
      <c r="E1" s="215" t="s">
        <v>1762</v>
      </c>
      <c r="F1" s="100" t="s">
        <v>632</v>
      </c>
      <c r="G1" s="225" t="s">
        <v>864</v>
      </c>
      <c r="H1" s="225" t="s">
        <v>1503</v>
      </c>
      <c r="I1" s="225" t="s">
        <v>1078</v>
      </c>
      <c r="J1" s="225" t="s">
        <v>1079</v>
      </c>
      <c r="K1" s="225" t="s">
        <v>1504</v>
      </c>
      <c r="L1" s="225" t="s">
        <v>1505</v>
      </c>
      <c r="M1" s="225" t="s">
        <v>1506</v>
      </c>
      <c r="N1" s="225" t="s">
        <v>1507</v>
      </c>
      <c r="O1" s="225" t="s">
        <v>1508</v>
      </c>
      <c r="P1" s="225" t="s">
        <v>1509</v>
      </c>
      <c r="Q1" s="225" t="s">
        <v>1510</v>
      </c>
    </row>
    <row r="2" spans="1:17" ht="13.5" thickTop="1" x14ac:dyDescent="0.2">
      <c r="A2" s="216">
        <v>380</v>
      </c>
      <c r="B2" s="217" t="s">
        <v>822</v>
      </c>
      <c r="C2" s="97" t="str">
        <f t="shared" ref="C2:C24" si="0">Podatak_MB</f>
        <v>11029752</v>
      </c>
      <c r="D2" s="97" t="str">
        <f t="shared" ref="D2:D24" si="1">Podatak_JIB</f>
        <v>4402748120004</v>
      </c>
      <c r="E2" s="97" t="b">
        <f t="shared" ref="E2:E24" si="2">Konsolidovan_izvjestaj</f>
        <v>0</v>
      </c>
      <c r="F2" s="13">
        <v>901</v>
      </c>
      <c r="G2" s="97">
        <f t="shared" ref="G2:G24" si="3">Godina</f>
        <v>2014</v>
      </c>
      <c r="H2" s="285">
        <f t="shared" ref="H2:H24" si="4">Datum_Broj</f>
        <v>42004</v>
      </c>
      <c r="I2" s="97">
        <f t="shared" ref="I2:I24" si="5">ID_Izvjestaj</f>
        <v>4</v>
      </c>
      <c r="J2" s="90">
        <f t="shared" ref="J2:J24" ca="1" si="6">IF(VLOOKUP($F2,INDIRECT("Lookup_"&amp;$B2),J$1-1,0)="","",VLOOKUP($F2,INDIRECT("Lookup_"&amp;$B2),J$1-1,0))</f>
        <v>5762636</v>
      </c>
      <c r="K2" s="90">
        <f t="shared" ref="K2:K24" ca="1" si="7">IF(VLOOKUP($F2,INDIRECT("Lookup_"&amp;$B2),K$1-1,0)="","",VLOOKUP($F2,INDIRECT("Lookup_"&amp;$B2),K$1-1,0))</f>
        <v>254285</v>
      </c>
      <c r="L2" s="90" t="str">
        <f t="shared" ref="L2:L24" ca="1" si="8">IF(VLOOKUP($F2,INDIRECT("Lookup_"&amp;$B2),L$1-1,0)="","",VLOOKUP($F2,INDIRECT("Lookup_"&amp;$B2),L$1-1,0))</f>
        <v/>
      </c>
      <c r="M2" s="90" t="str">
        <f t="shared" ref="M2:M24" ca="1" si="9">IF(VLOOKUP($F2,INDIRECT("Lookup_"&amp;$B2),M$1-1,0)="","",VLOOKUP($F2,INDIRECT("Lookup_"&amp;$B2),M$1-1,0))</f>
        <v/>
      </c>
      <c r="N2" s="90">
        <f ca="1">IF(VLOOKUP($F2,INDIRECT("Lookup_"&amp;$B2),N$1-1,0)="","",VLOOKUP($F2,INDIRECT("Lookup_"&amp;$B2),N$1-1,0))</f>
        <v>-2886700</v>
      </c>
      <c r="O2" s="90">
        <f t="shared" ref="O2:O24" ca="1" si="10">IF(VLOOKUP($F2,INDIRECT("Lookup_"&amp;$B2),O$1-1,0)="","",VLOOKUP($F2,INDIRECT("Lookup_"&amp;$B2),O$1-1,0))</f>
        <v>3130221</v>
      </c>
      <c r="P2" s="90" t="str">
        <f t="shared" ref="P2:P24" ca="1" si="11">IF(VLOOKUP($F2,INDIRECT("Lookup_"&amp;$B2),P$1-1,0)="","",VLOOKUP($F2,INDIRECT("Lookup_"&amp;$B2),P$1-1,0))</f>
        <v/>
      </c>
      <c r="Q2" s="90">
        <f ca="1">IF(VLOOKUP($F2,INDIRECT("Lookup_"&amp;$B2),Q$1-1,0)="","",VLOOKUP($F2,INDIRECT("Lookup_"&amp;$B2),Q$1-1,0))</f>
        <v>3130221</v>
      </c>
    </row>
    <row r="3" spans="1:17" x14ac:dyDescent="0.2">
      <c r="A3" s="216">
        <v>381</v>
      </c>
      <c r="B3" s="217" t="s">
        <v>822</v>
      </c>
      <c r="C3" s="97" t="str">
        <f t="shared" si="0"/>
        <v>11029752</v>
      </c>
      <c r="D3" s="97" t="str">
        <f t="shared" si="1"/>
        <v>4402748120004</v>
      </c>
      <c r="E3" s="97" t="b">
        <f t="shared" si="2"/>
        <v>0</v>
      </c>
      <c r="F3" s="13">
        <v>902</v>
      </c>
      <c r="G3" s="97">
        <f t="shared" si="3"/>
        <v>2014</v>
      </c>
      <c r="H3" s="285">
        <f t="shared" si="4"/>
        <v>42004</v>
      </c>
      <c r="I3" s="97">
        <f t="shared" si="5"/>
        <v>4</v>
      </c>
      <c r="J3" s="90" t="str">
        <f t="shared" ca="1" si="6"/>
        <v/>
      </c>
      <c r="K3" s="90" t="str">
        <f t="shared" ca="1" si="7"/>
        <v/>
      </c>
      <c r="L3" s="90" t="str">
        <f t="shared" ca="1" si="8"/>
        <v/>
      </c>
      <c r="M3" s="90" t="str">
        <f t="shared" ca="1" si="9"/>
        <v/>
      </c>
      <c r="N3" s="90" t="str">
        <f t="shared" ref="N3:N24" ca="1" si="12">IF(VLOOKUP($F3,INDIRECT("Lookup_"&amp;$B3),N$1-1,0)="","",VLOOKUP($F3,INDIRECT("Lookup_"&amp;$B3),N$1-1,0))</f>
        <v/>
      </c>
      <c r="O3" s="90">
        <f t="shared" ca="1" si="10"/>
        <v>0</v>
      </c>
      <c r="P3" s="90" t="str">
        <f t="shared" ca="1" si="11"/>
        <v/>
      </c>
      <c r="Q3" s="90">
        <f t="shared" ref="Q3:Q24" ca="1" si="13">IF(VLOOKUP($F3,INDIRECT("Lookup_"&amp;$B3),Q$1-1,0)="","",VLOOKUP($F3,INDIRECT("Lookup_"&amp;$B3),Q$1-1,0))</f>
        <v>0</v>
      </c>
    </row>
    <row r="4" spans="1:17" x14ac:dyDescent="0.2">
      <c r="A4" s="216">
        <v>382</v>
      </c>
      <c r="B4" s="217" t="s">
        <v>822</v>
      </c>
      <c r="C4" s="97" t="str">
        <f t="shared" si="0"/>
        <v>11029752</v>
      </c>
      <c r="D4" s="97" t="str">
        <f t="shared" si="1"/>
        <v>4402748120004</v>
      </c>
      <c r="E4" s="97" t="b">
        <f t="shared" si="2"/>
        <v>0</v>
      </c>
      <c r="F4" s="13">
        <v>903</v>
      </c>
      <c r="G4" s="97">
        <f t="shared" si="3"/>
        <v>2014</v>
      </c>
      <c r="H4" s="285">
        <f t="shared" si="4"/>
        <v>42004</v>
      </c>
      <c r="I4" s="97">
        <f t="shared" si="5"/>
        <v>4</v>
      </c>
      <c r="J4" s="90" t="str">
        <f t="shared" ca="1" si="6"/>
        <v/>
      </c>
      <c r="K4" s="90" t="str">
        <f t="shared" ca="1" si="7"/>
        <v/>
      </c>
      <c r="L4" s="90" t="str">
        <f t="shared" ca="1" si="8"/>
        <v/>
      </c>
      <c r="M4" s="90" t="str">
        <f t="shared" ca="1" si="9"/>
        <v/>
      </c>
      <c r="N4" s="90" t="str">
        <f t="shared" ca="1" si="12"/>
        <v/>
      </c>
      <c r="O4" s="90">
        <f t="shared" ca="1" si="10"/>
        <v>0</v>
      </c>
      <c r="P4" s="90" t="str">
        <f t="shared" ca="1" si="11"/>
        <v/>
      </c>
      <c r="Q4" s="90">
        <f t="shared" ca="1" si="13"/>
        <v>0</v>
      </c>
    </row>
    <row r="5" spans="1:17" x14ac:dyDescent="0.2">
      <c r="A5" s="216">
        <v>383</v>
      </c>
      <c r="B5" s="217" t="s">
        <v>822</v>
      </c>
      <c r="C5" s="97" t="str">
        <f t="shared" si="0"/>
        <v>11029752</v>
      </c>
      <c r="D5" s="97" t="str">
        <f t="shared" si="1"/>
        <v>4402748120004</v>
      </c>
      <c r="E5" s="97" t="b">
        <f t="shared" si="2"/>
        <v>0</v>
      </c>
      <c r="F5" s="13">
        <v>904</v>
      </c>
      <c r="G5" s="97">
        <f t="shared" si="3"/>
        <v>2014</v>
      </c>
      <c r="H5" s="285">
        <f t="shared" si="4"/>
        <v>42004</v>
      </c>
      <c r="I5" s="97">
        <f t="shared" si="5"/>
        <v>4</v>
      </c>
      <c r="J5" s="90">
        <f t="shared" ca="1" si="6"/>
        <v>5762636</v>
      </c>
      <c r="K5" s="90">
        <f t="shared" ca="1" si="7"/>
        <v>254285</v>
      </c>
      <c r="L5" s="90">
        <f t="shared" ca="1" si="8"/>
        <v>0</v>
      </c>
      <c r="M5" s="90">
        <f t="shared" ca="1" si="9"/>
        <v>0</v>
      </c>
      <c r="N5" s="90">
        <f t="shared" ca="1" si="12"/>
        <v>-2886700</v>
      </c>
      <c r="O5" s="90">
        <f t="shared" ca="1" si="10"/>
        <v>3130221</v>
      </c>
      <c r="P5" s="90">
        <f t="shared" ca="1" si="11"/>
        <v>0</v>
      </c>
      <c r="Q5" s="90">
        <f t="shared" ca="1" si="13"/>
        <v>3130221</v>
      </c>
    </row>
    <row r="6" spans="1:17" x14ac:dyDescent="0.2">
      <c r="A6" s="216">
        <v>384</v>
      </c>
      <c r="B6" s="217" t="s">
        <v>822</v>
      </c>
      <c r="C6" s="97" t="str">
        <f t="shared" si="0"/>
        <v>11029752</v>
      </c>
      <c r="D6" s="97" t="str">
        <f t="shared" si="1"/>
        <v>4402748120004</v>
      </c>
      <c r="E6" s="97" t="b">
        <f t="shared" si="2"/>
        <v>0</v>
      </c>
      <c r="F6" s="13">
        <v>905</v>
      </c>
      <c r="G6" s="97">
        <f t="shared" si="3"/>
        <v>2014</v>
      </c>
      <c r="H6" s="285">
        <f t="shared" si="4"/>
        <v>42004</v>
      </c>
      <c r="I6" s="97">
        <f t="shared" si="5"/>
        <v>4</v>
      </c>
      <c r="J6" s="90" t="str">
        <f t="shared" ca="1" si="6"/>
        <v/>
      </c>
      <c r="K6" s="90" t="str">
        <f t="shared" ca="1" si="7"/>
        <v/>
      </c>
      <c r="L6" s="90" t="str">
        <f t="shared" ca="1" si="8"/>
        <v/>
      </c>
      <c r="M6" s="90" t="str">
        <f t="shared" ca="1" si="9"/>
        <v/>
      </c>
      <c r="N6" s="90" t="str">
        <f t="shared" ca="1" si="12"/>
        <v/>
      </c>
      <c r="O6" s="90">
        <f t="shared" ca="1" si="10"/>
        <v>0</v>
      </c>
      <c r="P6" s="90" t="str">
        <f t="shared" ca="1" si="11"/>
        <v/>
      </c>
      <c r="Q6" s="90">
        <f t="shared" ca="1" si="13"/>
        <v>0</v>
      </c>
    </row>
    <row r="7" spans="1:17" x14ac:dyDescent="0.2">
      <c r="A7" s="216">
        <v>385</v>
      </c>
      <c r="B7" s="217" t="s">
        <v>822</v>
      </c>
      <c r="C7" s="97" t="str">
        <f t="shared" si="0"/>
        <v>11029752</v>
      </c>
      <c r="D7" s="97" t="str">
        <f t="shared" si="1"/>
        <v>4402748120004</v>
      </c>
      <c r="E7" s="97" t="b">
        <f t="shared" si="2"/>
        <v>0</v>
      </c>
      <c r="F7" s="13">
        <v>906</v>
      </c>
      <c r="G7" s="97">
        <f t="shared" si="3"/>
        <v>2014</v>
      </c>
      <c r="H7" s="285">
        <f t="shared" si="4"/>
        <v>42004</v>
      </c>
      <c r="I7" s="97">
        <f t="shared" si="5"/>
        <v>4</v>
      </c>
      <c r="J7" s="90" t="str">
        <f t="shared" ca="1" si="6"/>
        <v/>
      </c>
      <c r="K7" s="90" t="str">
        <f t="shared" ca="1" si="7"/>
        <v/>
      </c>
      <c r="L7" s="90" t="str">
        <f t="shared" ca="1" si="8"/>
        <v/>
      </c>
      <c r="M7" s="90" t="str">
        <f t="shared" ca="1" si="9"/>
        <v/>
      </c>
      <c r="N7" s="90" t="str">
        <f t="shared" ca="1" si="12"/>
        <v/>
      </c>
      <c r="O7" s="90">
        <f t="shared" ca="1" si="10"/>
        <v>0</v>
      </c>
      <c r="P7" s="90" t="str">
        <f t="shared" ca="1" si="11"/>
        <v/>
      </c>
      <c r="Q7" s="90">
        <f t="shared" ca="1" si="13"/>
        <v>0</v>
      </c>
    </row>
    <row r="8" spans="1:17" x14ac:dyDescent="0.2">
      <c r="A8" s="216">
        <v>386</v>
      </c>
      <c r="B8" s="217" t="s">
        <v>822</v>
      </c>
      <c r="C8" s="97" t="str">
        <f t="shared" si="0"/>
        <v>11029752</v>
      </c>
      <c r="D8" s="97" t="str">
        <f t="shared" si="1"/>
        <v>4402748120004</v>
      </c>
      <c r="E8" s="97" t="b">
        <f t="shared" si="2"/>
        <v>0</v>
      </c>
      <c r="F8" s="13">
        <v>907</v>
      </c>
      <c r="G8" s="97">
        <f t="shared" si="3"/>
        <v>2014</v>
      </c>
      <c r="H8" s="285">
        <f t="shared" si="4"/>
        <v>42004</v>
      </c>
      <c r="I8" s="97">
        <f t="shared" si="5"/>
        <v>4</v>
      </c>
      <c r="J8" s="90" t="str">
        <f t="shared" ca="1" si="6"/>
        <v/>
      </c>
      <c r="K8" s="90" t="str">
        <f t="shared" ca="1" si="7"/>
        <v/>
      </c>
      <c r="L8" s="90" t="str">
        <f t="shared" ca="1" si="8"/>
        <v/>
      </c>
      <c r="M8" s="90" t="str">
        <f t="shared" ca="1" si="9"/>
        <v/>
      </c>
      <c r="N8" s="90" t="str">
        <f t="shared" ca="1" si="12"/>
        <v/>
      </c>
      <c r="O8" s="90">
        <f t="shared" ca="1" si="10"/>
        <v>0</v>
      </c>
      <c r="P8" s="90" t="str">
        <f t="shared" ca="1" si="11"/>
        <v/>
      </c>
      <c r="Q8" s="90">
        <f t="shared" ca="1" si="13"/>
        <v>0</v>
      </c>
    </row>
    <row r="9" spans="1:17" x14ac:dyDescent="0.2">
      <c r="A9" s="216">
        <v>387</v>
      </c>
      <c r="B9" s="217" t="s">
        <v>822</v>
      </c>
      <c r="C9" s="97" t="str">
        <f t="shared" si="0"/>
        <v>11029752</v>
      </c>
      <c r="D9" s="97" t="str">
        <f t="shared" si="1"/>
        <v>4402748120004</v>
      </c>
      <c r="E9" s="97" t="b">
        <f t="shared" si="2"/>
        <v>0</v>
      </c>
      <c r="F9" s="13">
        <v>908</v>
      </c>
      <c r="G9" s="97">
        <f t="shared" si="3"/>
        <v>2014</v>
      </c>
      <c r="H9" s="285">
        <f t="shared" si="4"/>
        <v>42004</v>
      </c>
      <c r="I9" s="97">
        <f t="shared" si="5"/>
        <v>4</v>
      </c>
      <c r="J9" s="90" t="str">
        <f t="shared" ca="1" si="6"/>
        <v/>
      </c>
      <c r="K9" s="90" t="str">
        <f t="shared" ca="1" si="7"/>
        <v/>
      </c>
      <c r="L9" s="90" t="str">
        <f t="shared" ca="1" si="8"/>
        <v/>
      </c>
      <c r="M9" s="90" t="str">
        <f t="shared" ca="1" si="9"/>
        <v/>
      </c>
      <c r="N9" s="90">
        <f t="shared" ca="1" si="12"/>
        <v>-132834</v>
      </c>
      <c r="O9" s="90">
        <f t="shared" ca="1" si="10"/>
        <v>-132834</v>
      </c>
      <c r="P9" s="90" t="str">
        <f t="shared" ca="1" si="11"/>
        <v/>
      </c>
      <c r="Q9" s="90">
        <f t="shared" ca="1" si="13"/>
        <v>-132834</v>
      </c>
    </row>
    <row r="10" spans="1:17" x14ac:dyDescent="0.2">
      <c r="A10" s="216">
        <v>388</v>
      </c>
      <c r="B10" s="217" t="s">
        <v>822</v>
      </c>
      <c r="C10" s="97" t="str">
        <f t="shared" si="0"/>
        <v>11029752</v>
      </c>
      <c r="D10" s="97" t="str">
        <f t="shared" si="1"/>
        <v>4402748120004</v>
      </c>
      <c r="E10" s="97" t="b">
        <f t="shared" si="2"/>
        <v>0</v>
      </c>
      <c r="F10" s="13">
        <v>909</v>
      </c>
      <c r="G10" s="97">
        <f t="shared" si="3"/>
        <v>2014</v>
      </c>
      <c r="H10" s="285">
        <f t="shared" si="4"/>
        <v>42004</v>
      </c>
      <c r="I10" s="97">
        <f t="shared" si="5"/>
        <v>4</v>
      </c>
      <c r="J10" s="90" t="str">
        <f t="shared" ca="1" si="6"/>
        <v/>
      </c>
      <c r="K10" s="90" t="str">
        <f t="shared" ca="1" si="7"/>
        <v/>
      </c>
      <c r="L10" s="90" t="str">
        <f t="shared" ca="1" si="8"/>
        <v/>
      </c>
      <c r="M10" s="90" t="str">
        <f t="shared" ca="1" si="9"/>
        <v/>
      </c>
      <c r="N10" s="90" t="str">
        <f t="shared" ca="1" si="12"/>
        <v/>
      </c>
      <c r="O10" s="90">
        <f t="shared" ca="1" si="10"/>
        <v>0</v>
      </c>
      <c r="P10" s="90" t="str">
        <f t="shared" ca="1" si="11"/>
        <v/>
      </c>
      <c r="Q10" s="90">
        <f t="shared" ca="1" si="13"/>
        <v>0</v>
      </c>
    </row>
    <row r="11" spans="1:17" x14ac:dyDescent="0.2">
      <c r="A11" s="216">
        <v>389</v>
      </c>
      <c r="B11" s="217" t="s">
        <v>822</v>
      </c>
      <c r="C11" s="97" t="str">
        <f t="shared" si="0"/>
        <v>11029752</v>
      </c>
      <c r="D11" s="97" t="str">
        <f t="shared" si="1"/>
        <v>4402748120004</v>
      </c>
      <c r="E11" s="97" t="b">
        <f t="shared" si="2"/>
        <v>0</v>
      </c>
      <c r="F11" s="13">
        <v>910</v>
      </c>
      <c r="G11" s="97">
        <f t="shared" si="3"/>
        <v>2014</v>
      </c>
      <c r="H11" s="285">
        <f t="shared" si="4"/>
        <v>42004</v>
      </c>
      <c r="I11" s="97">
        <f t="shared" si="5"/>
        <v>4</v>
      </c>
      <c r="J11" s="90" t="str">
        <f t="shared" ca="1" si="6"/>
        <v/>
      </c>
      <c r="K11" s="90" t="str">
        <f t="shared" ca="1" si="7"/>
        <v/>
      </c>
      <c r="L11" s="90" t="str">
        <f t="shared" ca="1" si="8"/>
        <v/>
      </c>
      <c r="M11" s="90" t="str">
        <f t="shared" ca="1" si="9"/>
        <v/>
      </c>
      <c r="N11" s="90" t="str">
        <f t="shared" ca="1" si="12"/>
        <v/>
      </c>
      <c r="O11" s="90">
        <f t="shared" ca="1" si="10"/>
        <v>0</v>
      </c>
      <c r="P11" s="90" t="str">
        <f t="shared" ca="1" si="11"/>
        <v/>
      </c>
      <c r="Q11" s="90">
        <f t="shared" ca="1" si="13"/>
        <v>0</v>
      </c>
    </row>
    <row r="12" spans="1:17" x14ac:dyDescent="0.2">
      <c r="A12" s="216">
        <v>390</v>
      </c>
      <c r="B12" s="217" t="s">
        <v>822</v>
      </c>
      <c r="C12" s="97" t="str">
        <f t="shared" si="0"/>
        <v>11029752</v>
      </c>
      <c r="D12" s="97" t="str">
        <f t="shared" si="1"/>
        <v>4402748120004</v>
      </c>
      <c r="E12" s="97" t="b">
        <f t="shared" si="2"/>
        <v>0</v>
      </c>
      <c r="F12" s="90">
        <v>911</v>
      </c>
      <c r="G12" s="97">
        <f t="shared" si="3"/>
        <v>2014</v>
      </c>
      <c r="H12" s="285">
        <f t="shared" si="4"/>
        <v>42004</v>
      </c>
      <c r="I12" s="97">
        <f t="shared" si="5"/>
        <v>4</v>
      </c>
      <c r="J12" s="90" t="str">
        <f t="shared" ca="1" si="6"/>
        <v/>
      </c>
      <c r="K12" s="90" t="str">
        <f t="shared" ca="1" si="7"/>
        <v/>
      </c>
      <c r="L12" s="90" t="str">
        <f t="shared" ca="1" si="8"/>
        <v/>
      </c>
      <c r="M12" s="90" t="str">
        <f t="shared" ca="1" si="9"/>
        <v/>
      </c>
      <c r="N12" s="90" t="str">
        <f t="shared" ca="1" si="12"/>
        <v/>
      </c>
      <c r="O12" s="90">
        <f t="shared" ca="1" si="10"/>
        <v>0</v>
      </c>
      <c r="P12" s="90" t="str">
        <f t="shared" ca="1" si="11"/>
        <v/>
      </c>
      <c r="Q12" s="90">
        <f t="shared" ca="1" si="13"/>
        <v>0</v>
      </c>
    </row>
    <row r="13" spans="1:17" x14ac:dyDescent="0.2">
      <c r="A13" s="216">
        <v>391</v>
      </c>
      <c r="B13" s="217" t="s">
        <v>822</v>
      </c>
      <c r="C13" s="97" t="str">
        <f t="shared" si="0"/>
        <v>11029752</v>
      </c>
      <c r="D13" s="97" t="str">
        <f t="shared" si="1"/>
        <v>4402748120004</v>
      </c>
      <c r="E13" s="97" t="b">
        <f t="shared" si="2"/>
        <v>0</v>
      </c>
      <c r="F13" s="90">
        <v>912</v>
      </c>
      <c r="G13" s="97">
        <f t="shared" si="3"/>
        <v>2014</v>
      </c>
      <c r="H13" s="285">
        <f t="shared" si="4"/>
        <v>42004</v>
      </c>
      <c r="I13" s="97">
        <f t="shared" si="5"/>
        <v>4</v>
      </c>
      <c r="J13" s="90">
        <f t="shared" ca="1" si="6"/>
        <v>5762636</v>
      </c>
      <c r="K13" s="90">
        <f t="shared" ca="1" si="7"/>
        <v>254285</v>
      </c>
      <c r="L13" s="90">
        <f t="shared" ca="1" si="8"/>
        <v>0</v>
      </c>
      <c r="M13" s="90">
        <f t="shared" ca="1" si="9"/>
        <v>0</v>
      </c>
      <c r="N13" s="90">
        <f t="shared" ca="1" si="12"/>
        <v>-3019534</v>
      </c>
      <c r="O13" s="90">
        <f t="shared" ca="1" si="10"/>
        <v>2997387</v>
      </c>
      <c r="P13" s="90">
        <f t="shared" ca="1" si="11"/>
        <v>0</v>
      </c>
      <c r="Q13" s="90">
        <f t="shared" ca="1" si="13"/>
        <v>2997387</v>
      </c>
    </row>
    <row r="14" spans="1:17" x14ac:dyDescent="0.2">
      <c r="A14" s="216">
        <v>392</v>
      </c>
      <c r="B14" s="217" t="s">
        <v>822</v>
      </c>
      <c r="C14" s="97" t="str">
        <f t="shared" si="0"/>
        <v>11029752</v>
      </c>
      <c r="D14" s="97" t="str">
        <f t="shared" si="1"/>
        <v>4402748120004</v>
      </c>
      <c r="E14" s="97" t="b">
        <f t="shared" si="2"/>
        <v>0</v>
      </c>
      <c r="F14" s="90">
        <v>913</v>
      </c>
      <c r="G14" s="97">
        <f t="shared" si="3"/>
        <v>2014</v>
      </c>
      <c r="H14" s="285">
        <f t="shared" si="4"/>
        <v>42004</v>
      </c>
      <c r="I14" s="97">
        <f t="shared" si="5"/>
        <v>4</v>
      </c>
      <c r="J14" s="90" t="str">
        <f t="shared" ca="1" si="6"/>
        <v/>
      </c>
      <c r="K14" s="90" t="str">
        <f t="shared" ca="1" si="7"/>
        <v/>
      </c>
      <c r="L14" s="90" t="str">
        <f t="shared" ca="1" si="8"/>
        <v/>
      </c>
      <c r="M14" s="90" t="str">
        <f t="shared" ca="1" si="9"/>
        <v/>
      </c>
      <c r="N14" s="90" t="str">
        <f t="shared" ca="1" si="12"/>
        <v/>
      </c>
      <c r="O14" s="90">
        <f t="shared" ca="1" si="10"/>
        <v>0</v>
      </c>
      <c r="P14" s="90" t="str">
        <f t="shared" ca="1" si="11"/>
        <v/>
      </c>
      <c r="Q14" s="90">
        <f t="shared" ca="1" si="13"/>
        <v>0</v>
      </c>
    </row>
    <row r="15" spans="1:17" x14ac:dyDescent="0.2">
      <c r="A15" s="216">
        <v>393</v>
      </c>
      <c r="B15" s="217" t="s">
        <v>822</v>
      </c>
      <c r="C15" s="97" t="str">
        <f t="shared" si="0"/>
        <v>11029752</v>
      </c>
      <c r="D15" s="97" t="str">
        <f t="shared" si="1"/>
        <v>4402748120004</v>
      </c>
      <c r="E15" s="97" t="b">
        <f t="shared" si="2"/>
        <v>0</v>
      </c>
      <c r="F15" s="90">
        <v>914</v>
      </c>
      <c r="G15" s="97">
        <f t="shared" si="3"/>
        <v>2014</v>
      </c>
      <c r="H15" s="285">
        <f t="shared" si="4"/>
        <v>42004</v>
      </c>
      <c r="I15" s="97">
        <f t="shared" si="5"/>
        <v>4</v>
      </c>
      <c r="J15" s="90" t="str">
        <f t="shared" ca="1" si="6"/>
        <v/>
      </c>
      <c r="K15" s="90" t="str">
        <f t="shared" ca="1" si="7"/>
        <v/>
      </c>
      <c r="L15" s="90" t="str">
        <f t="shared" ca="1" si="8"/>
        <v/>
      </c>
      <c r="M15" s="90" t="str">
        <f t="shared" ca="1" si="9"/>
        <v/>
      </c>
      <c r="N15" s="90" t="str">
        <f t="shared" ca="1" si="12"/>
        <v/>
      </c>
      <c r="O15" s="90">
        <f t="shared" ca="1" si="10"/>
        <v>0</v>
      </c>
      <c r="P15" s="90" t="str">
        <f t="shared" ca="1" si="11"/>
        <v/>
      </c>
      <c r="Q15" s="90">
        <f t="shared" ca="1" si="13"/>
        <v>0</v>
      </c>
    </row>
    <row r="16" spans="1:17" x14ac:dyDescent="0.2">
      <c r="A16" s="216">
        <v>394</v>
      </c>
      <c r="B16" s="217" t="s">
        <v>822</v>
      </c>
      <c r="C16" s="97" t="str">
        <f t="shared" si="0"/>
        <v>11029752</v>
      </c>
      <c r="D16" s="97" t="str">
        <f t="shared" si="1"/>
        <v>4402748120004</v>
      </c>
      <c r="E16" s="97" t="b">
        <f t="shared" si="2"/>
        <v>0</v>
      </c>
      <c r="F16" s="90">
        <v>915</v>
      </c>
      <c r="G16" s="97">
        <f t="shared" si="3"/>
        <v>2014</v>
      </c>
      <c r="H16" s="285">
        <f t="shared" si="4"/>
        <v>42004</v>
      </c>
      <c r="I16" s="97">
        <f t="shared" si="5"/>
        <v>4</v>
      </c>
      <c r="J16" s="90">
        <f t="shared" ca="1" si="6"/>
        <v>5762636</v>
      </c>
      <c r="K16" s="90">
        <f t="shared" ca="1" si="7"/>
        <v>254285</v>
      </c>
      <c r="L16" s="90">
        <f t="shared" ca="1" si="8"/>
        <v>0</v>
      </c>
      <c r="M16" s="90">
        <f t="shared" ca="1" si="9"/>
        <v>0</v>
      </c>
      <c r="N16" s="90">
        <f t="shared" ca="1" si="12"/>
        <v>-3019534</v>
      </c>
      <c r="O16" s="90">
        <f t="shared" ca="1" si="10"/>
        <v>2997387</v>
      </c>
      <c r="P16" s="90">
        <f t="shared" ca="1" si="11"/>
        <v>0</v>
      </c>
      <c r="Q16" s="90">
        <f t="shared" ca="1" si="13"/>
        <v>2997387</v>
      </c>
    </row>
    <row r="17" spans="1:17" x14ac:dyDescent="0.2">
      <c r="A17" s="216">
        <v>395</v>
      </c>
      <c r="B17" s="217" t="s">
        <v>822</v>
      </c>
      <c r="C17" s="97" t="str">
        <f t="shared" si="0"/>
        <v>11029752</v>
      </c>
      <c r="D17" s="97" t="str">
        <f t="shared" si="1"/>
        <v>4402748120004</v>
      </c>
      <c r="E17" s="97" t="b">
        <f t="shared" si="2"/>
        <v>0</v>
      </c>
      <c r="F17" s="90">
        <v>916</v>
      </c>
      <c r="G17" s="97">
        <f t="shared" si="3"/>
        <v>2014</v>
      </c>
      <c r="H17" s="285">
        <f t="shared" si="4"/>
        <v>42004</v>
      </c>
      <c r="I17" s="97">
        <f t="shared" si="5"/>
        <v>4</v>
      </c>
      <c r="J17" s="90" t="str">
        <f t="shared" ca="1" si="6"/>
        <v/>
      </c>
      <c r="K17" s="90" t="str">
        <f t="shared" ca="1" si="7"/>
        <v/>
      </c>
      <c r="L17" s="90" t="str">
        <f t="shared" ca="1" si="8"/>
        <v/>
      </c>
      <c r="M17" s="90" t="str">
        <f t="shared" ca="1" si="9"/>
        <v/>
      </c>
      <c r="N17" s="90" t="str">
        <f t="shared" ca="1" si="12"/>
        <v/>
      </c>
      <c r="O17" s="90">
        <f t="shared" ca="1" si="10"/>
        <v>0</v>
      </c>
      <c r="P17" s="90" t="str">
        <f t="shared" ca="1" si="11"/>
        <v/>
      </c>
      <c r="Q17" s="90">
        <f t="shared" ca="1" si="13"/>
        <v>0</v>
      </c>
    </row>
    <row r="18" spans="1:17" x14ac:dyDescent="0.2">
      <c r="A18" s="216">
        <v>396</v>
      </c>
      <c r="B18" s="217" t="s">
        <v>822</v>
      </c>
      <c r="C18" s="97" t="str">
        <f t="shared" si="0"/>
        <v>11029752</v>
      </c>
      <c r="D18" s="97" t="str">
        <f t="shared" si="1"/>
        <v>4402748120004</v>
      </c>
      <c r="E18" s="97" t="b">
        <f t="shared" si="2"/>
        <v>0</v>
      </c>
      <c r="F18" s="90">
        <v>917</v>
      </c>
      <c r="G18" s="97">
        <f t="shared" si="3"/>
        <v>2014</v>
      </c>
      <c r="H18" s="285">
        <f t="shared" si="4"/>
        <v>42004</v>
      </c>
      <c r="I18" s="97">
        <f t="shared" si="5"/>
        <v>4</v>
      </c>
      <c r="J18" s="90" t="str">
        <f t="shared" ca="1" si="6"/>
        <v/>
      </c>
      <c r="K18" s="90" t="str">
        <f t="shared" ca="1" si="7"/>
        <v/>
      </c>
      <c r="L18" s="90" t="str">
        <f t="shared" ca="1" si="8"/>
        <v/>
      </c>
      <c r="M18" s="90" t="str">
        <f t="shared" ca="1" si="9"/>
        <v/>
      </c>
      <c r="N18" s="90" t="str">
        <f t="shared" ca="1" si="12"/>
        <v/>
      </c>
      <c r="O18" s="90">
        <f t="shared" ca="1" si="10"/>
        <v>0</v>
      </c>
      <c r="P18" s="90" t="str">
        <f t="shared" ca="1" si="11"/>
        <v/>
      </c>
      <c r="Q18" s="90">
        <f t="shared" ca="1" si="13"/>
        <v>0</v>
      </c>
    </row>
    <row r="19" spans="1:17" x14ac:dyDescent="0.2">
      <c r="A19" s="216">
        <v>397</v>
      </c>
      <c r="B19" s="217" t="s">
        <v>822</v>
      </c>
      <c r="C19" s="97" t="str">
        <f t="shared" si="0"/>
        <v>11029752</v>
      </c>
      <c r="D19" s="97" t="str">
        <f t="shared" si="1"/>
        <v>4402748120004</v>
      </c>
      <c r="E19" s="97" t="b">
        <f t="shared" si="2"/>
        <v>0</v>
      </c>
      <c r="F19" s="90">
        <v>918</v>
      </c>
      <c r="G19" s="97">
        <f t="shared" si="3"/>
        <v>2014</v>
      </c>
      <c r="H19" s="285">
        <f t="shared" si="4"/>
        <v>42004</v>
      </c>
      <c r="I19" s="97">
        <f t="shared" si="5"/>
        <v>4</v>
      </c>
      <c r="J19" s="90" t="str">
        <f t="shared" ca="1" si="6"/>
        <v/>
      </c>
      <c r="K19" s="90" t="str">
        <f t="shared" ca="1" si="7"/>
        <v/>
      </c>
      <c r="L19" s="90" t="str">
        <f t="shared" ca="1" si="8"/>
        <v/>
      </c>
      <c r="M19" s="90" t="str">
        <f t="shared" ca="1" si="9"/>
        <v/>
      </c>
      <c r="N19" s="90" t="str">
        <f t="shared" ca="1" si="12"/>
        <v/>
      </c>
      <c r="O19" s="90">
        <f t="shared" ca="1" si="10"/>
        <v>0</v>
      </c>
      <c r="P19" s="90" t="str">
        <f t="shared" ca="1" si="11"/>
        <v/>
      </c>
      <c r="Q19" s="90">
        <f t="shared" ca="1" si="13"/>
        <v>0</v>
      </c>
    </row>
    <row r="20" spans="1:17" x14ac:dyDescent="0.2">
      <c r="A20" s="216">
        <v>398</v>
      </c>
      <c r="B20" s="217" t="s">
        <v>822</v>
      </c>
      <c r="C20" s="97" t="str">
        <f t="shared" si="0"/>
        <v>11029752</v>
      </c>
      <c r="D20" s="97" t="str">
        <f t="shared" si="1"/>
        <v>4402748120004</v>
      </c>
      <c r="E20" s="97" t="b">
        <f t="shared" si="2"/>
        <v>0</v>
      </c>
      <c r="F20" s="90">
        <v>919</v>
      </c>
      <c r="G20" s="97">
        <f t="shared" si="3"/>
        <v>2014</v>
      </c>
      <c r="H20" s="285">
        <f t="shared" si="4"/>
        <v>42004</v>
      </c>
      <c r="I20" s="97">
        <f t="shared" si="5"/>
        <v>4</v>
      </c>
      <c r="J20" s="90" t="str">
        <f t="shared" ca="1" si="6"/>
        <v/>
      </c>
      <c r="K20" s="90" t="str">
        <f t="shared" ca="1" si="7"/>
        <v/>
      </c>
      <c r="L20" s="90" t="str">
        <f t="shared" ca="1" si="8"/>
        <v/>
      </c>
      <c r="M20" s="90" t="str">
        <f t="shared" ca="1" si="9"/>
        <v/>
      </c>
      <c r="N20" s="90">
        <f t="shared" ca="1" si="12"/>
        <v>-14580</v>
      </c>
      <c r="O20" s="90">
        <f t="shared" ca="1" si="10"/>
        <v>-14580</v>
      </c>
      <c r="P20" s="90" t="str">
        <f t="shared" ca="1" si="11"/>
        <v/>
      </c>
      <c r="Q20" s="90">
        <f t="shared" ca="1" si="13"/>
        <v>-14580</v>
      </c>
    </row>
    <row r="21" spans="1:17" x14ac:dyDescent="0.2">
      <c r="A21" s="216">
        <v>399</v>
      </c>
      <c r="B21" s="217" t="s">
        <v>822</v>
      </c>
      <c r="C21" s="97" t="str">
        <f t="shared" si="0"/>
        <v>11029752</v>
      </c>
      <c r="D21" s="97" t="str">
        <f t="shared" si="1"/>
        <v>4402748120004</v>
      </c>
      <c r="E21" s="97" t="b">
        <f t="shared" si="2"/>
        <v>0</v>
      </c>
      <c r="F21" s="90">
        <v>920</v>
      </c>
      <c r="G21" s="97">
        <f t="shared" si="3"/>
        <v>2014</v>
      </c>
      <c r="H21" s="285">
        <f t="shared" si="4"/>
        <v>42004</v>
      </c>
      <c r="I21" s="97">
        <f t="shared" si="5"/>
        <v>4</v>
      </c>
      <c r="J21" s="90" t="str">
        <f t="shared" ca="1" si="6"/>
        <v/>
      </c>
      <c r="K21" s="90" t="str">
        <f t="shared" ca="1" si="7"/>
        <v/>
      </c>
      <c r="L21" s="90" t="str">
        <f t="shared" ca="1" si="8"/>
        <v/>
      </c>
      <c r="M21" s="90" t="str">
        <f t="shared" ca="1" si="9"/>
        <v/>
      </c>
      <c r="N21" s="90" t="str">
        <f t="shared" ca="1" si="12"/>
        <v/>
      </c>
      <c r="O21" s="90">
        <f t="shared" ca="1" si="10"/>
        <v>0</v>
      </c>
      <c r="P21" s="90" t="str">
        <f t="shared" ca="1" si="11"/>
        <v/>
      </c>
      <c r="Q21" s="90">
        <f t="shared" ca="1" si="13"/>
        <v>0</v>
      </c>
    </row>
    <row r="22" spans="1:17" x14ac:dyDescent="0.2">
      <c r="A22" s="216">
        <v>400</v>
      </c>
      <c r="B22" s="217" t="s">
        <v>822</v>
      </c>
      <c r="C22" s="97" t="str">
        <f t="shared" si="0"/>
        <v>11029752</v>
      </c>
      <c r="D22" s="97" t="str">
        <f t="shared" si="1"/>
        <v>4402748120004</v>
      </c>
      <c r="E22" s="97" t="b">
        <f t="shared" si="2"/>
        <v>0</v>
      </c>
      <c r="F22" s="90">
        <v>921</v>
      </c>
      <c r="G22" s="97">
        <f t="shared" si="3"/>
        <v>2014</v>
      </c>
      <c r="H22" s="285">
        <f t="shared" si="4"/>
        <v>42004</v>
      </c>
      <c r="I22" s="97">
        <f t="shared" si="5"/>
        <v>4</v>
      </c>
      <c r="J22" s="90" t="str">
        <f t="shared" ca="1" si="6"/>
        <v/>
      </c>
      <c r="K22" s="90" t="str">
        <f t="shared" ca="1" si="7"/>
        <v/>
      </c>
      <c r="L22" s="90" t="str">
        <f t="shared" ca="1" si="8"/>
        <v/>
      </c>
      <c r="M22" s="90" t="str">
        <f t="shared" ca="1" si="9"/>
        <v/>
      </c>
      <c r="N22" s="90" t="str">
        <f t="shared" ca="1" si="12"/>
        <v/>
      </c>
      <c r="O22" s="90">
        <f t="shared" ca="1" si="10"/>
        <v>0</v>
      </c>
      <c r="P22" s="90" t="str">
        <f t="shared" ca="1" si="11"/>
        <v/>
      </c>
      <c r="Q22" s="90">
        <f t="shared" ca="1" si="13"/>
        <v>0</v>
      </c>
    </row>
    <row r="23" spans="1:17" x14ac:dyDescent="0.2">
      <c r="A23" s="226">
        <v>401</v>
      </c>
      <c r="B23" s="217" t="s">
        <v>822</v>
      </c>
      <c r="C23" s="97" t="str">
        <f t="shared" si="0"/>
        <v>11029752</v>
      </c>
      <c r="D23" s="97" t="str">
        <f t="shared" si="1"/>
        <v>4402748120004</v>
      </c>
      <c r="E23" s="97" t="b">
        <f t="shared" si="2"/>
        <v>0</v>
      </c>
      <c r="F23" s="90">
        <v>922</v>
      </c>
      <c r="G23" s="97">
        <f t="shared" si="3"/>
        <v>2014</v>
      </c>
      <c r="H23" s="285">
        <f t="shared" si="4"/>
        <v>42004</v>
      </c>
      <c r="I23" s="97">
        <f t="shared" si="5"/>
        <v>4</v>
      </c>
      <c r="J23" s="90" t="str">
        <f t="shared" ca="1" si="6"/>
        <v/>
      </c>
      <c r="K23" s="90" t="str">
        <f t="shared" ca="1" si="7"/>
        <v/>
      </c>
      <c r="L23" s="90" t="str">
        <f t="shared" ca="1" si="8"/>
        <v/>
      </c>
      <c r="M23" s="90" t="str">
        <f t="shared" ca="1" si="9"/>
        <v/>
      </c>
      <c r="N23" s="90" t="str">
        <f t="shared" ca="1" si="12"/>
        <v/>
      </c>
      <c r="O23" s="90">
        <f t="shared" ca="1" si="10"/>
        <v>0</v>
      </c>
      <c r="P23" s="90" t="str">
        <f t="shared" ca="1" si="11"/>
        <v/>
      </c>
      <c r="Q23" s="90">
        <f t="shared" ca="1" si="13"/>
        <v>0</v>
      </c>
    </row>
    <row r="24" spans="1:17" x14ac:dyDescent="0.2">
      <c r="A24" s="226">
        <v>402</v>
      </c>
      <c r="B24" s="227" t="s">
        <v>822</v>
      </c>
      <c r="C24" s="97" t="str">
        <f t="shared" si="0"/>
        <v>11029752</v>
      </c>
      <c r="D24" s="97" t="str">
        <f t="shared" si="1"/>
        <v>4402748120004</v>
      </c>
      <c r="E24" s="97" t="b">
        <f t="shared" si="2"/>
        <v>0</v>
      </c>
      <c r="F24" s="90">
        <v>923</v>
      </c>
      <c r="G24" s="97">
        <f t="shared" si="3"/>
        <v>2014</v>
      </c>
      <c r="H24" s="285">
        <f t="shared" si="4"/>
        <v>42004</v>
      </c>
      <c r="I24" s="97">
        <f t="shared" si="5"/>
        <v>4</v>
      </c>
      <c r="J24" s="90">
        <f t="shared" ca="1" si="6"/>
        <v>5762636</v>
      </c>
      <c r="K24" s="90">
        <f t="shared" ca="1" si="7"/>
        <v>254285</v>
      </c>
      <c r="L24" s="90">
        <f t="shared" ca="1" si="8"/>
        <v>0</v>
      </c>
      <c r="M24" s="90">
        <f t="shared" ca="1" si="9"/>
        <v>0</v>
      </c>
      <c r="N24" s="90">
        <f t="shared" ca="1" si="12"/>
        <v>-3034114</v>
      </c>
      <c r="O24" s="90">
        <f t="shared" ca="1" si="10"/>
        <v>2982807</v>
      </c>
      <c r="P24" s="90">
        <f t="shared" ca="1" si="11"/>
        <v>0</v>
      </c>
      <c r="Q24" s="90">
        <f t="shared" ca="1" si="13"/>
        <v>2982807</v>
      </c>
    </row>
  </sheetData>
  <sheetProtection password="FE56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pane="bottomLeft" activeCell="N60" sqref="N60"/>
    </sheetView>
  </sheetViews>
  <sheetFormatPr defaultRowHeight="12.75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/>
    <col min="31" max="31" width="12" style="8" customWidth="1"/>
    <col min="32" max="32" width="25.42578125" style="8" customWidth="1"/>
    <col min="33" max="16384" width="9.140625" style="8"/>
  </cols>
  <sheetData>
    <row r="1" spans="2:31" ht="12.75" customHeight="1" x14ac:dyDescent="0.2"/>
    <row r="2" spans="2:31" ht="12.75" customHeight="1" x14ac:dyDescent="0.2">
      <c r="AA2" s="203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94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x14ac:dyDescent="0.2">
      <c r="Y6" s="238" t="s">
        <v>1857</v>
      </c>
      <c r="Z6" s="238" t="s">
        <v>1858</v>
      </c>
      <c r="AA6" s="293" t="s">
        <v>1859</v>
      </c>
      <c r="AB6" s="294" t="s">
        <v>1856</v>
      </c>
    </row>
    <row r="7" spans="2:31" ht="15.75" x14ac:dyDescent="0.2">
      <c r="B7" s="205" t="str">
        <f>Osnovno_Izvjestajni_period</f>
        <v>Izvještajni period:</v>
      </c>
      <c r="D7" s="189" t="str">
        <f>Objasnjenja_Dan</f>
        <v>Dan</v>
      </c>
      <c r="E7" s="189"/>
      <c r="F7" s="189"/>
      <c r="G7" s="189" t="str">
        <f>Objasnjenja_Mjesec</f>
        <v>Mjesec</v>
      </c>
      <c r="H7" s="189"/>
      <c r="I7" s="189"/>
      <c r="J7" s="189" t="str">
        <f>Objasnjenja_Godina</f>
        <v>Godina</v>
      </c>
      <c r="K7" s="189"/>
      <c r="L7" s="189"/>
      <c r="M7" s="189"/>
    </row>
    <row r="8" spans="2:31" ht="15" x14ac:dyDescent="0.2">
      <c r="B8" s="188" t="str">
        <f>Osnovno_Pocetak_perioda</f>
        <v>Početak izvještajnog perioda:</v>
      </c>
      <c r="D8" s="360">
        <v>1</v>
      </c>
      <c r="E8" s="360"/>
      <c r="F8" s="67"/>
      <c r="G8" s="360">
        <v>1</v>
      </c>
      <c r="H8" s="360"/>
      <c r="I8" s="67"/>
      <c r="J8" s="366" t="str">
        <f>CONCATENATE(J10)</f>
        <v>2014</v>
      </c>
      <c r="K8" s="366"/>
      <c r="L8" s="366"/>
      <c r="M8"/>
      <c r="N8"/>
      <c r="O8"/>
      <c r="P8"/>
      <c r="Y8" s="8" t="b">
        <f>AND( D8 &lt;&gt; "", G8 &lt;&gt; "", J10 &lt;&gt; "")</f>
        <v>1</v>
      </c>
      <c r="Z8" s="286" t="b">
        <f>IF( Y8, TEXT( DATE( J8, G8, D8), "dd.mm.yyyy" ) = TEXT( D8, "00") &amp; "." &amp; TEXT( G8, "00") &amp;"." &amp; CONCATENATE( J8), FALSE)</f>
        <v>1</v>
      </c>
      <c r="AA8" s="17" t="str">
        <f>TEXT( DATE( J8, Period_Pocetak_Mjesec, Period_Pocetak_Dan), "dd.mm.yyyy.")</f>
        <v>01.01.2014.</v>
      </c>
      <c r="AB8" s="196" t="str">
        <f>IF(Y8, IF( Z8, AA8, Kontrola_Neispravno), Kontrola_Obavezno)</f>
        <v>01.01.2014.</v>
      </c>
    </row>
    <row r="9" spans="2:31" ht="4.5" customHeight="1" thickBot="1" x14ac:dyDescent="0.25">
      <c r="B9" s="188"/>
      <c r="J9"/>
      <c r="K9"/>
      <c r="L9"/>
      <c r="AA9" s="201"/>
      <c r="AB9" s="197"/>
    </row>
    <row r="10" spans="2:31" ht="15.75" thickBot="1" x14ac:dyDescent="0.25">
      <c r="B10" s="188" t="str">
        <f>Osnovno_Kraj_perioda</f>
        <v>Kraj izvještajnog perioda:</v>
      </c>
      <c r="D10" s="361">
        <v>31</v>
      </c>
      <c r="E10" s="362"/>
      <c r="F10" s="67"/>
      <c r="G10" s="361">
        <v>12</v>
      </c>
      <c r="H10" s="362"/>
      <c r="I10" s="67"/>
      <c r="J10" s="363">
        <v>2014</v>
      </c>
      <c r="K10" s="364"/>
      <c r="L10" s="365"/>
      <c r="M10"/>
      <c r="Y10" s="8" t="b">
        <f>AND( D10 &lt;&gt; "", G10 &lt;&gt; "", J10 &lt;&gt; "")</f>
        <v>1</v>
      </c>
      <c r="Z10" s="67" t="b">
        <f>IF( Y10, TEXT( DATE( J10, G10, D10), "dd.mm.yyyy" ) = TEXT( D10, "00") &amp; "." &amp; TEXT( G10, "00") &amp;"." &amp; CONCATENATE( J10), FALSE)</f>
        <v>1</v>
      </c>
      <c r="AA10" s="189" t="str">
        <f>TEXT( DATE( Godina, Period_Kraj_Mjesec, Period_Kraj_Dan), "dd.mm.yyyy.")</f>
        <v>31.12.2014.</v>
      </c>
      <c r="AB10" s="196" t="str">
        <f>IF(Y10, IF( Z10, AA10, Kontrola_Neispravno), Kontrola_Obavezno)</f>
        <v>31.12.2014.</v>
      </c>
      <c r="AD10"/>
      <c r="AE10"/>
    </row>
    <row r="11" spans="2:31" ht="4.5" customHeight="1" x14ac:dyDescent="0.2">
      <c r="B11" s="188"/>
      <c r="D11"/>
      <c r="E11"/>
      <c r="F11"/>
      <c r="G11"/>
      <c r="H11"/>
      <c r="I11"/>
      <c r="J11"/>
      <c r="K11"/>
      <c r="L11"/>
      <c r="M11"/>
      <c r="Z11" s="67"/>
      <c r="AA11" s="189"/>
      <c r="AB11" s="197"/>
    </row>
    <row r="12" spans="2:31" ht="15" x14ac:dyDescent="0.2">
      <c r="B12" s="188" t="str">
        <f>Osnovno_Vrsta_izvjestaja</f>
        <v>Vrsta izvještaja:</v>
      </c>
      <c r="D12" s="369" t="str">
        <f>IF( AND( DATE( Godina, Period_Pocetak_Mjesec, Period_Pocetak_Dan) = DATE( Godina, 1, 1), NOT( ISNA( VLOOKUP( Datum_Broj, Podesavanja!$H$3:$J$6, 2, 0)))), VLOOKUP( Datum_Broj, Podesavanja!$H$3:$J$6, 3, 0), Vrsta_izvjestaja_Specificni)</f>
        <v>Godišnji</v>
      </c>
      <c r="E12" s="369"/>
      <c r="F12" s="369"/>
      <c r="G12" s="369"/>
      <c r="H12" s="369"/>
      <c r="I12" s="369"/>
      <c r="J12" s="369"/>
      <c r="K12" s="369"/>
      <c r="L12" s="369"/>
      <c r="M12"/>
      <c r="N12"/>
      <c r="O12"/>
      <c r="P12"/>
      <c r="Q12"/>
      <c r="R12"/>
      <c r="S12"/>
      <c r="T12"/>
      <c r="U12"/>
      <c r="V12"/>
      <c r="AA12" s="189"/>
      <c r="AB12" s="196" t="str">
        <f>D12</f>
        <v>Godišnji</v>
      </c>
    </row>
    <row r="13" spans="2:31" ht="13.5" customHeight="1" x14ac:dyDescent="0.2">
      <c r="B13" s="74"/>
      <c r="M13"/>
      <c r="N13"/>
      <c r="O13"/>
      <c r="P13"/>
      <c r="Q13"/>
      <c r="R13"/>
      <c r="S13"/>
      <c r="T13"/>
      <c r="U13"/>
      <c r="V13"/>
      <c r="AA13" s="201"/>
      <c r="AB13" s="197"/>
    </row>
    <row r="14" spans="2:31" ht="15.75" customHeight="1" x14ac:dyDescent="0.2">
      <c r="B14" s="205" t="str">
        <f>Objasnjenja_Zaglavlje</f>
        <v>Podaci u zaglavlju:</v>
      </c>
      <c r="AA14" s="201"/>
      <c r="AB14" s="197"/>
    </row>
    <row r="15" spans="2:31" ht="15" x14ac:dyDescent="0.2">
      <c r="B15" s="188" t="str">
        <f>Zaglavlje_MB</f>
        <v>Matični broj:</v>
      </c>
      <c r="D15" s="186">
        <v>1</v>
      </c>
      <c r="E15" s="186">
        <v>1</v>
      </c>
      <c r="F15" s="186">
        <v>0</v>
      </c>
      <c r="G15" s="186">
        <v>2</v>
      </c>
      <c r="H15" s="186">
        <v>9</v>
      </c>
      <c r="I15" s="186">
        <v>7</v>
      </c>
      <c r="J15" s="186">
        <v>5</v>
      </c>
      <c r="K15" s="186">
        <v>2</v>
      </c>
      <c r="Y15" s="8" t="b">
        <f>LEN(AA15) &gt;= 7</f>
        <v>1</v>
      </c>
      <c r="Z15" s="8" t="b">
        <v>1</v>
      </c>
      <c r="AA15" s="201" t="str">
        <f>CONCATENATE( D15, E15, F15, G15, H15, I15, J15, K15)</f>
        <v>11029752</v>
      </c>
      <c r="AB15" s="196" t="str">
        <f>IF(Y15, IF( Z15, AA15, Kontrola_Neispravno), Kontrola_Obavezno)</f>
        <v>11029752</v>
      </c>
    </row>
    <row r="16" spans="2:31" ht="4.5" customHeight="1" x14ac:dyDescent="0.2">
      <c r="B16" s="188"/>
      <c r="AA16" s="201"/>
      <c r="AB16" s="197"/>
    </row>
    <row r="17" spans="2:31" ht="15" x14ac:dyDescent="0.2">
      <c r="B17" s="188" t="str">
        <f>Zaglavlje_Sifra_djelatnosti</f>
        <v>Šifra djelatnosti:</v>
      </c>
      <c r="D17" s="186">
        <v>0</v>
      </c>
      <c r="E17" s="186">
        <v>8</v>
      </c>
      <c r="F17" s="190" t="s">
        <v>1770</v>
      </c>
      <c r="G17" s="186">
        <v>1</v>
      </c>
      <c r="H17" s="186">
        <v>1</v>
      </c>
      <c r="I17" s="195"/>
      <c r="Y17" s="8" t="b">
        <f>LEN( AA17) &gt;= 5</f>
        <v>1</v>
      </c>
      <c r="Z17" s="8" t="b">
        <v>1</v>
      </c>
      <c r="AA17" s="201" t="str">
        <f>CONCATENATE( D17, E17, F17, G17, H17, I17)</f>
        <v>08.11</v>
      </c>
      <c r="AB17" s="196" t="str">
        <f>IF(Y17, IF( Z17, AA17, Kontrola_Neispravno), Kontrola_Obavezno)</f>
        <v>08.11</v>
      </c>
      <c r="AE17" s="191"/>
    </row>
    <row r="18" spans="2:31" ht="4.5" customHeight="1" x14ac:dyDescent="0.2">
      <c r="B18" s="188"/>
      <c r="AA18" s="201"/>
      <c r="AB18" s="197"/>
    </row>
    <row r="19" spans="2:31" ht="12.75" customHeight="1" x14ac:dyDescent="0.2">
      <c r="B19" s="356" t="str">
        <f>Zaglavlje_Naziv_preduzeca</f>
        <v>Naziv privrednog društva, zadruge, drugog pravnog lica ili preduzetnika:</v>
      </c>
      <c r="AA19" s="201"/>
      <c r="AB19" s="197"/>
    </row>
    <row r="20" spans="2:31" ht="22.5" customHeight="1" x14ac:dyDescent="0.2">
      <c r="B20" s="356"/>
      <c r="D20" s="359" t="s">
        <v>1877</v>
      </c>
      <c r="E20" s="359"/>
      <c r="F20" s="359"/>
      <c r="G20" s="359"/>
      <c r="H20" s="359"/>
      <c r="I20" s="359"/>
      <c r="J20" s="359"/>
      <c r="K20" s="359"/>
      <c r="L20" s="359"/>
      <c r="M20" s="359"/>
      <c r="N20" s="359"/>
      <c r="O20" s="359"/>
      <c r="P20" s="359"/>
      <c r="Q20" s="359"/>
      <c r="R20" s="359"/>
      <c r="S20" s="359"/>
      <c r="T20" s="359"/>
      <c r="U20" s="359"/>
      <c r="V20" s="359"/>
      <c r="Y20" s="8" t="b">
        <f>LEN(AA20) &gt; 0</f>
        <v>1</v>
      </c>
      <c r="Z20" s="8" t="b">
        <v>1</v>
      </c>
      <c r="AA20" s="201" t="str">
        <f>CONCATENATE( D20)</f>
        <v>RUDNIK KREČNJAKA CARMEUSE A.D. DOBOJ</v>
      </c>
      <c r="AB20" s="198" t="str">
        <f>IF(Y20, IF( Z20, AA20, Kontrola_Neispravno), Kontrola_Obavezno)</f>
        <v>RUDNIK KREČNJAKA CARMEUSE A.D. DOBOJ</v>
      </c>
    </row>
    <row r="21" spans="2:31" ht="4.5" customHeight="1" x14ac:dyDescent="0.2">
      <c r="B21" s="188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AA21" s="201"/>
      <c r="AB21" s="197"/>
    </row>
    <row r="22" spans="2:31" ht="15" x14ac:dyDescent="0.2">
      <c r="B22" s="188" t="str">
        <f>Zaglavlje_Sjediste</f>
        <v>Sjedište:</v>
      </c>
      <c r="D22" s="355" t="s">
        <v>1878</v>
      </c>
      <c r="E22" s="355"/>
      <c r="F22" s="355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5"/>
      <c r="S22" s="355"/>
      <c r="T22" s="355"/>
      <c r="U22" s="355"/>
      <c r="V22" s="355"/>
      <c r="Y22" s="8" t="b">
        <f>LEN(AA22) &gt; 0</f>
        <v>1</v>
      </c>
      <c r="Z22" s="8" t="b">
        <v>1</v>
      </c>
      <c r="AA22" s="201" t="str">
        <f>CONCATENATE( D22)</f>
        <v>Ševarlije 322</v>
      </c>
      <c r="AB22" s="196" t="str">
        <f>IF(Y22, IF( Z22, AA22, Kontrola_Neispravno), Kontrola_Obavezno)</f>
        <v>Ševarlije 322</v>
      </c>
    </row>
    <row r="23" spans="2:31" ht="4.5" customHeight="1" x14ac:dyDescent="0.2">
      <c r="B23" s="188"/>
      <c r="AA23" s="201"/>
      <c r="AB23" s="197"/>
    </row>
    <row r="24" spans="2:31" ht="15" x14ac:dyDescent="0.2">
      <c r="B24" s="188" t="str">
        <f>Zaglavlje_JIB</f>
        <v>JIB:</v>
      </c>
      <c r="D24" s="186">
        <v>4</v>
      </c>
      <c r="E24" s="287">
        <v>4</v>
      </c>
      <c r="F24" s="288">
        <v>0</v>
      </c>
      <c r="G24" s="186">
        <v>2</v>
      </c>
      <c r="H24" s="287">
        <v>7</v>
      </c>
      <c r="I24" s="288">
        <v>4</v>
      </c>
      <c r="J24" s="186">
        <v>8</v>
      </c>
      <c r="K24" s="287">
        <v>1</v>
      </c>
      <c r="L24" s="288">
        <v>2</v>
      </c>
      <c r="M24" s="287">
        <v>0</v>
      </c>
      <c r="N24" s="288">
        <v>0</v>
      </c>
      <c r="O24" s="287">
        <v>0</v>
      </c>
      <c r="P24" s="288">
        <v>4</v>
      </c>
      <c r="Q24" s="67"/>
      <c r="R24" s="67"/>
      <c r="S24" s="67"/>
      <c r="T24" s="67"/>
      <c r="U24" s="67"/>
      <c r="V24" s="67"/>
      <c r="Y24" s="8" t="b">
        <f>LEN(AA24) = 13</f>
        <v>1</v>
      </c>
      <c r="Z24" s="199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202" t="str">
        <f>CONCATENATE( D24, E24, F24, G24, H24, I24, J24, K24, L24, M24, N24, O24, P24)</f>
        <v>4402748120004</v>
      </c>
      <c r="AB24" s="196" t="str">
        <f>IF(Y24, IF( Z24, AA24, Kontrola_Neispravno), Kontrola_Obavezno)</f>
        <v>4402748120004</v>
      </c>
    </row>
    <row r="25" spans="2:31" ht="15" x14ac:dyDescent="0.2">
      <c r="B25" s="188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AA25" s="201"/>
      <c r="AB25" s="197"/>
    </row>
    <row r="26" spans="2:31" ht="15" x14ac:dyDescent="0.2">
      <c r="B26" s="232" t="str">
        <f>Objasnjenja_Bankovni_racun</f>
        <v>Računi u banci:</v>
      </c>
      <c r="AA26" s="201"/>
      <c r="AB26" s="197"/>
    </row>
    <row r="27" spans="2:31" ht="15" x14ac:dyDescent="0.2">
      <c r="B27" s="188" t="str">
        <f>Objasnjenja_Glavni_racun</f>
        <v>Glavni račun:</v>
      </c>
      <c r="D27" s="186">
        <v>1</v>
      </c>
      <c r="E27" s="186">
        <v>6</v>
      </c>
      <c r="F27" s="186">
        <v>1</v>
      </c>
      <c r="G27" s="187" t="s">
        <v>1769</v>
      </c>
      <c r="H27" s="186">
        <v>0</v>
      </c>
      <c r="I27" s="186">
        <v>0</v>
      </c>
      <c r="J27" s="186">
        <v>0</v>
      </c>
      <c r="K27" s="187" t="s">
        <v>1769</v>
      </c>
      <c r="L27" s="186">
        <v>0</v>
      </c>
      <c r="M27" s="186">
        <v>1</v>
      </c>
      <c r="N27" s="186">
        <v>1</v>
      </c>
      <c r="O27" s="186">
        <v>7</v>
      </c>
      <c r="P27" s="186">
        <v>8</v>
      </c>
      <c r="Q27" s="186">
        <v>1</v>
      </c>
      <c r="R27" s="186">
        <v>0</v>
      </c>
      <c r="S27" s="186">
        <v>0</v>
      </c>
      <c r="T27" s="67" t="s">
        <v>1769</v>
      </c>
      <c r="U27" s="186">
        <v>0</v>
      </c>
      <c r="V27" s="186">
        <v>3</v>
      </c>
      <c r="Y27" s="8" t="b">
        <f>LEN(AA27) = 16</f>
        <v>1</v>
      </c>
      <c r="Z27" s="8" t="b">
        <f>IF(Y27, VALUE( CONCATENATE( U27, V27)) = 98 - MOD( CONCATENATE( MOD( CONCATENATE( D27, E27, F27, H27, I27, J27, L27, M27, N27), 97), CONCATENATE(O27, P27, Q27, R27, S27), "00"), 97), FALSE)</f>
        <v>1</v>
      </c>
      <c r="AA27" s="201" t="str">
        <f>CONCATENATE( D27, E27, F27, H27, I27, J27, L27, M27, N27, O27, P27, Q27, R27, S27, U27, V27)</f>
        <v>1610000117810003</v>
      </c>
      <c r="AB27" s="196" t="str">
        <f>IF(Y27, IF( Z27, CONCATENATE( D27, E27, F27, G27, H27, I27, J27, K27, L27, M27, N27, O27, P27, Q27, R27, S27, T27, U27, V27), Kontrola_Neispravno), Kontrola_Obavezno)</f>
        <v>161-000-01178100-03</v>
      </c>
    </row>
    <row r="28" spans="2:31" ht="4.5" customHeight="1" x14ac:dyDescent="0.2">
      <c r="B28" s="188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AA28" s="201"/>
      <c r="AB28" s="197"/>
    </row>
    <row r="29" spans="2:31" ht="15" x14ac:dyDescent="0.2">
      <c r="B29" s="188"/>
      <c r="D29" s="186">
        <v>5</v>
      </c>
      <c r="E29" s="186">
        <v>6</v>
      </c>
      <c r="F29" s="186">
        <v>2</v>
      </c>
      <c r="G29" s="187" t="s">
        <v>1769</v>
      </c>
      <c r="H29" s="186">
        <v>0</v>
      </c>
      <c r="I29" s="186">
        <v>0</v>
      </c>
      <c r="J29" s="186">
        <v>5</v>
      </c>
      <c r="K29" s="187" t="s">
        <v>1769</v>
      </c>
      <c r="L29" s="186">
        <v>8</v>
      </c>
      <c r="M29" s="186">
        <v>0</v>
      </c>
      <c r="N29" s="186">
        <v>6</v>
      </c>
      <c r="O29" s="186">
        <v>9</v>
      </c>
      <c r="P29" s="186">
        <v>0</v>
      </c>
      <c r="Q29" s="186">
        <v>0</v>
      </c>
      <c r="R29" s="186">
        <v>0</v>
      </c>
      <c r="S29" s="186">
        <v>0</v>
      </c>
      <c r="T29" s="67" t="s">
        <v>1769</v>
      </c>
      <c r="U29" s="186">
        <v>5</v>
      </c>
      <c r="V29" s="186">
        <v>5</v>
      </c>
      <c r="Y29" s="8" t="b">
        <f>OR( LEN(AA29) = 16, LEN( AA29) = 0)</f>
        <v>1</v>
      </c>
      <c r="Z29" s="8" t="b">
        <f>IF( LEN(AA29) = 16, VALUE( CONCATENATE( U29, V29)) = 98 - MOD( CONCATENATE( MOD( CONCATENATE( D29, E29, F29, H29, I29, J29, L29, M29, N29), 97), CONCATENATE(O29, P29, Q29, R29, S29), "00"), 97), TRUE)</f>
        <v>1</v>
      </c>
      <c r="AA29" s="201" t="str">
        <f>CONCATENATE( D29, E29, F29, H29, I29, J29, L29, M29, N29, O29, P29, Q29, R29, S29, U29, V29)</f>
        <v>5620058069000055</v>
      </c>
      <c r="AB29" s="196" t="str">
        <f>IF( LEN(AA29) = 0, "", IF( AND( LEN(AA29) = 16, Z29), CONCATENATE( D29, E29, F29, G29, H29, I29, J29, K29, L29, M29, N29, O29, P29, Q29, R29, S29, T29, U29, V29), Kontrola_Neispravno))</f>
        <v>562-005-80690000-55</v>
      </c>
    </row>
    <row r="30" spans="2:31" ht="4.5" customHeight="1" x14ac:dyDescent="0.2">
      <c r="B30" s="188"/>
      <c r="AA30" s="201"/>
      <c r="AB30" s="197"/>
    </row>
    <row r="31" spans="2:31" ht="15" x14ac:dyDescent="0.2">
      <c r="B31" s="188"/>
      <c r="D31" s="186"/>
      <c r="E31" s="186"/>
      <c r="F31" s="186"/>
      <c r="G31" s="187" t="s">
        <v>1769</v>
      </c>
      <c r="H31" s="186"/>
      <c r="I31" s="186"/>
      <c r="J31" s="186"/>
      <c r="K31" s="187" t="s">
        <v>1769</v>
      </c>
      <c r="L31" s="186"/>
      <c r="M31" s="186"/>
      <c r="N31" s="186"/>
      <c r="O31" s="186"/>
      <c r="P31" s="186"/>
      <c r="Q31" s="186"/>
      <c r="R31" s="186"/>
      <c r="S31" s="186"/>
      <c r="T31" s="67" t="s">
        <v>1769</v>
      </c>
      <c r="U31" s="186"/>
      <c r="V31" s="186"/>
      <c r="Y31" s="8" t="b">
        <f>OR( LEN(AA31) = 16, LEN( AA31) = 0)</f>
        <v>1</v>
      </c>
      <c r="Z31" s="8" t="b">
        <f>IF( LEN(AA31) = 16, VALUE( CONCATENATE( U31, V31)) = 98 - MOD( CONCATENATE( MOD( CONCATENATE( D31, E31, F31, H31, I31, J31, L31, M31, N31), 97), CONCATENATE(O31, P31, Q31, R31, S31), "00"), 97), TRUE)</f>
        <v>1</v>
      </c>
      <c r="AA31" s="201" t="str">
        <f>CONCATENATE( D31, E31, F31, H31, I31, J31, L31, M31, N31, O31, P31, Q31, R31, S31, U31, V31)</f>
        <v/>
      </c>
      <c r="AB31" s="196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88"/>
      <c r="AA32" s="201"/>
      <c r="AB32" s="197"/>
    </row>
    <row r="33" spans="2:28" ht="15" x14ac:dyDescent="0.2">
      <c r="B33" s="188"/>
      <c r="D33" s="186"/>
      <c r="E33" s="186"/>
      <c r="F33" s="186"/>
      <c r="G33" s="187" t="s">
        <v>1769</v>
      </c>
      <c r="H33" s="186"/>
      <c r="I33" s="186"/>
      <c r="J33" s="186"/>
      <c r="K33" s="187" t="s">
        <v>1769</v>
      </c>
      <c r="L33" s="186"/>
      <c r="M33" s="186"/>
      <c r="N33" s="186"/>
      <c r="O33" s="186"/>
      <c r="P33" s="186"/>
      <c r="Q33" s="186"/>
      <c r="R33" s="186"/>
      <c r="S33" s="186"/>
      <c r="T33" s="67" t="s">
        <v>1769</v>
      </c>
      <c r="U33" s="186"/>
      <c r="V33" s="186"/>
      <c r="Y33" s="8" t="b">
        <f>OR( LEN(AA33) = 16, LEN( AA33) = 0)</f>
        <v>1</v>
      </c>
      <c r="Z33" s="8" t="b">
        <f>IF( LEN(AA33) = 16, VALUE( CONCATENATE( U33, V33)) = 98 - MOD( CONCATENATE( MOD( CONCATENATE( D33, E33, F33, H33, I33, J33, L33, M33, N33), 97), CONCATENATE(O33, P33, Q33, R33, S33), "00"), 97), TRUE)</f>
        <v>1</v>
      </c>
      <c r="AA33" s="201" t="str">
        <f>CONCATENATE( D33, E33, F33, H33, I33, J33, L33, M33, N33, O33, P33, Q33, R33, S33, U33, V33)</f>
        <v/>
      </c>
      <c r="AB33" s="196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88"/>
      <c r="AA34" s="201"/>
      <c r="AB34" s="197"/>
    </row>
    <row r="35" spans="2:28" ht="15" x14ac:dyDescent="0.2">
      <c r="B35" s="188"/>
      <c r="D35" s="186"/>
      <c r="E35" s="186"/>
      <c r="F35" s="186"/>
      <c r="G35" s="187" t="s">
        <v>1769</v>
      </c>
      <c r="H35" s="186"/>
      <c r="I35" s="186"/>
      <c r="J35" s="186"/>
      <c r="K35" s="187" t="s">
        <v>1769</v>
      </c>
      <c r="L35" s="186"/>
      <c r="M35" s="186"/>
      <c r="N35" s="186"/>
      <c r="O35" s="186"/>
      <c r="P35" s="186"/>
      <c r="Q35" s="186"/>
      <c r="R35" s="186"/>
      <c r="S35" s="186"/>
      <c r="T35" s="67" t="s">
        <v>1769</v>
      </c>
      <c r="U35" s="186"/>
      <c r="V35" s="186"/>
      <c r="Y35" s="8" t="b">
        <f>OR( LEN(AA35) = 16, LEN( AA35) = 0)</f>
        <v>1</v>
      </c>
      <c r="Z35" s="8" t="b">
        <f>IF( LEN(AA35) = 16, VALUE( CONCATENATE( U35, V35)) = 98 - MOD( CONCATENATE( MOD( CONCATENATE( D35, E35, F35, H35, I35, J35, L35, M35, N35), 97), CONCATENATE(O35, P35, Q35, R35, S35), "00"), 97), TRUE)</f>
        <v>1</v>
      </c>
      <c r="AA35" s="201" t="str">
        <f>CONCATENATE( D35, E35, F35, H35, I35, J35, L35, M35, N35, O35, P35, Q35, R35, S35, U35, V35)</f>
        <v/>
      </c>
      <c r="AB35" s="196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88"/>
      <c r="AA36" s="201"/>
      <c r="AB36" s="197"/>
    </row>
    <row r="37" spans="2:28" ht="15" x14ac:dyDescent="0.2">
      <c r="B37" s="188"/>
      <c r="D37" s="186"/>
      <c r="E37" s="186"/>
      <c r="F37" s="186"/>
      <c r="G37" s="187" t="s">
        <v>1769</v>
      </c>
      <c r="H37" s="186"/>
      <c r="I37" s="186"/>
      <c r="J37" s="186"/>
      <c r="K37" s="187" t="s">
        <v>1769</v>
      </c>
      <c r="L37" s="186"/>
      <c r="M37" s="186"/>
      <c r="N37" s="186"/>
      <c r="O37" s="186"/>
      <c r="P37" s="186"/>
      <c r="Q37" s="186"/>
      <c r="R37" s="186"/>
      <c r="S37" s="186"/>
      <c r="T37" s="67" t="s">
        <v>1769</v>
      </c>
      <c r="U37" s="186"/>
      <c r="V37" s="186"/>
      <c r="Y37" s="8" t="b">
        <f>OR( LEN(AA37) = 16, LEN( AA37) = 0)</f>
        <v>1</v>
      </c>
      <c r="Z37" s="8" t="b">
        <f>IF( LEN(AA37) = 16, VALUE( CONCATENATE( U37, V37)) = 98 - MOD( CONCATENATE( MOD( CONCATENATE( D37, E37, F37, H37, I37, J37, L37, M37, N37), 97), CONCATENATE(O37, P37, Q37, R37, S37), "00"), 97), TRUE)</f>
        <v>1</v>
      </c>
      <c r="AA37" s="201" t="str">
        <f>CONCATENATE( D37, E37, F37, H37, I37, J37, L37, M37, N37, O37, P37, Q37, R37, S37, U37, V37)</f>
        <v/>
      </c>
      <c r="AB37" s="196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x14ac:dyDescent="0.2">
      <c r="B38" s="188"/>
      <c r="AA38" s="201"/>
      <c r="AB38" s="197"/>
    </row>
    <row r="39" spans="2:28" ht="15.75" x14ac:dyDescent="0.2">
      <c r="B39" s="205" t="str">
        <f>Objasnjenja_Podnozje</f>
        <v>Podaci ispod izvještaja:</v>
      </c>
      <c r="AA39" s="201"/>
      <c r="AB39" s="197"/>
    </row>
    <row r="40" spans="2:28" ht="15" x14ac:dyDescent="0.2">
      <c r="B40" s="188" t="str">
        <f>Podnozje_U</f>
        <v>U</v>
      </c>
      <c r="D40" s="355" t="s">
        <v>1879</v>
      </c>
      <c r="E40" s="355"/>
      <c r="F40" s="355"/>
      <c r="G40" s="355"/>
      <c r="H40" s="355"/>
      <c r="I40" s="355"/>
      <c r="J40" s="355"/>
      <c r="K40" s="355"/>
      <c r="L40" s="355"/>
      <c r="M40" s="355"/>
      <c r="N40" s="355"/>
      <c r="O40" s="355"/>
      <c r="P40" s="355"/>
      <c r="Q40" s="355"/>
      <c r="R40" s="355"/>
      <c r="S40" s="355"/>
      <c r="T40" s="355"/>
      <c r="U40" s="355"/>
      <c r="V40" s="355"/>
      <c r="Y40" s="8" t="b">
        <f>LEN(AA40) &gt; 0</f>
        <v>1</v>
      </c>
      <c r="Z40" s="8" t="b">
        <v>1</v>
      </c>
      <c r="AA40" s="201" t="str">
        <f>CONCATENATE( D40)</f>
        <v>DOBOJ</v>
      </c>
      <c r="AB40" s="198" t="str">
        <f>IF(Y40, IF( Z40, AA40, Kontrola_Neispravno), Kontrola_Obavezno)</f>
        <v>DOBOJ</v>
      </c>
    </row>
    <row r="41" spans="2:28" ht="4.5" customHeight="1" x14ac:dyDescent="0.2">
      <c r="B41" s="188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AA41" s="201"/>
      <c r="AB41" s="197"/>
    </row>
    <row r="42" spans="2:28" ht="15" x14ac:dyDescent="0.2">
      <c r="B42" s="74"/>
      <c r="D42" s="189" t="str">
        <f>Objasnjenja_Dan</f>
        <v>Dan</v>
      </c>
      <c r="E42" s="189"/>
      <c r="F42" s="189"/>
      <c r="G42" s="189" t="str">
        <f>Objasnjenja_Mjesec</f>
        <v>Mjesec</v>
      </c>
      <c r="H42" s="189"/>
      <c r="I42" s="189"/>
      <c r="J42" s="189" t="str">
        <f>Objasnjenja_Godina</f>
        <v>Godina</v>
      </c>
      <c r="K42" s="189"/>
      <c r="L42" s="189"/>
      <c r="M42" s="189"/>
      <c r="AA42" s="201"/>
      <c r="AB42" s="197"/>
    </row>
    <row r="43" spans="2:28" ht="15" x14ac:dyDescent="0.2">
      <c r="B43" s="188" t="str">
        <f>Podnozje_Dana</f>
        <v>Dana,</v>
      </c>
      <c r="D43" s="357">
        <v>27</v>
      </c>
      <c r="E43" s="358"/>
      <c r="F43" s="67"/>
      <c r="G43" s="357">
        <v>2</v>
      </c>
      <c r="H43" s="358"/>
      <c r="I43" s="67"/>
      <c r="J43" s="357">
        <v>2015</v>
      </c>
      <c r="K43" s="368"/>
      <c r="L43" s="358"/>
      <c r="M43"/>
      <c r="Y43" s="8" t="b">
        <f>AND( D43 &lt;&gt; "", G43 &lt;&gt; "", J43 &lt;&gt; "")</f>
        <v>1</v>
      </c>
      <c r="Z43" s="67" t="b">
        <f>IF( Y43, TEXT( DATE( J43, G43, D43), "dd.mm.yyyy" ) = TEXT( D43, "00") &amp; "." &amp; TEXT( G43, "00") &amp;"." &amp; CONCATENATE( J43), FALSE)</f>
        <v>1</v>
      </c>
      <c r="AA43" s="189" t="str">
        <f>IF( OR( Y43, Z43), TEXT( DATE( J43, G43, D43), "dd.mm.yyyy."), "")</f>
        <v>27.02.2015.</v>
      </c>
      <c r="AB43" s="198" t="str">
        <f>IF(Y43, IF( Z43, AA43, Kontrola_Neispravno), Kontrola_Obavezno)</f>
        <v>27.02.2015.</v>
      </c>
    </row>
    <row r="44" spans="2:28" ht="4.5" customHeight="1" x14ac:dyDescent="0.2">
      <c r="B44" s="188"/>
      <c r="D44"/>
      <c r="E44"/>
      <c r="F44"/>
      <c r="G44"/>
      <c r="H44"/>
      <c r="I44"/>
      <c r="J44"/>
      <c r="K44"/>
      <c r="L44"/>
      <c r="M44"/>
      <c r="N44"/>
      <c r="AA44" s="201"/>
      <c r="AB44" s="197"/>
    </row>
    <row r="45" spans="2:28" ht="15" x14ac:dyDescent="0.2">
      <c r="B45" s="188" t="str">
        <f>Podnozje_Lice_sa_licencom</f>
        <v>Lice sa licencom:</v>
      </c>
      <c r="D45" s="355" t="s">
        <v>1880</v>
      </c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5"/>
      <c r="S45" s="355"/>
      <c r="T45" s="355"/>
      <c r="U45" s="355"/>
      <c r="V45" s="355"/>
      <c r="Y45" s="8" t="b">
        <f>LEN(AA45) &gt; 0</f>
        <v>1</v>
      </c>
      <c r="Z45" s="8" t="b">
        <v>1</v>
      </c>
      <c r="AA45" s="201" t="str">
        <f>CONCATENATE( D45)</f>
        <v>Edina Hadžikadunić</v>
      </c>
      <c r="AB45" s="198" t="str">
        <f>IF(Y45, IF( Z45, AA45, Kontrola_Neispravno), Kontrola_Obavezno)</f>
        <v>Edina Hadžikadunić</v>
      </c>
    </row>
    <row r="46" spans="2:28" ht="4.5" customHeight="1" x14ac:dyDescent="0.2">
      <c r="B46" s="188"/>
      <c r="AA46" s="201"/>
      <c r="AB46" s="197"/>
    </row>
    <row r="47" spans="2:28" ht="15" x14ac:dyDescent="0.2">
      <c r="B47" s="188" t="str">
        <f>Podnozje_Broj_licence</f>
        <v>Broj licence:</v>
      </c>
      <c r="D47" s="355" t="s">
        <v>1881</v>
      </c>
      <c r="E47" s="355"/>
      <c r="F47" s="355"/>
      <c r="G47" s="355"/>
      <c r="H47" s="355"/>
      <c r="I47" s="355"/>
      <c r="J47" s="355"/>
      <c r="K47" s="355"/>
      <c r="L47" s="355"/>
      <c r="M47" s="355"/>
      <c r="N47" s="355"/>
      <c r="O47" s="355"/>
      <c r="P47" s="355"/>
      <c r="Q47" s="355"/>
      <c r="R47" s="355"/>
      <c r="S47" s="355"/>
      <c r="T47" s="355"/>
      <c r="U47" s="355"/>
      <c r="V47" s="355"/>
      <c r="Y47" s="8" t="b">
        <f>LEN(AA47) &gt; 0</f>
        <v>1</v>
      </c>
      <c r="Z47" s="8" t="b">
        <v>1</v>
      </c>
      <c r="AA47" s="201" t="str">
        <f>CONCATENATE( D47)</f>
        <v>4190/5</v>
      </c>
      <c r="AB47" s="198" t="str">
        <f>IF(Y47, IF( Z47, AA47, Kontrola_Neispravno), Kontrola_Obavezno)</f>
        <v>4190/5</v>
      </c>
    </row>
    <row r="48" spans="2:28" ht="4.5" customHeight="1" x14ac:dyDescent="0.2">
      <c r="B48" s="188"/>
      <c r="AA48" s="201"/>
      <c r="AB48" s="197"/>
    </row>
    <row r="49" spans="2:28" ht="15" x14ac:dyDescent="0.2">
      <c r="B49" s="231" t="str">
        <f>Podnozje_Direktor</f>
        <v>Direktor:</v>
      </c>
      <c r="D49" s="355" t="s">
        <v>1882</v>
      </c>
      <c r="E49" s="355"/>
      <c r="F49" s="355"/>
      <c r="G49" s="355"/>
      <c r="H49" s="355"/>
      <c r="I49" s="355"/>
      <c r="J49" s="355"/>
      <c r="K49" s="355"/>
      <c r="L49" s="355"/>
      <c r="M49" s="355"/>
      <c r="N49" s="355"/>
      <c r="O49" s="355"/>
      <c r="P49" s="355"/>
      <c r="Q49" s="355"/>
      <c r="R49" s="355"/>
      <c r="S49" s="355"/>
      <c r="T49" s="355"/>
      <c r="U49" s="355"/>
      <c r="V49" s="355"/>
      <c r="Y49" s="8" t="b">
        <f>LEN(AA49) &gt; 0</f>
        <v>1</v>
      </c>
      <c r="Z49" s="8" t="b">
        <v>1</v>
      </c>
      <c r="AA49" s="201" t="str">
        <f>CONCATENATE( D49)</f>
        <v>Peterne Marosy Katalin</v>
      </c>
      <c r="AB49" s="198" t="str">
        <f>IF(Y49, IF( Z49, AA49, Kontrola_Neispravno), Kontrola_Obavezno)</f>
        <v>Peterne Marosy Katalin</v>
      </c>
    </row>
    <row r="50" spans="2:28" ht="15" x14ac:dyDescent="0.2">
      <c r="B50" s="74"/>
      <c r="AA50" s="201"/>
      <c r="AB50" s="197"/>
    </row>
    <row r="51" spans="2:28" ht="15.75" x14ac:dyDescent="0.2">
      <c r="B51" s="205" t="s">
        <v>905</v>
      </c>
      <c r="AA51" s="201"/>
      <c r="AB51" s="197"/>
    </row>
    <row r="52" spans="2:28" ht="15" x14ac:dyDescent="0.2">
      <c r="B52" s="188" t="str">
        <f>Kontakt_Adresa</f>
        <v>Adresa i broj:</v>
      </c>
      <c r="D52" s="355" t="s">
        <v>1878</v>
      </c>
      <c r="E52" s="355"/>
      <c r="F52" s="355"/>
      <c r="G52" s="355"/>
      <c r="H52" s="355"/>
      <c r="I52" s="355"/>
      <c r="J52" s="355"/>
      <c r="K52" s="355"/>
      <c r="L52" s="355"/>
      <c r="M52" s="355"/>
      <c r="N52" s="355"/>
      <c r="O52" s="355"/>
      <c r="P52" s="355"/>
      <c r="Q52" s="355"/>
      <c r="R52" s="355"/>
      <c r="S52" s="355"/>
      <c r="T52" s="355"/>
      <c r="U52" s="355"/>
      <c r="V52" s="355"/>
      <c r="Y52" s="8" t="b">
        <f>LEN(AA52) &gt; 0</f>
        <v>1</v>
      </c>
      <c r="Z52" s="8" t="b">
        <v>1</v>
      </c>
      <c r="AA52" s="201" t="str">
        <f>CONCATENATE( D52)</f>
        <v>Ševarlije 322</v>
      </c>
      <c r="AB52" s="198" t="str">
        <f>IF(Y52, IF( Z52, AA52, Kontrola_Neispravno), Kontrola_Obavezno)</f>
        <v>Ševarlije 322</v>
      </c>
    </row>
    <row r="53" spans="2:28" ht="4.5" customHeight="1" x14ac:dyDescent="0.2">
      <c r="B53" s="74"/>
      <c r="AA53" s="201"/>
      <c r="AB53" s="197"/>
    </row>
    <row r="54" spans="2:28" ht="15" x14ac:dyDescent="0.2">
      <c r="B54" s="188" t="str">
        <f>Kontakt_web</f>
        <v>Internet adresa:</v>
      </c>
      <c r="D54" s="355"/>
      <c r="E54" s="355"/>
      <c r="F54" s="355"/>
      <c r="G54" s="355"/>
      <c r="H54" s="355"/>
      <c r="I54" s="355"/>
      <c r="J54" s="355"/>
      <c r="K54" s="355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Y54" s="8" t="b">
        <f>LEN(AA54) &gt; 0</f>
        <v>0</v>
      </c>
      <c r="Z54" s="8" t="b">
        <v>1</v>
      </c>
      <c r="AA54" s="201" t="str">
        <f>CONCATENATE( D54)</f>
        <v/>
      </c>
      <c r="AB54" s="198" t="str">
        <f>IF(Y54, IF( Z54, AA54, Kontrola_Neispravno), Kontrola_Obavezno)</f>
        <v>Obavezan unos podataka u formi!</v>
      </c>
    </row>
    <row r="55" spans="2:28" ht="4.5" customHeight="1" x14ac:dyDescent="0.2">
      <c r="B55" s="188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AA55" s="201"/>
      <c r="AB55" s="197"/>
    </row>
    <row r="56" spans="2:28" ht="15" x14ac:dyDescent="0.2">
      <c r="B56" s="188" t="str">
        <f>Kontakt_email</f>
        <v>Adresa e-pošte (email):</v>
      </c>
      <c r="D56" s="355" t="s">
        <v>1883</v>
      </c>
      <c r="E56" s="355"/>
      <c r="F56" s="355"/>
      <c r="G56" s="355"/>
      <c r="H56" s="355"/>
      <c r="I56" s="355"/>
      <c r="J56" s="355"/>
      <c r="K56" s="355"/>
      <c r="L56" s="355"/>
      <c r="M56" s="355"/>
      <c r="N56" s="355"/>
      <c r="O56" s="355"/>
      <c r="P56" s="355"/>
      <c r="Q56" s="355"/>
      <c r="R56" s="355"/>
      <c r="S56" s="355"/>
      <c r="T56" s="355"/>
      <c r="U56" s="355"/>
      <c r="V56" s="355"/>
      <c r="Y56" s="8" t="b">
        <f>LEN(AA56) &gt; 0</f>
        <v>1</v>
      </c>
      <c r="Z56" s="8" t="b">
        <v>1</v>
      </c>
      <c r="AA56" s="201" t="str">
        <f>CONCATENATE(D56)</f>
        <v>edina.hadzikadunic@carmeuse.ba</v>
      </c>
      <c r="AB56" s="198" t="str">
        <f>IF(Y56, IF( Z56, AA56, Kontrola_Neispravno), Kontrola_Obavezno)</f>
        <v>edina.hadzikadunic@carmeuse.ba</v>
      </c>
    </row>
    <row r="57" spans="2:28" ht="4.5" customHeight="1" x14ac:dyDescent="0.2">
      <c r="B57" s="188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7"/>
      <c r="R57" s="67"/>
      <c r="S57" s="67"/>
      <c r="T57" s="67"/>
      <c r="U57"/>
      <c r="AA57" s="201"/>
      <c r="AB57" s="197"/>
    </row>
    <row r="58" spans="2:28" ht="15" x14ac:dyDescent="0.2">
      <c r="B58" s="188" t="str">
        <f>Kontakt_tel</f>
        <v>Telefon:</v>
      </c>
      <c r="D58" s="186">
        <v>0</v>
      </c>
      <c r="E58" s="186">
        <v>5</v>
      </c>
      <c r="F58" s="186">
        <v>3</v>
      </c>
      <c r="G58" s="67" t="s">
        <v>1769</v>
      </c>
      <c r="H58" s="186">
        <v>2</v>
      </c>
      <c r="I58" s="186">
        <v>0</v>
      </c>
      <c r="J58" s="186">
        <v>7</v>
      </c>
      <c r="K58" s="67" t="s">
        <v>1769</v>
      </c>
      <c r="L58" s="186">
        <v>9</v>
      </c>
      <c r="M58" s="186">
        <v>3</v>
      </c>
      <c r="N58" s="186">
        <v>0</v>
      </c>
      <c r="O58" s="67"/>
      <c r="P58" s="67"/>
      <c r="Q58" s="67"/>
      <c r="R58" s="67"/>
      <c r="S58" s="67"/>
      <c r="T58" s="67"/>
      <c r="U58"/>
      <c r="V58"/>
      <c r="Y58" s="8" t="b">
        <f>LEN(AA58) = 11</f>
        <v>1</v>
      </c>
      <c r="Z58" s="8" t="b">
        <v>1</v>
      </c>
      <c r="AA58" s="201" t="str">
        <f>CONCATENATE( D58,E58, F58, G58, H58, I58, J58, K58, L58, M58, N58)</f>
        <v>053-207-930</v>
      </c>
      <c r="AB58" s="198" t="str">
        <f>IF(Y58, IF( Z58, AA58, Kontrola_Neispravno), Kontrola_Obavezno)</f>
        <v>053-207-930</v>
      </c>
    </row>
    <row r="59" spans="2:28" ht="4.5" customHeight="1" x14ac:dyDescent="0.2">
      <c r="B59" s="74"/>
      <c r="D59"/>
      <c r="E59"/>
      <c r="F59"/>
      <c r="G59"/>
      <c r="H59"/>
      <c r="I59"/>
      <c r="J59"/>
      <c r="K59"/>
      <c r="L59"/>
      <c r="M59"/>
      <c r="N59"/>
      <c r="O59"/>
      <c r="P59" s="67"/>
      <c r="Q59" s="67"/>
      <c r="R59" s="67"/>
      <c r="S59" s="67"/>
      <c r="T59" s="67"/>
      <c r="U59"/>
      <c r="AA59" s="201"/>
      <c r="AB59" s="197"/>
    </row>
    <row r="60" spans="2:28" ht="15" x14ac:dyDescent="0.2">
      <c r="B60" s="188" t="str">
        <f>Kontakt_fax</f>
        <v>Faks:</v>
      </c>
      <c r="D60" s="186">
        <v>0</v>
      </c>
      <c r="E60" s="186">
        <v>5</v>
      </c>
      <c r="F60" s="186">
        <v>3</v>
      </c>
      <c r="G60" s="67" t="s">
        <v>1769</v>
      </c>
      <c r="H60" s="186">
        <v>2</v>
      </c>
      <c r="I60" s="186">
        <v>0</v>
      </c>
      <c r="J60" s="186">
        <v>7</v>
      </c>
      <c r="K60" s="67" t="s">
        <v>1769</v>
      </c>
      <c r="L60" s="186">
        <v>9</v>
      </c>
      <c r="M60" s="186">
        <v>3</v>
      </c>
      <c r="N60" s="186">
        <v>3</v>
      </c>
      <c r="O60" s="67"/>
      <c r="P60" s="67"/>
      <c r="Y60" s="8" t="b">
        <f>OR( LEN( AA60) = 2, LEN(AA60) = 11)</f>
        <v>1</v>
      </c>
      <c r="Z60" s="8" t="b">
        <v>1</v>
      </c>
      <c r="AA60" s="201" t="str">
        <f>CONCATENATE( D60,E60, F60, G60, H60, I60, J60, K60, L60, M60, N60)</f>
        <v>053-207-933</v>
      </c>
      <c r="AB60" s="198" t="str">
        <f>IF(Y60, IF( Z60, AA60, Kontrola_Neispravno), Kontrola_Obavezno)</f>
        <v>053-207-933</v>
      </c>
    </row>
    <row r="61" spans="2:28" x14ac:dyDescent="0.2">
      <c r="AA61" s="201"/>
    </row>
    <row r="62" spans="2:28" ht="15.75" x14ac:dyDescent="0.2">
      <c r="B62" s="205" t="str">
        <f>Revizija_Revidiran_izvjestaj</f>
        <v>Revidiran izvještaj:</v>
      </c>
      <c r="D62" s="208"/>
      <c r="E62" s="209"/>
      <c r="Y62" s="207" t="b">
        <v>0</v>
      </c>
      <c r="AA62" s="201"/>
    </row>
    <row r="63" spans="2:28" ht="4.5" customHeight="1" x14ac:dyDescent="0.2">
      <c r="B63" s="210"/>
      <c r="D63"/>
      <c r="E63"/>
      <c r="Y63" s="211"/>
      <c r="AA63" s="201"/>
    </row>
    <row r="64" spans="2:28" ht="17.25" customHeight="1" x14ac:dyDescent="0.2">
      <c r="B64" s="188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8" t="b">
        <f>OR( NOT( Revidiran_izvjestaj), LEN(AA64) &gt; 0)</f>
        <v>1</v>
      </c>
      <c r="Z64" s="8" t="b">
        <v>1</v>
      </c>
      <c r="AA64" s="201" t="str">
        <f>VLOOKUP( Podesavanja!$E$1, Podesavanja!$E$3:$F$6, 2, 0)</f>
        <v/>
      </c>
      <c r="AB64" s="196" t="str">
        <f>IF(Y64, IF( Z64, AA64, Kontrola_Neispravno), Kontrola_Obavezno)</f>
        <v/>
      </c>
    </row>
    <row r="65" spans="1:28" ht="4.5" customHeight="1" x14ac:dyDescent="0.2">
      <c r="B65" s="188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AA65" s="201"/>
    </row>
    <row r="66" spans="1:28" ht="15" x14ac:dyDescent="0.2">
      <c r="B66" s="234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AA66" s="201"/>
    </row>
    <row r="67" spans="1:28" ht="15" x14ac:dyDescent="0.2">
      <c r="A67" s="9"/>
      <c r="B67" s="188" t="str">
        <f>IF( Revidiran_izvjestaj, Zaglavlje_MB, "")</f>
        <v/>
      </c>
      <c r="C67" s="9"/>
      <c r="D67" s="186"/>
      <c r="E67" s="186"/>
      <c r="F67" s="186"/>
      <c r="G67" s="186"/>
      <c r="H67" s="186"/>
      <c r="I67" s="186"/>
      <c r="J67" s="186"/>
      <c r="K67" s="186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8" t="b">
        <f>OR( NOT(Revidiran_izvjestaj), LEN(AA67) &gt;= 7)</f>
        <v>1</v>
      </c>
      <c r="Z67" s="8" t="b">
        <v>1</v>
      </c>
      <c r="AA67" s="201" t="str">
        <f>CONCATENATE( D67, E67, F67, G67, H67, I67, J67, K67)</f>
        <v/>
      </c>
      <c r="AB67" s="196" t="str">
        <f>IF(Y67, IF( Z67, AA67, Kontrola_Neispravno), Kontrola_Obavezno)</f>
        <v/>
      </c>
    </row>
    <row r="68" spans="1:28" ht="4.5" customHeight="1" x14ac:dyDescent="0.2">
      <c r="A68" s="9"/>
      <c r="B68" s="164"/>
      <c r="C68" s="164"/>
      <c r="D68" s="164"/>
      <c r="E68" s="164"/>
      <c r="F68" s="164"/>
      <c r="G68" s="164"/>
      <c r="H68" s="164"/>
      <c r="I68" s="164"/>
      <c r="J68" s="164"/>
      <c r="K68" s="164"/>
      <c r="L68" s="164"/>
      <c r="M68" s="164"/>
      <c r="N68" s="164"/>
      <c r="O68" s="164"/>
      <c r="P68" s="164"/>
      <c r="Q68" s="164"/>
      <c r="R68" s="164"/>
      <c r="S68" s="164"/>
      <c r="T68" s="164"/>
      <c r="U68" s="164"/>
      <c r="V68" s="164"/>
      <c r="AA68" s="201"/>
    </row>
    <row r="69" spans="1:28" x14ac:dyDescent="0.2">
      <c r="A69" s="9"/>
      <c r="B69" s="35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AA69" s="201"/>
    </row>
    <row r="70" spans="1:28" ht="15" x14ac:dyDescent="0.2">
      <c r="A70" s="9"/>
      <c r="B70" s="356"/>
      <c r="C70" s="9"/>
      <c r="D70" s="367"/>
      <c r="E70" s="367"/>
      <c r="F70" s="367"/>
      <c r="G70" s="367"/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367"/>
      <c r="U70" s="367"/>
      <c r="V70" s="367"/>
      <c r="Y70" s="8" t="b">
        <f>OR( NOT(Revidiran_izvjestaj), LEN(AA70) &gt; 0)</f>
        <v>1</v>
      </c>
      <c r="Z70" s="8" t="b">
        <v>1</v>
      </c>
      <c r="AA70" s="201" t="str">
        <f>CONCATENATE(D70)</f>
        <v/>
      </c>
      <c r="AB70" s="198" t="str">
        <f>IF(Y70, IF( Z70, AA70, Kontrola_Neispravno), Kontrola_Obavezno)</f>
        <v/>
      </c>
    </row>
    <row r="71" spans="1:28" ht="4.5" customHeight="1" x14ac:dyDescent="0.2">
      <c r="A71" s="9"/>
      <c r="B71" s="188"/>
      <c r="C71" s="9"/>
      <c r="D71" s="200"/>
      <c r="E71" s="200"/>
      <c r="F71" s="200"/>
      <c r="G71" s="200"/>
      <c r="H71" s="200"/>
      <c r="I71" s="200"/>
      <c r="J71" s="200"/>
      <c r="K71" s="200"/>
      <c r="L71" s="200"/>
      <c r="M71" s="200"/>
      <c r="N71" s="200"/>
      <c r="O71" s="200"/>
      <c r="P71" s="200"/>
      <c r="Q71" s="200"/>
      <c r="R71" s="200"/>
      <c r="S71" s="200"/>
      <c r="T71" s="200"/>
      <c r="U71" s="200"/>
      <c r="V71" s="200"/>
      <c r="AA71" s="201"/>
      <c r="AB71" s="197"/>
    </row>
    <row r="72" spans="1:28" ht="15" x14ac:dyDescent="0.2">
      <c r="A72" s="9"/>
      <c r="B72" s="188" t="str">
        <f>IF( Revidiran_izvjestaj, Zaglavlje_Sjediste, "")</f>
        <v/>
      </c>
      <c r="C72" s="9"/>
      <c r="D72" s="367"/>
      <c r="E72" s="367"/>
      <c r="F72" s="367"/>
      <c r="G72" s="367"/>
      <c r="H72" s="367"/>
      <c r="I72" s="367"/>
      <c r="J72" s="367"/>
      <c r="K72" s="367"/>
      <c r="L72" s="367"/>
      <c r="M72" s="367"/>
      <c r="N72" s="367"/>
      <c r="O72" s="367"/>
      <c r="P72" s="367"/>
      <c r="Q72" s="367"/>
      <c r="R72" s="367"/>
      <c r="S72" s="367"/>
      <c r="T72" s="367"/>
      <c r="U72" s="367"/>
      <c r="V72" s="367"/>
      <c r="Y72" s="8" t="b">
        <f>OR( NOT(Revidiran_izvjestaj), LEN(AA72) &gt; 0)</f>
        <v>1</v>
      </c>
      <c r="Z72" s="8" t="b">
        <v>1</v>
      </c>
      <c r="AA72" s="201" t="str">
        <f>CONCATENATE(D72)</f>
        <v/>
      </c>
      <c r="AB72" s="196" t="str">
        <f>IF(Y72, IF( Z72, AA72, Kontrola_Neispravno), Kontrola_Obavezno)</f>
        <v/>
      </c>
    </row>
    <row r="73" spans="1:28" ht="4.5" customHeight="1" x14ac:dyDescent="0.2">
      <c r="A73" s="9"/>
      <c r="B73" s="188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AA73" s="201"/>
      <c r="AB73" s="197"/>
    </row>
    <row r="74" spans="1:28" ht="15" x14ac:dyDescent="0.2">
      <c r="A74" s="9"/>
      <c r="B74" s="188" t="str">
        <f>IF( Revidiran_izvjestaj, Zaglavlje_JIB, "")</f>
        <v/>
      </c>
      <c r="C74" s="9"/>
      <c r="D74" s="186"/>
      <c r="E74" s="287"/>
      <c r="F74" s="288"/>
      <c r="G74" s="186"/>
      <c r="H74" s="287"/>
      <c r="I74" s="288"/>
      <c r="J74" s="186"/>
      <c r="K74" s="287"/>
      <c r="L74" s="288"/>
      <c r="M74" s="287"/>
      <c r="N74" s="288"/>
      <c r="O74" s="287"/>
      <c r="P74" s="288"/>
      <c r="Q74" s="187"/>
      <c r="R74" s="187"/>
      <c r="S74" s="187"/>
      <c r="T74" s="187"/>
      <c r="U74" s="187"/>
      <c r="V74" s="187"/>
      <c r="Y74" s="8" t="b">
        <f>OR( NOT(Revidiran_izvjestaj), LEN(AA74) = 13)</f>
        <v>1</v>
      </c>
      <c r="Z74" s="199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0, 0, 11 - MOD( SUMPRODUCT( {7;6;5;4;3;2;7;6;5;4;3;2}, VALUE( MID( CONCATENATE( D74, E74, F74, G74, H74, I74, J74, K74, L74, M74, N74, O74, P74), {1;2;3;4;5;6;7;8;9;10;11;12}, 1))), 11)), FALSE))</f>
        <v>1</v>
      </c>
      <c r="AA74" s="202" t="str">
        <f>CONCATENATE( D74, E74, F74, G74, H74, I74, J74, K74, L74, M74, N74, O74, P74)</f>
        <v/>
      </c>
      <c r="AB74" s="196" t="str">
        <f>IF(Y74, IF( Z74, AA74, Kontrola_Neispravno), Kontrola_Obavezno)</f>
        <v/>
      </c>
    </row>
    <row r="75" spans="1:28" x14ac:dyDescent="0.2">
      <c r="A75" s="9"/>
      <c r="B75"/>
      <c r="C75"/>
      <c r="D75"/>
      <c r="E75"/>
      <c r="F75"/>
    </row>
    <row r="76" spans="1:28" ht="15.75" x14ac:dyDescent="0.2">
      <c r="A76" s="9"/>
      <c r="B76" s="205" t="str">
        <f>Konsolidovani_Konsolidavani_Izvjestaj</f>
        <v>Konsolidovan izvještaj:</v>
      </c>
      <c r="D76" s="208"/>
      <c r="E76" s="209"/>
      <c r="F76"/>
      <c r="Y76" s="204" t="b">
        <v>0</v>
      </c>
      <c r="Z76" s="192"/>
      <c r="AA76" s="192"/>
    </row>
    <row r="77" spans="1:28" ht="4.5" customHeight="1" x14ac:dyDescent="0.2">
      <c r="A77" s="9"/>
      <c r="B77" s="206"/>
    </row>
    <row r="78" spans="1:28" ht="15" x14ac:dyDescent="0.25">
      <c r="A78" s="9"/>
      <c r="B78" s="233" t="str">
        <f>IF( Konsolidovan_izvjestaj, Konsolidovani_Konsolidovani &amp; " 1:", "")</f>
        <v/>
      </c>
    </row>
    <row r="79" spans="1:28" ht="15" x14ac:dyDescent="0.2">
      <c r="A79" s="9"/>
      <c r="B79" s="188" t="str">
        <f>IF( Konsolidovan_izvjestaj, Zaglavlje_MB, "")</f>
        <v/>
      </c>
      <c r="D79" s="186"/>
      <c r="E79" s="186"/>
      <c r="F79" s="186"/>
      <c r="G79" s="186"/>
      <c r="H79" s="186"/>
      <c r="I79" s="186"/>
      <c r="J79" s="186"/>
      <c r="K79" s="186"/>
      <c r="Y79"/>
      <c r="Z79"/>
      <c r="AA79"/>
    </row>
    <row r="80" spans="1:28" customFormat="1" ht="4.5" customHeight="1" x14ac:dyDescent="0.2">
      <c r="A80" s="164"/>
      <c r="B80" s="164"/>
    </row>
    <row r="81" spans="1:27" x14ac:dyDescent="0.2">
      <c r="A81" s="9"/>
      <c r="B81" s="356" t="str">
        <f>IF( Konsolidovan_izvjestaj, Zaglavlje_Naziv_preduzeca, "")</f>
        <v/>
      </c>
      <c r="Y81"/>
      <c r="Z81"/>
      <c r="AA81"/>
    </row>
    <row r="82" spans="1:27" ht="15" x14ac:dyDescent="0.2">
      <c r="A82" s="9"/>
      <c r="B82" s="356"/>
      <c r="D82" s="355"/>
      <c r="E82" s="355"/>
      <c r="F82" s="355"/>
      <c r="G82" s="355"/>
      <c r="H82" s="355"/>
      <c r="I82" s="355"/>
      <c r="J82" s="355"/>
      <c r="K82" s="355"/>
      <c r="L82" s="355"/>
      <c r="M82" s="355"/>
      <c r="N82" s="355"/>
      <c r="O82" s="355"/>
      <c r="P82" s="355"/>
      <c r="Q82" s="355"/>
      <c r="R82" s="355"/>
      <c r="S82" s="355"/>
      <c r="T82" s="355"/>
      <c r="U82" s="355"/>
      <c r="V82" s="355"/>
      <c r="Y82"/>
      <c r="Z82"/>
      <c r="AA82"/>
    </row>
    <row r="83" spans="1:27" ht="4.5" customHeight="1" x14ac:dyDescent="0.2">
      <c r="A83" s="9"/>
      <c r="B83" s="188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x14ac:dyDescent="0.2">
      <c r="A84" s="9"/>
      <c r="B84" s="188" t="str">
        <f>IF( Konsolidovan_izvjestaj, Zaglavlje_Sjediste, "")</f>
        <v/>
      </c>
      <c r="D84" s="355"/>
      <c r="E84" s="355"/>
      <c r="F84" s="355"/>
      <c r="G84" s="355"/>
      <c r="H84" s="355"/>
      <c r="I84" s="355"/>
      <c r="J84" s="355"/>
      <c r="K84" s="355"/>
      <c r="L84" s="355"/>
      <c r="M84" s="355"/>
      <c r="N84" s="355"/>
      <c r="O84" s="355"/>
      <c r="P84" s="355"/>
      <c r="Q84" s="355"/>
      <c r="R84" s="355"/>
      <c r="S84" s="355"/>
      <c r="T84" s="355"/>
      <c r="U84" s="355"/>
      <c r="V84" s="355"/>
      <c r="Y84"/>
      <c r="Z84"/>
      <c r="AA84"/>
    </row>
    <row r="85" spans="1:27" ht="4.5" customHeight="1" x14ac:dyDescent="0.2">
      <c r="A85" s="9"/>
      <c r="B85" s="188"/>
      <c r="Y85"/>
      <c r="Z85"/>
      <c r="AA85"/>
    </row>
    <row r="86" spans="1:27" ht="15" x14ac:dyDescent="0.2">
      <c r="A86" s="9"/>
      <c r="B86" s="188" t="str">
        <f>IF( Konsolidovan_izvjestaj, Zaglavlje_JIB, "")</f>
        <v/>
      </c>
      <c r="D86" s="186"/>
      <c r="E86" s="287"/>
      <c r="F86" s="288"/>
      <c r="G86" s="186"/>
      <c r="H86" s="287"/>
      <c r="I86" s="288"/>
      <c r="J86" s="186"/>
      <c r="K86" s="287"/>
      <c r="L86" s="288"/>
      <c r="M86" s="287"/>
      <c r="N86" s="288"/>
      <c r="O86" s="287"/>
      <c r="P86" s="288"/>
      <c r="Q86" s="67"/>
      <c r="R86" s="67"/>
      <c r="S86" s="67"/>
      <c r="T86" s="67"/>
      <c r="U86" s="67"/>
      <c r="V86" s="67"/>
      <c r="Y86"/>
      <c r="Z86"/>
      <c r="AA86"/>
    </row>
    <row r="87" spans="1:27" ht="4.5" customHeight="1" x14ac:dyDescent="0.2">
      <c r="A87" s="9"/>
      <c r="B87" s="206"/>
      <c r="Y87"/>
      <c r="Z87"/>
      <c r="AA87"/>
    </row>
    <row r="88" spans="1:27" ht="15" x14ac:dyDescent="0.25">
      <c r="A88" s="9"/>
      <c r="B88" s="233" t="str">
        <f>IF( Konsolidovan_izvjestaj, Konsolidovani_Konsolidovani &amp; " 2:", "")</f>
        <v/>
      </c>
      <c r="Y88"/>
      <c r="Z88"/>
      <c r="AA88"/>
    </row>
    <row r="89" spans="1:27" ht="15" x14ac:dyDescent="0.2">
      <c r="A89" s="9"/>
      <c r="B89" s="188" t="str">
        <f>IF( Konsolidovan_izvjestaj, Zaglavlje_MB, "")</f>
        <v/>
      </c>
      <c r="D89" s="186"/>
      <c r="E89" s="186"/>
      <c r="F89" s="186"/>
      <c r="G89" s="186"/>
      <c r="H89" s="186"/>
      <c r="I89" s="186"/>
      <c r="J89" s="186"/>
      <c r="K89" s="186"/>
      <c r="Y89"/>
      <c r="Z89"/>
      <c r="AA89"/>
    </row>
    <row r="90" spans="1:27" ht="4.5" customHeight="1" x14ac:dyDescent="0.2">
      <c r="A90" s="9"/>
      <c r="B90" s="164"/>
    </row>
    <row r="91" spans="1:27" ht="12.75" customHeight="1" x14ac:dyDescent="0.2">
      <c r="A91" s="9"/>
      <c r="B91" s="356" t="str">
        <f>IF( Konsolidovan_izvjestaj, Zaglavlje_Naziv_preduzeca, "")</f>
        <v/>
      </c>
    </row>
    <row r="92" spans="1:27" ht="15" x14ac:dyDescent="0.2">
      <c r="A92" s="9"/>
      <c r="B92" s="356"/>
      <c r="D92" s="355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</row>
    <row r="93" spans="1:27" ht="4.5" customHeight="1" x14ac:dyDescent="0.2">
      <c r="A93" s="9"/>
      <c r="B93" s="188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x14ac:dyDescent="0.2">
      <c r="A94" s="9"/>
      <c r="B94" s="188" t="str">
        <f>IF( Konsolidovan_izvjestaj, Zaglavlje_Sjediste, "")</f>
        <v/>
      </c>
      <c r="D94" s="355"/>
      <c r="E94" s="355"/>
      <c r="F94" s="355"/>
      <c r="G94" s="355"/>
      <c r="H94" s="355"/>
      <c r="I94" s="355"/>
      <c r="J94" s="355"/>
      <c r="K94" s="355"/>
      <c r="L94" s="355"/>
      <c r="M94" s="355"/>
      <c r="N94" s="355"/>
      <c r="O94" s="355"/>
      <c r="P94" s="355"/>
      <c r="Q94" s="355"/>
      <c r="R94" s="355"/>
      <c r="S94" s="355"/>
      <c r="T94" s="355"/>
      <c r="U94" s="355"/>
      <c r="V94" s="355"/>
    </row>
    <row r="95" spans="1:27" ht="4.5" customHeight="1" x14ac:dyDescent="0.2">
      <c r="A95" s="9"/>
      <c r="B95" s="188"/>
    </row>
    <row r="96" spans="1:27" ht="15" x14ac:dyDescent="0.2">
      <c r="A96" s="9"/>
      <c r="B96" s="188" t="str">
        <f>IF( Konsolidovan_izvjestaj, Zaglavlje_JIB, "")</f>
        <v/>
      </c>
      <c r="D96" s="186"/>
      <c r="E96" s="287"/>
      <c r="F96" s="288"/>
      <c r="G96" s="186"/>
      <c r="H96" s="287"/>
      <c r="I96" s="288"/>
      <c r="J96" s="186"/>
      <c r="K96" s="287"/>
      <c r="L96" s="288"/>
      <c r="M96" s="287"/>
      <c r="N96" s="288"/>
      <c r="O96" s="287"/>
      <c r="P96" s="288"/>
      <c r="Q96" s="67"/>
      <c r="R96" s="67"/>
      <c r="S96" s="67"/>
      <c r="T96" s="67"/>
      <c r="U96" s="67"/>
      <c r="V96" s="67"/>
    </row>
    <row r="97" spans="1:33" ht="4.5" customHeight="1" x14ac:dyDescent="0.2">
      <c r="A97" s="9"/>
      <c r="B97" s="206"/>
    </row>
    <row r="98" spans="1:33" ht="15" x14ac:dyDescent="0.25">
      <c r="A98" s="9"/>
      <c r="B98" s="233" t="str">
        <f>IF( Konsolidovan_izvjestaj, Konsolidovani_Konsolidovani &amp; " 3:", "")</f>
        <v/>
      </c>
    </row>
    <row r="99" spans="1:33" ht="15" x14ac:dyDescent="0.2">
      <c r="A99" s="9"/>
      <c r="B99" s="188" t="str">
        <f>IF( Konsolidovan_izvjestaj, Zaglavlje_MB, "")</f>
        <v/>
      </c>
      <c r="D99" s="186"/>
      <c r="E99" s="186"/>
      <c r="F99" s="186"/>
      <c r="G99" s="186"/>
      <c r="H99" s="186"/>
      <c r="I99" s="186"/>
      <c r="J99" s="186"/>
      <c r="K99" s="186"/>
    </row>
    <row r="100" spans="1:33" customFormat="1" ht="4.5" customHeight="1" x14ac:dyDescent="0.2">
      <c r="A100" s="164"/>
      <c r="B100" s="164"/>
      <c r="AE100" s="8"/>
      <c r="AF100" s="8"/>
      <c r="AG100" s="8"/>
    </row>
    <row r="101" spans="1:33" ht="12.75" customHeight="1" x14ac:dyDescent="0.2">
      <c r="A101" s="9"/>
      <c r="B101" s="356" t="str">
        <f>IF( Konsolidovan_izvjestaj, Zaglavlje_Naziv_preduzeca, "")</f>
        <v/>
      </c>
    </row>
    <row r="102" spans="1:33" ht="15" x14ac:dyDescent="0.2">
      <c r="A102" s="9"/>
      <c r="B102" s="356"/>
      <c r="D102" s="355"/>
      <c r="E102" s="355"/>
      <c r="F102" s="355"/>
      <c r="G102" s="355"/>
      <c r="H102" s="355"/>
      <c r="I102" s="355"/>
      <c r="J102" s="355"/>
      <c r="K102" s="355"/>
      <c r="L102" s="355"/>
      <c r="M102" s="355"/>
      <c r="N102" s="355"/>
      <c r="O102" s="355"/>
      <c r="P102" s="355"/>
      <c r="Q102" s="355"/>
      <c r="R102" s="355"/>
      <c r="S102" s="355"/>
      <c r="T102" s="355"/>
      <c r="U102" s="355"/>
      <c r="V102" s="355"/>
    </row>
    <row r="103" spans="1:33" ht="4.5" customHeight="1" x14ac:dyDescent="0.2">
      <c r="A103" s="9"/>
      <c r="B103" s="188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3" ht="15" x14ac:dyDescent="0.2">
      <c r="A104" s="9"/>
      <c r="B104" s="188" t="str">
        <f>IF( Konsolidovan_izvjestaj, Zaglavlje_Sjediste, "")</f>
        <v/>
      </c>
      <c r="D104" s="355"/>
      <c r="E104" s="355"/>
      <c r="F104" s="355"/>
      <c r="G104" s="355"/>
      <c r="H104" s="355"/>
      <c r="I104" s="355"/>
      <c r="J104" s="355"/>
      <c r="K104" s="355"/>
      <c r="L104" s="355"/>
      <c r="M104" s="355"/>
      <c r="N104" s="355"/>
      <c r="O104" s="355"/>
      <c r="P104" s="355"/>
      <c r="Q104" s="355"/>
      <c r="R104" s="355"/>
      <c r="S104" s="355"/>
      <c r="T104" s="355"/>
      <c r="U104" s="355"/>
      <c r="V104" s="355"/>
    </row>
    <row r="105" spans="1:33" ht="4.5" customHeight="1" x14ac:dyDescent="0.2">
      <c r="A105" s="9"/>
      <c r="B105" s="188"/>
    </row>
    <row r="106" spans="1:33" ht="15" x14ac:dyDescent="0.2">
      <c r="A106" s="9"/>
      <c r="B106" s="188" t="str">
        <f>IF( Konsolidovan_izvjestaj, Zaglavlje_JIB, "")</f>
        <v/>
      </c>
      <c r="D106" s="186"/>
      <c r="E106" s="287"/>
      <c r="F106" s="288"/>
      <c r="G106" s="186"/>
      <c r="H106" s="287"/>
      <c r="I106" s="288"/>
      <c r="J106" s="186"/>
      <c r="K106" s="287"/>
      <c r="L106" s="288"/>
      <c r="M106" s="287"/>
      <c r="N106" s="288"/>
      <c r="O106" s="287"/>
      <c r="P106" s="288"/>
      <c r="Q106" s="67"/>
      <c r="R106" s="67"/>
      <c r="S106" s="67"/>
      <c r="T106" s="67"/>
      <c r="U106" s="67"/>
      <c r="V106" s="67"/>
    </row>
    <row r="107" spans="1:33" ht="4.5" customHeight="1" x14ac:dyDescent="0.2"/>
    <row r="108" spans="1:33" ht="15" x14ac:dyDescent="0.25">
      <c r="B108" s="233" t="str">
        <f>IF( Konsolidovan_izvjestaj, Konsolidovani_Konsolidovani &amp; " 4:", "")</f>
        <v/>
      </c>
    </row>
    <row r="109" spans="1:33" ht="15" x14ac:dyDescent="0.2">
      <c r="B109" s="188" t="str">
        <f>IF( Konsolidovan_izvjestaj, Zaglavlje_MB, "")</f>
        <v/>
      </c>
      <c r="D109" s="186"/>
      <c r="E109" s="186"/>
      <c r="F109" s="186"/>
      <c r="G109" s="186"/>
      <c r="H109" s="186"/>
      <c r="I109" s="186"/>
      <c r="J109" s="186"/>
      <c r="K109" s="186"/>
    </row>
    <row r="110" spans="1:33" x14ac:dyDescent="0.2">
      <c r="B110" s="164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3" x14ac:dyDescent="0.2">
      <c r="B111" s="356" t="str">
        <f>IF( Konsolidovan_izvjestaj, Zaglavlje_Naziv_preduzeca, "")</f>
        <v/>
      </c>
    </row>
    <row r="112" spans="1:33" ht="15" x14ac:dyDescent="0.2">
      <c r="B112" s="356"/>
      <c r="D112" s="355"/>
      <c r="E112" s="355"/>
      <c r="F112" s="355"/>
      <c r="G112" s="355"/>
      <c r="H112" s="355"/>
      <c r="I112" s="355"/>
      <c r="J112" s="355"/>
      <c r="K112" s="355"/>
      <c r="L112" s="355"/>
      <c r="M112" s="355"/>
      <c r="N112" s="355"/>
      <c r="O112" s="355"/>
      <c r="P112" s="355"/>
      <c r="Q112" s="355"/>
      <c r="R112" s="355"/>
      <c r="S112" s="355"/>
      <c r="T112" s="355"/>
      <c r="U112" s="355"/>
      <c r="V112" s="355"/>
    </row>
    <row r="113" spans="2:33" x14ac:dyDescent="0.2">
      <c r="B113" s="188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G113" s="193"/>
    </row>
    <row r="114" spans="2:33" ht="15" x14ac:dyDescent="0.2">
      <c r="B114" s="188" t="str">
        <f>IF( Konsolidovan_izvjestaj, Zaglavlje_Sjediste, "")</f>
        <v/>
      </c>
      <c r="D114" s="355"/>
      <c r="E114" s="355"/>
      <c r="F114" s="355"/>
      <c r="G114" s="355"/>
      <c r="H114" s="355"/>
      <c r="I114" s="355"/>
      <c r="J114" s="355"/>
      <c r="K114" s="355"/>
      <c r="L114" s="355"/>
      <c r="M114" s="355"/>
      <c r="N114" s="355"/>
      <c r="O114" s="355"/>
      <c r="P114" s="355"/>
      <c r="Q114" s="355"/>
      <c r="R114" s="355"/>
      <c r="S114" s="355"/>
      <c r="T114" s="355"/>
      <c r="U114" s="355"/>
      <c r="V114" s="355"/>
    </row>
    <row r="115" spans="2:33" x14ac:dyDescent="0.2">
      <c r="B115" s="188"/>
    </row>
    <row r="116" spans="2:33" ht="15" x14ac:dyDescent="0.2">
      <c r="B116" s="188" t="str">
        <f>IF( Konsolidovan_izvjestaj, Zaglavlje_JIB, "")</f>
        <v/>
      </c>
      <c r="D116" s="186"/>
      <c r="E116" s="287"/>
      <c r="F116" s="288"/>
      <c r="G116" s="186"/>
      <c r="H116" s="287"/>
      <c r="I116" s="288"/>
      <c r="J116" s="186"/>
      <c r="K116" s="287"/>
      <c r="L116" s="288"/>
      <c r="M116" s="287"/>
      <c r="N116" s="288"/>
      <c r="O116" s="287"/>
      <c r="P116" s="288"/>
      <c r="Q116" s="67"/>
      <c r="R116" s="67"/>
      <c r="S116" s="67"/>
      <c r="T116" s="67"/>
      <c r="U116" s="67"/>
      <c r="V116" s="67"/>
    </row>
    <row r="117" spans="2:33" ht="4.5" customHeight="1" x14ac:dyDescent="0.2"/>
    <row r="118" spans="2:33" ht="15" x14ac:dyDescent="0.25">
      <c r="B118" s="233" t="str">
        <f>IF( Konsolidovan_izvjestaj, Konsolidovani_Konsolidovani &amp; " 5:", "")</f>
        <v/>
      </c>
    </row>
    <row r="119" spans="2:33" ht="15" x14ac:dyDescent="0.2">
      <c r="B119" s="188" t="str">
        <f>IF( Konsolidovan_izvjestaj, Zaglavlje_MB, "")</f>
        <v/>
      </c>
      <c r="D119" s="186"/>
      <c r="E119" s="186"/>
      <c r="F119" s="186"/>
      <c r="G119" s="186"/>
      <c r="H119" s="186"/>
      <c r="I119" s="186"/>
      <c r="J119" s="186"/>
      <c r="K119" s="186"/>
    </row>
    <row r="120" spans="2:33" x14ac:dyDescent="0.2">
      <c r="B120" s="164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3" x14ac:dyDescent="0.2">
      <c r="B121" s="356" t="str">
        <f>IF( Konsolidovan_izvjestaj, Zaglavlje_Naziv_preduzeca, "")</f>
        <v/>
      </c>
    </row>
    <row r="122" spans="2:33" ht="15" x14ac:dyDescent="0.2">
      <c r="B122" s="356"/>
      <c r="D122" s="355"/>
      <c r="E122" s="355"/>
      <c r="F122" s="355"/>
      <c r="G122" s="355"/>
      <c r="H122" s="355"/>
      <c r="I122" s="355"/>
      <c r="J122" s="355"/>
      <c r="K122" s="355"/>
      <c r="L122" s="355"/>
      <c r="M122" s="355"/>
      <c r="N122" s="355"/>
      <c r="O122" s="355"/>
      <c r="P122" s="355"/>
      <c r="Q122" s="355"/>
      <c r="R122" s="355"/>
      <c r="S122" s="355"/>
      <c r="T122" s="355"/>
      <c r="U122" s="355"/>
      <c r="V122" s="355"/>
    </row>
    <row r="123" spans="2:33" x14ac:dyDescent="0.2">
      <c r="B123" s="188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3" ht="15" x14ac:dyDescent="0.2">
      <c r="B124" s="188" t="str">
        <f>IF( Konsolidovan_izvjestaj, Zaglavlje_Sjediste, "")</f>
        <v/>
      </c>
      <c r="D124" s="355"/>
      <c r="E124" s="355"/>
      <c r="F124" s="355"/>
      <c r="G124" s="355"/>
      <c r="H124" s="355"/>
      <c r="I124" s="355"/>
      <c r="J124" s="355"/>
      <c r="K124" s="355"/>
      <c r="L124" s="355"/>
      <c r="M124" s="355"/>
      <c r="N124" s="355"/>
      <c r="O124" s="355"/>
      <c r="P124" s="355"/>
      <c r="Q124" s="355"/>
      <c r="R124" s="355"/>
      <c r="S124" s="355"/>
      <c r="T124" s="355"/>
      <c r="U124" s="355"/>
      <c r="V124" s="355"/>
    </row>
    <row r="125" spans="2:33" x14ac:dyDescent="0.2">
      <c r="B125" s="188"/>
    </row>
    <row r="126" spans="2:33" ht="15" x14ac:dyDescent="0.2">
      <c r="B126" s="188" t="str">
        <f>IF( Konsolidovan_izvjestaj, Zaglavlje_JIB, "")</f>
        <v/>
      </c>
      <c r="D126" s="186"/>
      <c r="E126" s="287"/>
      <c r="F126" s="288"/>
      <c r="G126" s="186"/>
      <c r="H126" s="287"/>
      <c r="I126" s="288"/>
      <c r="J126" s="186"/>
      <c r="K126" s="287"/>
      <c r="L126" s="288"/>
      <c r="M126" s="287"/>
      <c r="N126" s="288"/>
      <c r="O126" s="287"/>
      <c r="P126" s="288"/>
      <c r="Q126" s="67"/>
      <c r="R126" s="67"/>
      <c r="S126" s="67"/>
      <c r="T126" s="67"/>
      <c r="U126" s="67"/>
      <c r="V126" s="67"/>
    </row>
  </sheetData>
  <sheetProtection password="FE56" sheet="1" objects="1" scenarios="1" selectLockedCells="1"/>
  <mergeCells count="38">
    <mergeCell ref="B121:B122"/>
    <mergeCell ref="D122:V122"/>
    <mergeCell ref="D124:V124"/>
    <mergeCell ref="D12:L12"/>
    <mergeCell ref="D52:V52"/>
    <mergeCell ref="D72:V72"/>
    <mergeCell ref="D104:V104"/>
    <mergeCell ref="D84:V84"/>
    <mergeCell ref="D92:V92"/>
    <mergeCell ref="D94:V94"/>
    <mergeCell ref="B111:B112"/>
    <mergeCell ref="D112:V112"/>
    <mergeCell ref="B91:B92"/>
    <mergeCell ref="D54:V54"/>
    <mergeCell ref="D56:V56"/>
    <mergeCell ref="D114:V114"/>
    <mergeCell ref="B101:B102"/>
    <mergeCell ref="D102:V102"/>
    <mergeCell ref="D70:V70"/>
    <mergeCell ref="B69:B70"/>
    <mergeCell ref="J43:L43"/>
    <mergeCell ref="D47:V47"/>
    <mergeCell ref="D45:V45"/>
    <mergeCell ref="D49:V49"/>
    <mergeCell ref="D8:E8"/>
    <mergeCell ref="G8:H8"/>
    <mergeCell ref="D10:E10"/>
    <mergeCell ref="G10:H10"/>
    <mergeCell ref="J10:L10"/>
    <mergeCell ref="J8:L8"/>
    <mergeCell ref="D22:V22"/>
    <mergeCell ref="D40:V40"/>
    <mergeCell ref="B19:B20"/>
    <mergeCell ref="B81:B82"/>
    <mergeCell ref="D82:V82"/>
    <mergeCell ref="D43:E43"/>
    <mergeCell ref="G43:H43"/>
    <mergeCell ref="D20:V20"/>
  </mergeCells>
  <conditionalFormatting sqref="E24:P24">
    <cfRule type="expression" dxfId="95" priority="65" stopIfTrue="1">
      <formula>$O$14 &gt; 0</formula>
    </cfRule>
  </conditionalFormatting>
  <conditionalFormatting sqref="D24:P24 D17:E17 L27:S27 H27:J27 D27:F27 L29:S29 H29:J29 D29:F29 L31:S31 H31:J31 D31:F31 L33:S33 H33:J33 D33:F33 L35:S35 H35:J35 D35:F35 L37:S37 H37:J37 D37:F37 H58:J58 D58:F58 H60:J60 D60:F60">
    <cfRule type="expression" dxfId="94" priority="50" stopIfTrue="1">
      <formula>$AC$3 &gt; 0</formula>
    </cfRule>
  </conditionalFormatting>
  <conditionalFormatting sqref="D15:K15">
    <cfRule type="expression" dxfId="93" priority="49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conditionalFormatting sqref="L58:N58">
    <cfRule type="expression" dxfId="85" priority="41" stopIfTrue="1">
      <formula>$AC$3 &gt; 0</formula>
    </cfRule>
  </conditionalFormatting>
  <conditionalFormatting sqref="L60:N60">
    <cfRule type="expression" dxfId="84" priority="40" stopIfTrue="1">
      <formula>$AC$3 &gt; 0</formula>
    </cfRule>
  </conditionalFormatting>
  <conditionalFormatting sqref="E74:P74">
    <cfRule type="expression" dxfId="83" priority="33" stopIfTrue="1">
      <formula>$O$14 &gt; 0</formula>
    </cfRule>
  </conditionalFormatting>
  <conditionalFormatting sqref="D74:P74">
    <cfRule type="expression" dxfId="82" priority="32" stopIfTrue="1">
      <formula>$AC$3 &gt; 0</formula>
    </cfRule>
  </conditionalFormatting>
  <conditionalFormatting sqref="D67:K67">
    <cfRule type="expression" dxfId="81" priority="16" stopIfTrue="1">
      <formula>$AC$3 &gt; 0</formula>
    </cfRule>
  </conditionalFormatting>
  <conditionalFormatting sqref="D79:K79">
    <cfRule type="expression" dxfId="80" priority="15" stopIfTrue="1">
      <formula>$AC$3 &gt; 0</formula>
    </cfRule>
  </conditionalFormatting>
  <conditionalFormatting sqref="D89:K89">
    <cfRule type="expression" dxfId="79" priority="14" stopIfTrue="1">
      <formula>$AC$3 &gt; 0</formula>
    </cfRule>
  </conditionalFormatting>
  <conditionalFormatting sqref="D99:K99">
    <cfRule type="expression" dxfId="78" priority="13" stopIfTrue="1">
      <formula>$AC$3 &gt; 0</formula>
    </cfRule>
  </conditionalFormatting>
  <conditionalFormatting sqref="D109:K109">
    <cfRule type="expression" dxfId="77" priority="12" stopIfTrue="1">
      <formula>$AC$3 &gt; 0</formula>
    </cfRule>
  </conditionalFormatting>
  <conditionalFormatting sqref="D119:K119">
    <cfRule type="expression" dxfId="76" priority="11" stopIfTrue="1">
      <formula>$AC$3 &gt; 0</formula>
    </cfRule>
  </conditionalFormatting>
  <conditionalFormatting sqref="E86:P86">
    <cfRule type="expression" dxfId="75" priority="10" stopIfTrue="1">
      <formula>$O$14 &gt; 0</formula>
    </cfRule>
  </conditionalFormatting>
  <conditionalFormatting sqref="D86:P86">
    <cfRule type="expression" dxfId="74" priority="9" stopIfTrue="1">
      <formula>$AC$3 &gt; 0</formula>
    </cfRule>
  </conditionalFormatting>
  <conditionalFormatting sqref="E96:P96">
    <cfRule type="expression" dxfId="73" priority="8" stopIfTrue="1">
      <formula>$O$14 &gt; 0</formula>
    </cfRule>
  </conditionalFormatting>
  <conditionalFormatting sqref="D96:P96">
    <cfRule type="expression" dxfId="72" priority="7" stopIfTrue="1">
      <formula>$AC$3 &gt; 0</formula>
    </cfRule>
  </conditionalFormatting>
  <conditionalFormatting sqref="E106:P106">
    <cfRule type="expression" dxfId="71" priority="6" stopIfTrue="1">
      <formula>$O$14 &gt; 0</formula>
    </cfRule>
  </conditionalFormatting>
  <conditionalFormatting sqref="D106:P106">
    <cfRule type="expression" dxfId="70" priority="5" stopIfTrue="1">
      <formula>$AC$3 &gt; 0</formula>
    </cfRule>
  </conditionalFormatting>
  <conditionalFormatting sqref="E116:P116">
    <cfRule type="expression" dxfId="69" priority="4" stopIfTrue="1">
      <formula>$O$14 &gt; 0</formula>
    </cfRule>
  </conditionalFormatting>
  <conditionalFormatting sqref="D116:P116">
    <cfRule type="expression" dxfId="68" priority="3" stopIfTrue="1">
      <formula>$AC$3 &gt; 0</formula>
    </cfRule>
  </conditionalFormatting>
  <conditionalFormatting sqref="E126:P126">
    <cfRule type="expression" dxfId="67" priority="2" stopIfTrue="1">
      <formula>$O$14 &gt; 0</formula>
    </cfRule>
  </conditionalFormatting>
  <conditionalFormatting sqref="D126:P126">
    <cfRule type="expression" dxfId="66" priority="1" stopIfTrue="1">
      <formula>$AC$3 &gt; 0</formula>
    </cfRule>
  </conditionalFormatting>
  <dataValidations count="5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operator="greaterThan" showErrorMessage="1" errorTitle="Neispravan unos!" error="Unesite cijeli broj veći od 2010." sqref="J43 J10">
      <formula1>2010</formula1>
    </dataValidation>
    <dataValidation type="whole" allowBlank="1" showErrorMessage="1" errorTitle="Neispravan unos!" error="Unesite cijeli broj od 0 do 9." sqref="D24:P24 D15:K15 D17:E17 L60:N60 D27:F27 H27:J27 L27:S27 U27:V27 D29:F29 H29:J29 L29:S29 U29:V29 D31:F31 H31:J31 L31:S31 U31:V31 D33:F33 H33:J33 L33:S33 U33:V33 D35:F35 H35:J35 L35:S35 U35:V35 D37:F37 H37:J37 L37:S37 U37:V37 D58:F58 H58:J58 L58:N58 D60:F60 H60:J60 G17:H17 D74:P74 D67:K67 D79:K79 D89:K89 D99:K99 D109:K109 D119:K119 D86:P86 D96:P96 D106:P106 D116:P116 D126:P126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1"/>
  <sheetViews>
    <sheetView showGridLines="0" showRowColHeaders="0" zoomScale="85" zoomScaleNormal="85" zoomScaleSheetLayoutView="100" workbookViewId="0">
      <pane ySplit="4" topLeftCell="A5" activePane="bottomLeft" state="frozen"/>
      <selection activeCell="D54" sqref="D54:H54"/>
      <selection pane="bottomLeft" activeCell="D97" sqref="D97:H97"/>
    </sheetView>
  </sheetViews>
  <sheetFormatPr defaultColWidth="0" defaultRowHeight="12.75" zeroHeight="1" x14ac:dyDescent="0.2"/>
  <cols>
    <col min="1" max="1" width="5.7109375" style="8" customWidth="1"/>
    <col min="2" max="2" width="4" style="8" hidden="1" customWidth="1"/>
    <col min="3" max="3" width="14.28515625" style="31" customWidth="1"/>
    <col min="4" max="8" width="14.28515625" style="17" customWidth="1"/>
    <col min="9" max="9" width="7.140625" style="33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4.7109375" style="8" hidden="1"/>
  </cols>
  <sheetData>
    <row r="1" spans="1:13" x14ac:dyDescent="0.2">
      <c r="C1" s="279"/>
      <c r="D1" s="280"/>
      <c r="E1" s="280"/>
      <c r="F1" s="280"/>
      <c r="G1" s="280"/>
      <c r="H1" s="280"/>
      <c r="I1" s="281"/>
      <c r="J1" s="21"/>
      <c r="K1" s="21"/>
      <c r="L1" s="21"/>
      <c r="M1" s="21"/>
    </row>
    <row r="2" spans="1:13" x14ac:dyDescent="0.2">
      <c r="C2" s="279"/>
      <c r="D2" s="280"/>
      <c r="E2" s="280"/>
      <c r="F2" s="280"/>
      <c r="G2" s="280"/>
      <c r="H2" s="280"/>
      <c r="I2" s="281"/>
      <c r="J2" s="21"/>
      <c r="K2" s="21"/>
      <c r="L2" s="21"/>
      <c r="M2" s="21"/>
    </row>
    <row r="3" spans="1:13" x14ac:dyDescent="0.2">
      <c r="C3" s="279"/>
      <c r="D3" s="280"/>
      <c r="E3" s="280"/>
      <c r="F3" s="280"/>
      <c r="G3" s="280"/>
      <c r="H3" s="280"/>
      <c r="I3" s="281"/>
      <c r="J3" s="21"/>
      <c r="K3" s="21"/>
      <c r="L3" s="21"/>
      <c r="M3" s="21"/>
    </row>
    <row r="4" spans="1:13" x14ac:dyDescent="0.2">
      <c r="C4" s="279"/>
      <c r="D4" s="280"/>
      <c r="E4" s="280"/>
      <c r="F4" s="280"/>
      <c r="G4" s="280"/>
      <c r="H4" s="280"/>
      <c r="I4" s="281"/>
      <c r="J4" s="21"/>
      <c r="K4" s="21"/>
      <c r="L4" s="21"/>
      <c r="M4" s="21"/>
    </row>
    <row r="5" spans="1:13" x14ac:dyDescent="0.2">
      <c r="A5" s="16"/>
      <c r="B5" s="16"/>
      <c r="C5" s="265" t="str">
        <f>Zaglavlje_MB</f>
        <v>Matični broj:</v>
      </c>
      <c r="D5" s="425" t="str">
        <f>Podatak_MB</f>
        <v>11029752</v>
      </c>
      <c r="E5" s="425"/>
      <c r="F5" s="266"/>
      <c r="G5" s="266"/>
      <c r="H5" s="266"/>
      <c r="I5" s="266"/>
      <c r="J5" s="266"/>
      <c r="K5" s="267" t="str">
        <f>Zaglavlje_Ziro_racun</f>
        <v>Žiro računi:</v>
      </c>
      <c r="L5" s="418" t="str">
        <f>Podatak_Ziro_racun_1</f>
        <v>161-000-01178100-03</v>
      </c>
      <c r="M5" s="418"/>
    </row>
    <row r="6" spans="1:13" x14ac:dyDescent="0.2">
      <c r="A6" s="16"/>
      <c r="B6" s="16"/>
      <c r="C6" s="265" t="str">
        <f>Zaglavlje_Sifra_djelatnosti</f>
        <v>Šifra djelatnosti:</v>
      </c>
      <c r="D6" s="425" t="str">
        <f>Podatak_Sifra_djelatnosti</f>
        <v>08.11</v>
      </c>
      <c r="E6" s="425"/>
      <c r="F6" s="268"/>
      <c r="G6" s="266"/>
      <c r="H6" s="266"/>
      <c r="I6" s="266"/>
      <c r="J6" s="266"/>
      <c r="K6" s="266"/>
      <c r="L6" s="418" t="str">
        <f>Podatak_Ziro_racun_2</f>
        <v>562-005-80690000-55</v>
      </c>
      <c r="M6" s="418"/>
    </row>
    <row r="7" spans="1:13" x14ac:dyDescent="0.2">
      <c r="A7" s="19"/>
      <c r="B7" s="19"/>
      <c r="C7" s="411" t="str">
        <f>Zaglavlje_Naziv_preduzeca</f>
        <v>Naziv privrednog društva, zadruge, drugog pravnog lica ili preduzetnika:</v>
      </c>
      <c r="D7" s="411"/>
      <c r="E7" s="411"/>
      <c r="F7" s="269"/>
      <c r="G7" s="266"/>
      <c r="H7" s="266"/>
      <c r="I7" s="266"/>
      <c r="J7" s="266"/>
      <c r="K7" s="266"/>
      <c r="L7" s="418" t="str">
        <f>Podatak_Ziro_racun_3</f>
        <v/>
      </c>
      <c r="M7" s="418"/>
    </row>
    <row r="8" spans="1:13" x14ac:dyDescent="0.2">
      <c r="A8" s="19"/>
      <c r="B8" s="19"/>
      <c r="C8" s="411"/>
      <c r="D8" s="411"/>
      <c r="E8" s="411"/>
      <c r="F8" s="269"/>
      <c r="G8" s="266"/>
      <c r="H8" s="266"/>
      <c r="I8" s="266"/>
      <c r="J8" s="266"/>
      <c r="K8" s="266"/>
      <c r="L8" s="418" t="str">
        <f>Podatak_Ziro_racun_4</f>
        <v/>
      </c>
      <c r="M8" s="418"/>
    </row>
    <row r="9" spans="1:13" x14ac:dyDescent="0.2">
      <c r="A9" s="16"/>
      <c r="B9" s="16"/>
      <c r="C9" s="421" t="str">
        <f>Podatak_Naziv_preduzeca</f>
        <v>RUDNIK KREČNJAKA CARMEUSE A.D. DOBOJ</v>
      </c>
      <c r="D9" s="421"/>
      <c r="E9" s="421"/>
      <c r="F9" s="421"/>
      <c r="G9" s="266"/>
      <c r="H9" s="266"/>
      <c r="I9" s="266"/>
      <c r="J9" s="266"/>
      <c r="K9" s="266"/>
      <c r="L9" s="418" t="str">
        <f>Podatak_Ziro_racun_5</f>
        <v/>
      </c>
      <c r="M9" s="418"/>
    </row>
    <row r="10" spans="1:13" x14ac:dyDescent="0.2">
      <c r="A10" s="16"/>
      <c r="B10" s="16"/>
      <c r="C10" s="265" t="str">
        <f>Zaglavlje_Sjediste</f>
        <v>Sjedište:</v>
      </c>
      <c r="D10" s="425" t="str">
        <f>Podatak_Sjediste</f>
        <v>Ševarlije 322</v>
      </c>
      <c r="E10" s="425"/>
      <c r="F10" s="265"/>
      <c r="G10" s="266"/>
      <c r="H10" s="266"/>
      <c r="I10" s="266"/>
      <c r="J10" s="266"/>
      <c r="K10" s="266"/>
      <c r="L10" s="418" t="str">
        <f>Podatak_Ziro_racun_6</f>
        <v/>
      </c>
      <c r="M10" s="418"/>
    </row>
    <row r="11" spans="1:13" x14ac:dyDescent="0.2">
      <c r="C11" s="265" t="str">
        <f>Zaglavlje_JIB</f>
        <v>JIB:</v>
      </c>
      <c r="D11" s="425" t="str">
        <f>Podatak_JIB</f>
        <v>4402748120004</v>
      </c>
      <c r="E11" s="425"/>
      <c r="F11" s="270"/>
      <c r="G11" s="270"/>
      <c r="H11" s="270"/>
      <c r="I11" s="271"/>
      <c r="J11" s="271"/>
      <c r="K11" s="270"/>
      <c r="L11" s="272"/>
      <c r="M11" s="272"/>
    </row>
    <row r="12" spans="1:13" ht="15.75" x14ac:dyDescent="0.2">
      <c r="C12" s="426" t="str">
        <f>Nazivi_bilansa_BS</f>
        <v>Bilans stanja</v>
      </c>
      <c r="D12" s="426"/>
      <c r="E12" s="426"/>
      <c r="F12" s="426"/>
      <c r="G12" s="426"/>
      <c r="H12" s="426"/>
      <c r="I12" s="426"/>
      <c r="J12" s="426"/>
      <c r="K12" s="426"/>
      <c r="L12" s="426"/>
      <c r="M12" s="426"/>
    </row>
    <row r="13" spans="1:13" x14ac:dyDescent="0.2">
      <c r="C13" s="427" t="str">
        <f>Nazivi_bilansa_BS1</f>
        <v>(Izvještaj o finansijskom položaju)</v>
      </c>
      <c r="D13" s="427"/>
      <c r="E13" s="427"/>
      <c r="F13" s="427"/>
      <c r="G13" s="427"/>
      <c r="H13" s="427"/>
      <c r="I13" s="427"/>
      <c r="J13" s="427"/>
      <c r="K13" s="427"/>
      <c r="L13" s="427"/>
      <c r="M13" s="427"/>
    </row>
    <row r="14" spans="1:13" x14ac:dyDescent="0.2">
      <c r="C14" s="427" t="str">
        <f>Datumi_Datum_BS</f>
        <v>na dan 31.12.2014. godine</v>
      </c>
      <c r="D14" s="427"/>
      <c r="E14" s="427"/>
      <c r="F14" s="427"/>
      <c r="G14" s="427"/>
      <c r="H14" s="427"/>
      <c r="I14" s="427"/>
      <c r="J14" s="427"/>
      <c r="K14" s="427"/>
      <c r="L14" s="427"/>
      <c r="M14" s="427"/>
    </row>
    <row r="15" spans="1:13" x14ac:dyDescent="0.2"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4" t="str">
        <f>Tabele_zaglavlje_Valuta</f>
        <v>- u konvertibilnim markama -</v>
      </c>
    </row>
    <row r="16" spans="1:13" x14ac:dyDescent="0.2">
      <c r="C16" s="381" t="str">
        <f>Tabele_zaglavlje_Grupa_racuna</f>
        <v>Grupa računa, račun</v>
      </c>
      <c r="D16" s="412" t="str">
        <f>Tabele_zaglavlje_Pozicija</f>
        <v>Pozicija</v>
      </c>
      <c r="E16" s="413"/>
      <c r="F16" s="413"/>
      <c r="G16" s="413"/>
      <c r="H16" s="414"/>
      <c r="I16" s="383" t="str">
        <f>Tabele_zaglavlje_Oznaka_aop</f>
        <v>Oznaka za AOP</v>
      </c>
      <c r="J16" s="420" t="str">
        <f>Tabele_zaglavlje_BS_iznos_tekuca</f>
        <v>Iznos na dan bilansa tekuće godine</v>
      </c>
      <c r="K16" s="420"/>
      <c r="L16" s="420"/>
      <c r="M16" s="419" t="str">
        <f>Tabele_zaglavlje_BS_iznos_prethodna</f>
        <v>Iznos na dan bilansa prethodne godine (PS)</v>
      </c>
    </row>
    <row r="17" spans="2:15" ht="38.25" customHeight="1" x14ac:dyDescent="0.2">
      <c r="C17" s="382"/>
      <c r="D17" s="415"/>
      <c r="E17" s="416"/>
      <c r="F17" s="416"/>
      <c r="G17" s="416"/>
      <c r="H17" s="417"/>
      <c r="I17" s="384"/>
      <c r="J17" s="25" t="str">
        <f>Tabele_zaglavlje_BS_bruto</f>
        <v>Bruto</v>
      </c>
      <c r="K17" s="26" t="str">
        <f>Tabele_zaglavlje_BS_ispravka</f>
        <v>Ispravka vrijednosti</v>
      </c>
      <c r="L17" s="26" t="str">
        <f>Tabele_zaglavlje_BS_neto</f>
        <v>Neto (4-5)</v>
      </c>
      <c r="M17" s="387"/>
      <c r="O17" s="278" t="s">
        <v>1862</v>
      </c>
    </row>
    <row r="18" spans="2:15" x14ac:dyDescent="0.2">
      <c r="B18" s="18" t="s">
        <v>810</v>
      </c>
      <c r="C18" s="27">
        <v>1</v>
      </c>
      <c r="D18" s="379">
        <v>2</v>
      </c>
      <c r="E18" s="400"/>
      <c r="F18" s="400"/>
      <c r="G18" s="400"/>
      <c r="H18" s="380"/>
      <c r="I18" s="28">
        <v>3</v>
      </c>
      <c r="J18" s="28">
        <v>4</v>
      </c>
      <c r="K18" s="28">
        <v>5</v>
      </c>
      <c r="L18" s="28">
        <v>6</v>
      </c>
      <c r="M18" s="29">
        <v>7</v>
      </c>
    </row>
    <row r="19" spans="2:15" x14ac:dyDescent="0.2">
      <c r="B19" s="18">
        <v>1</v>
      </c>
      <c r="C19" s="239">
        <f>VLOOKUP($B19,Aop!$A$2:$L$403,5,1)</f>
        <v>0</v>
      </c>
      <c r="D19" s="410" t="str">
        <f>VLOOKUP($B19,Aop!$A$2:$L$403,6,1)</f>
        <v>AKTIVA</v>
      </c>
      <c r="E19" s="410"/>
      <c r="F19" s="410"/>
      <c r="G19" s="410"/>
      <c r="H19" s="410"/>
      <c r="I19" s="240" t="str">
        <f>VLOOKUP($B19,Aop!$A$2:$L$403,4,1)</f>
        <v xml:space="preserve"> </v>
      </c>
      <c r="J19" s="240"/>
      <c r="K19" s="240"/>
      <c r="L19" s="240"/>
      <c r="M19" s="241"/>
    </row>
    <row r="20" spans="2:15" x14ac:dyDescent="0.2">
      <c r="B20" s="18">
        <v>2</v>
      </c>
      <c r="C20" s="242">
        <f>VLOOKUP($B20,Aop!$A$2:$L$403,5,1)</f>
        <v>0</v>
      </c>
      <c r="D20" s="372" t="str">
        <f>VLOOKUP($B20,Aop!$A$2:$L$403,6,1)</f>
        <v xml:space="preserve">  A. STALNA IMOVINA (002+008+015+021+030)</v>
      </c>
      <c r="E20" s="373"/>
      <c r="F20" s="373"/>
      <c r="G20" s="373"/>
      <c r="H20" s="374"/>
      <c r="I20" s="243">
        <f>VLOOKUP($B20,Aop!$A$2:$L$403,4,1)</f>
        <v>1</v>
      </c>
      <c r="J20" s="34">
        <f>SUM(J21,J27,J34,J40,J49)</f>
        <v>15591030</v>
      </c>
      <c r="K20" s="34">
        <f>SUM(K21,K27,K34,K40,K49)</f>
        <v>12012834</v>
      </c>
      <c r="L20" s="35">
        <f>SUM(J20,-K20)</f>
        <v>3578196</v>
      </c>
      <c r="M20" s="36">
        <f>SUM(M21,M27,M34,M40,M49)</f>
        <v>3779085</v>
      </c>
      <c r="O20" s="30"/>
    </row>
    <row r="21" spans="2:15" x14ac:dyDescent="0.2">
      <c r="B21" s="18">
        <v>3</v>
      </c>
      <c r="C21" s="244" t="str">
        <f>VLOOKUP($B21,Aop!$A$2:$L$403,5,1)</f>
        <v>01</v>
      </c>
      <c r="D21" s="388" t="str">
        <f>VLOOKUP($B21,Aop!$A$2:$L$403,6,1)</f>
        <v xml:space="preserve">    I  NEMATERIJALNA ULAGANJA (003 do 007)</v>
      </c>
      <c r="E21" s="389"/>
      <c r="F21" s="389"/>
      <c r="G21" s="389"/>
      <c r="H21" s="390"/>
      <c r="I21" s="245">
        <f>VLOOKUP($B21,Aop!$A$2:$L$403,4,1)</f>
        <v>2</v>
      </c>
      <c r="J21" s="37">
        <f>SUM(J22:J26)</f>
        <v>138534</v>
      </c>
      <c r="K21" s="37">
        <f>SUM(K22:K26)</f>
        <v>100119</v>
      </c>
      <c r="L21" s="38">
        <f t="shared" ref="L21:L83" si="0">SUM(J21,-K21)</f>
        <v>38415</v>
      </c>
      <c r="M21" s="39">
        <f>SUM(M22:M26)</f>
        <v>60615</v>
      </c>
      <c r="O21" s="30"/>
    </row>
    <row r="22" spans="2:15" x14ac:dyDescent="0.2">
      <c r="B22" s="18">
        <v>4</v>
      </c>
      <c r="C22" s="246" t="str">
        <f>VLOOKUP($B22,Aop!$A$2:$L$403,5,1)</f>
        <v>010</v>
      </c>
      <c r="D22" s="401" t="str">
        <f>VLOOKUP($B22,Aop!$A$2:$L$403,6,1)</f>
        <v xml:space="preserve">      1. Ulaganja u razvoj</v>
      </c>
      <c r="E22" s="402"/>
      <c r="F22" s="402"/>
      <c r="G22" s="402"/>
      <c r="H22" s="403"/>
      <c r="I22" s="247">
        <f>VLOOKUP($B22,Aop!$A$2:$L$403,4,1)</f>
        <v>3</v>
      </c>
      <c r="J22" s="304"/>
      <c r="K22" s="304"/>
      <c r="L22" s="296">
        <f t="shared" si="0"/>
        <v>0</v>
      </c>
      <c r="M22" s="305">
        <v>22576</v>
      </c>
      <c r="O22" s="30"/>
    </row>
    <row r="23" spans="2:15" x14ac:dyDescent="0.2">
      <c r="B23" s="18">
        <v>5</v>
      </c>
      <c r="C23" s="244" t="str">
        <f>VLOOKUP($B23,Aop!$A$2:$L$403,5,1)</f>
        <v>011</v>
      </c>
      <c r="D23" s="404" t="str">
        <f>VLOOKUP($B23,Aop!$A$2:$L$403,6,1)</f>
        <v xml:space="preserve">      2. Koncesije, patenti, licence i ostala prava</v>
      </c>
      <c r="E23" s="405"/>
      <c r="F23" s="405"/>
      <c r="G23" s="405"/>
      <c r="H23" s="406"/>
      <c r="I23" s="245">
        <f>VLOOKUP($B23,Aop!$A$2:$L$403,4,1)</f>
        <v>4</v>
      </c>
      <c r="J23" s="306">
        <v>45779</v>
      </c>
      <c r="K23" s="306">
        <v>16896</v>
      </c>
      <c r="L23" s="297">
        <f t="shared" si="0"/>
        <v>28883</v>
      </c>
      <c r="M23" s="307">
        <v>38039</v>
      </c>
      <c r="O23" s="30"/>
    </row>
    <row r="24" spans="2:15" x14ac:dyDescent="0.2">
      <c r="B24" s="18">
        <v>6</v>
      </c>
      <c r="C24" s="246" t="str">
        <f>VLOOKUP($B24,Aop!$A$2:$L$403,5,1)</f>
        <v>012</v>
      </c>
      <c r="D24" s="401" t="str">
        <f>VLOOKUP($B24,Aop!$A$2:$L$403,6,1)</f>
        <v xml:space="preserve">      3. Goodwill</v>
      </c>
      <c r="E24" s="402"/>
      <c r="F24" s="402"/>
      <c r="G24" s="402"/>
      <c r="H24" s="403"/>
      <c r="I24" s="247">
        <f>VLOOKUP($B24,Aop!$A$2:$L$403,4,1)</f>
        <v>5</v>
      </c>
      <c r="J24" s="304"/>
      <c r="K24" s="304"/>
      <c r="L24" s="298">
        <f t="shared" si="0"/>
        <v>0</v>
      </c>
      <c r="M24" s="305"/>
      <c r="O24" s="30"/>
    </row>
    <row r="25" spans="2:15" x14ac:dyDescent="0.2">
      <c r="B25" s="18">
        <v>7</v>
      </c>
      <c r="C25" s="244" t="str">
        <f>VLOOKUP($B25,Aop!$A$2:$L$403,5,1)</f>
        <v>014</v>
      </c>
      <c r="D25" s="404" t="str">
        <f>VLOOKUP($B25,Aop!$A$2:$L$403,6,1)</f>
        <v xml:space="preserve">      4. Ostala nematerijalna ulaganja</v>
      </c>
      <c r="E25" s="405"/>
      <c r="F25" s="405"/>
      <c r="G25" s="405"/>
      <c r="H25" s="406"/>
      <c r="I25" s="245">
        <f>VLOOKUP($B25,Aop!$A$2:$L$403,4,1)</f>
        <v>6</v>
      </c>
      <c r="J25" s="306">
        <v>92755</v>
      </c>
      <c r="K25" s="306">
        <v>83223</v>
      </c>
      <c r="L25" s="297">
        <f t="shared" si="0"/>
        <v>9532</v>
      </c>
      <c r="M25" s="307"/>
      <c r="O25" s="30"/>
    </row>
    <row r="26" spans="2:15" x14ac:dyDescent="0.2">
      <c r="B26" s="18">
        <v>8</v>
      </c>
      <c r="C26" s="246" t="str">
        <f>VLOOKUP($B26,Aop!$A$2:$L$403,5,1)</f>
        <v>015 i 016</v>
      </c>
      <c r="D26" s="401" t="str">
        <f>VLOOKUP($B26,Aop!$A$2:$L$403,6,1)</f>
        <v xml:space="preserve">      5. Avansi i nematerijalna ulaganja u pripremi</v>
      </c>
      <c r="E26" s="402"/>
      <c r="F26" s="402"/>
      <c r="G26" s="402"/>
      <c r="H26" s="403"/>
      <c r="I26" s="247">
        <f>VLOOKUP($B26,Aop!$A$2:$L$403,4,1)</f>
        <v>7</v>
      </c>
      <c r="J26" s="304"/>
      <c r="K26" s="304"/>
      <c r="L26" s="298">
        <f t="shared" si="0"/>
        <v>0</v>
      </c>
      <c r="M26" s="305"/>
      <c r="O26" s="30"/>
    </row>
    <row r="27" spans="2:15" x14ac:dyDescent="0.2">
      <c r="B27" s="18">
        <v>9</v>
      </c>
      <c r="C27" s="244" t="str">
        <f>VLOOKUP($B27,Aop!$A$2:$L$403,5,1)</f>
        <v>02</v>
      </c>
      <c r="D27" s="388" t="str">
        <f>VLOOKUP($B27,Aop!$A$2:$L$403,6,1)</f>
        <v xml:space="preserve">    II  NEKRETNINE, POSTROJENJA, OPREMA I INVESTICIONE NEKRETNINE
 (009 do 014)</v>
      </c>
      <c r="E27" s="389"/>
      <c r="F27" s="389"/>
      <c r="G27" s="389"/>
      <c r="H27" s="390"/>
      <c r="I27" s="245">
        <f>VLOOKUP($B27,Aop!$A$2:$L$403,4,1)</f>
        <v>8</v>
      </c>
      <c r="J27" s="37">
        <f>SUM(J28:J33)</f>
        <v>15452496</v>
      </c>
      <c r="K27" s="37">
        <f>SUM(K28:K33)</f>
        <v>11912715</v>
      </c>
      <c r="L27" s="37">
        <f t="shared" si="0"/>
        <v>3539781</v>
      </c>
      <c r="M27" s="39">
        <f>SUM(M28:M33)</f>
        <v>3718470</v>
      </c>
      <c r="O27" s="30"/>
    </row>
    <row r="28" spans="2:15" x14ac:dyDescent="0.2">
      <c r="B28" s="18">
        <v>10</v>
      </c>
      <c r="C28" s="246" t="str">
        <f>VLOOKUP($B28,Aop!$A$2:$L$403,5,1)</f>
        <v>020</v>
      </c>
      <c r="D28" s="401" t="str">
        <f>VLOOKUP($B28,Aop!$A$2:$L$403,6,1)</f>
        <v xml:space="preserve">      1. Zemljište</v>
      </c>
      <c r="E28" s="402"/>
      <c r="F28" s="402"/>
      <c r="G28" s="402"/>
      <c r="H28" s="403"/>
      <c r="I28" s="247">
        <f>VLOOKUP($B28,Aop!$A$2:$L$403,4,1)</f>
        <v>9</v>
      </c>
      <c r="J28" s="304">
        <v>400924</v>
      </c>
      <c r="K28" s="304"/>
      <c r="L28" s="298">
        <f t="shared" si="0"/>
        <v>400924</v>
      </c>
      <c r="M28" s="305">
        <v>400924</v>
      </c>
      <c r="O28" s="30"/>
    </row>
    <row r="29" spans="2:15" x14ac:dyDescent="0.2">
      <c r="B29" s="18">
        <v>11</v>
      </c>
      <c r="C29" s="244" t="str">
        <f>VLOOKUP($B29,Aop!$A$2:$L$403,5,1)</f>
        <v>021</v>
      </c>
      <c r="D29" s="404" t="str">
        <f>VLOOKUP($B29,Aop!$A$2:$L$403,6,1)</f>
        <v xml:space="preserve">      2. Građevinski objekti</v>
      </c>
      <c r="E29" s="405"/>
      <c r="F29" s="405"/>
      <c r="G29" s="405"/>
      <c r="H29" s="406"/>
      <c r="I29" s="245">
        <f>VLOOKUP($B29,Aop!$A$2:$L$403,4,1)</f>
        <v>10</v>
      </c>
      <c r="J29" s="306">
        <v>7393504</v>
      </c>
      <c r="K29" s="306">
        <v>6655838</v>
      </c>
      <c r="L29" s="297">
        <f t="shared" si="0"/>
        <v>737666</v>
      </c>
      <c r="M29" s="307">
        <v>1003434</v>
      </c>
      <c r="O29" s="30"/>
    </row>
    <row r="30" spans="2:15" x14ac:dyDescent="0.2">
      <c r="B30" s="18">
        <v>12</v>
      </c>
      <c r="C30" s="246" t="str">
        <f>VLOOKUP($B30,Aop!$A$2:$L$403,5,1)</f>
        <v>022</v>
      </c>
      <c r="D30" s="401" t="str">
        <f>VLOOKUP($B30,Aop!$A$2:$L$403,6,1)</f>
        <v xml:space="preserve">      3. Postrojenja i oprema</v>
      </c>
      <c r="E30" s="402"/>
      <c r="F30" s="402"/>
      <c r="G30" s="402"/>
      <c r="H30" s="403"/>
      <c r="I30" s="247">
        <f>VLOOKUP($B30,Aop!$A$2:$L$403,4,1)</f>
        <v>11</v>
      </c>
      <c r="J30" s="304">
        <v>7392233</v>
      </c>
      <c r="K30" s="304">
        <v>5130293</v>
      </c>
      <c r="L30" s="298">
        <f t="shared" si="0"/>
        <v>2261940</v>
      </c>
      <c r="M30" s="305">
        <v>2279450</v>
      </c>
      <c r="O30" s="30"/>
    </row>
    <row r="31" spans="2:15" x14ac:dyDescent="0.2">
      <c r="B31" s="18">
        <v>13</v>
      </c>
      <c r="C31" s="244" t="str">
        <f>VLOOKUP($B31,Aop!$A$2:$L$403,5,1)</f>
        <v>023</v>
      </c>
      <c r="D31" s="404" t="str">
        <f>VLOOKUP($B31,Aop!$A$2:$L$403,6,1)</f>
        <v xml:space="preserve">      4. Investicione nekretnine</v>
      </c>
      <c r="E31" s="405"/>
      <c r="F31" s="405"/>
      <c r="G31" s="405"/>
      <c r="H31" s="406"/>
      <c r="I31" s="245">
        <f>VLOOKUP($B31,Aop!$A$2:$L$403,4,1)</f>
        <v>12</v>
      </c>
      <c r="J31" s="306"/>
      <c r="K31" s="306"/>
      <c r="L31" s="297">
        <f t="shared" si="0"/>
        <v>0</v>
      </c>
      <c r="M31" s="307"/>
      <c r="O31" s="30"/>
    </row>
    <row r="32" spans="2:15" ht="25.5" x14ac:dyDescent="0.2">
      <c r="B32" s="18">
        <v>14</v>
      </c>
      <c r="C32" s="246" t="str">
        <f>VLOOKUP($B32,Aop!$A$2:$L$403,5,1)</f>
        <v>027 i 028</v>
      </c>
      <c r="D32" s="401" t="str">
        <f>VLOOKUP($B32,Aop!$A$2:$L$403,6,1)</f>
        <v xml:space="preserve">      5. Avansi i nekretnine, postrojenja, oprema i investicione nekretnine u pripremi</v>
      </c>
      <c r="E32" s="402"/>
      <c r="F32" s="402"/>
      <c r="G32" s="402"/>
      <c r="H32" s="403"/>
      <c r="I32" s="247">
        <f>VLOOKUP($B32,Aop!$A$2:$L$403,4,1)</f>
        <v>13</v>
      </c>
      <c r="J32" s="304">
        <v>109475</v>
      </c>
      <c r="K32" s="304"/>
      <c r="L32" s="298">
        <f t="shared" si="0"/>
        <v>109475</v>
      </c>
      <c r="M32" s="305">
        <v>7025</v>
      </c>
      <c r="O32" s="277" t="s">
        <v>1484</v>
      </c>
    </row>
    <row r="33" spans="2:15" x14ac:dyDescent="0.2">
      <c r="B33" s="18">
        <v>15</v>
      </c>
      <c r="C33" s="244" t="str">
        <f>VLOOKUP($B33,Aop!$A$2:$L$403,5,1)</f>
        <v>029</v>
      </c>
      <c r="D33" s="404" t="str">
        <f>VLOOKUP($B33,Aop!$A$2:$L$403,6,1)</f>
        <v xml:space="preserve">      6. Ulaganje na tuđim nekretninama, postrojenjima i opremi</v>
      </c>
      <c r="E33" s="405"/>
      <c r="F33" s="405"/>
      <c r="G33" s="405"/>
      <c r="H33" s="406"/>
      <c r="I33" s="245">
        <f>VLOOKUP($B33,Aop!$A$2:$L$403,4,1)</f>
        <v>14</v>
      </c>
      <c r="J33" s="306">
        <v>156360</v>
      </c>
      <c r="K33" s="306">
        <v>126584</v>
      </c>
      <c r="L33" s="297">
        <f t="shared" si="0"/>
        <v>29776</v>
      </c>
      <c r="M33" s="307">
        <v>27637</v>
      </c>
      <c r="O33" s="30"/>
    </row>
    <row r="34" spans="2:15" x14ac:dyDescent="0.2">
      <c r="B34" s="18">
        <v>16</v>
      </c>
      <c r="C34" s="246" t="str">
        <f>VLOOKUP($B34,Aop!$A$2:$L$403,5,1)</f>
        <v>03</v>
      </c>
      <c r="D34" s="391" t="str">
        <f>VLOOKUP($B34,Aop!$A$2:$L$403,6,1)</f>
        <v xml:space="preserve">    III  BIOLOŠKA SREDSTVA I  SREDSTVA KULTURE (016 do 020)</v>
      </c>
      <c r="E34" s="392"/>
      <c r="F34" s="392"/>
      <c r="G34" s="392"/>
      <c r="H34" s="393"/>
      <c r="I34" s="247">
        <f>VLOOKUP($B34,Aop!$A$2:$L$403,4,1)</f>
        <v>15</v>
      </c>
      <c r="J34" s="35">
        <f>SUM(J35:J39)</f>
        <v>0</v>
      </c>
      <c r="K34" s="35">
        <f>SUM(K35:K39)</f>
        <v>0</v>
      </c>
      <c r="L34" s="35">
        <f t="shared" si="0"/>
        <v>0</v>
      </c>
      <c r="M34" s="40">
        <f>SUM(M35:M39)</f>
        <v>0</v>
      </c>
      <c r="O34" s="30"/>
    </row>
    <row r="35" spans="2:15" x14ac:dyDescent="0.2">
      <c r="B35" s="18">
        <v>17</v>
      </c>
      <c r="C35" s="244" t="str">
        <f>VLOOKUP($B35,Aop!$A$2:$L$403,5,1)</f>
        <v>030</v>
      </c>
      <c r="D35" s="404" t="str">
        <f>VLOOKUP($B35,Aop!$A$2:$L$403,6,1)</f>
        <v xml:space="preserve">      1. Šume</v>
      </c>
      <c r="E35" s="405"/>
      <c r="F35" s="405"/>
      <c r="G35" s="405"/>
      <c r="H35" s="406"/>
      <c r="I35" s="245">
        <f>VLOOKUP($B35,Aop!$A$2:$L$403,4,1)</f>
        <v>16</v>
      </c>
      <c r="J35" s="306"/>
      <c r="K35" s="306"/>
      <c r="L35" s="297">
        <f t="shared" si="0"/>
        <v>0</v>
      </c>
      <c r="M35" s="307"/>
      <c r="O35" s="30"/>
    </row>
    <row r="36" spans="2:15" x14ac:dyDescent="0.2">
      <c r="B36" s="18">
        <v>18</v>
      </c>
      <c r="C36" s="246" t="str">
        <f>VLOOKUP($B36,Aop!$A$2:$L$403,5,1)</f>
        <v>031</v>
      </c>
      <c r="D36" s="401" t="str">
        <f>VLOOKUP($B36,Aop!$A$2:$L$403,6,1)</f>
        <v xml:space="preserve">      2. Višegodišnji zasadi</v>
      </c>
      <c r="E36" s="402"/>
      <c r="F36" s="402"/>
      <c r="G36" s="402"/>
      <c r="H36" s="403"/>
      <c r="I36" s="247">
        <f>VLOOKUP($B36,Aop!$A$2:$L$403,4,1)</f>
        <v>17</v>
      </c>
      <c r="J36" s="304"/>
      <c r="K36" s="304"/>
      <c r="L36" s="298">
        <f t="shared" si="0"/>
        <v>0</v>
      </c>
      <c r="M36" s="305"/>
      <c r="O36" s="30"/>
    </row>
    <row r="37" spans="2:15" x14ac:dyDescent="0.2">
      <c r="B37" s="18">
        <v>19</v>
      </c>
      <c r="C37" s="244" t="str">
        <f>VLOOKUP($B37,Aop!$A$2:$L$403,5,1)</f>
        <v>032</v>
      </c>
      <c r="D37" s="404" t="str">
        <f>VLOOKUP($B37,Aop!$A$2:$L$403,6,1)</f>
        <v xml:space="preserve">      3. Osnovno stado</v>
      </c>
      <c r="E37" s="405"/>
      <c r="F37" s="405"/>
      <c r="G37" s="405"/>
      <c r="H37" s="406"/>
      <c r="I37" s="245">
        <f>VLOOKUP($B37,Aop!$A$2:$L$403,4,1)</f>
        <v>18</v>
      </c>
      <c r="J37" s="306"/>
      <c r="K37" s="306"/>
      <c r="L37" s="297">
        <f t="shared" si="0"/>
        <v>0</v>
      </c>
      <c r="M37" s="307"/>
      <c r="O37" s="30"/>
    </row>
    <row r="38" spans="2:15" x14ac:dyDescent="0.2">
      <c r="B38" s="18">
        <v>20</v>
      </c>
      <c r="C38" s="246" t="str">
        <f>VLOOKUP($B38,Aop!$A$2:$L$403,5,1)</f>
        <v>033</v>
      </c>
      <c r="D38" s="401" t="str">
        <f>VLOOKUP($B38,Aop!$A$2:$L$403,6,1)</f>
        <v xml:space="preserve">      4. Sredstva kulture</v>
      </c>
      <c r="E38" s="402"/>
      <c r="F38" s="402"/>
      <c r="G38" s="402"/>
      <c r="H38" s="403"/>
      <c r="I38" s="247">
        <f>VLOOKUP($B38,Aop!$A$2:$L$403,4,1)</f>
        <v>19</v>
      </c>
      <c r="J38" s="304"/>
      <c r="K38" s="304"/>
      <c r="L38" s="298">
        <f t="shared" si="0"/>
        <v>0</v>
      </c>
      <c r="M38" s="305"/>
      <c r="O38" s="30"/>
    </row>
    <row r="39" spans="2:15" ht="25.5" x14ac:dyDescent="0.2">
      <c r="B39" s="18">
        <v>21</v>
      </c>
      <c r="C39" s="244" t="str">
        <f>VLOOKUP($B39,Aop!$A$2:$L$403,5,1)</f>
        <v>038 i 039</v>
      </c>
      <c r="D39" s="404" t="str">
        <f>VLOOKUP($B39,Aop!$A$2:$L$403,6,1)</f>
        <v xml:space="preserve">      5. Avansi i biološka sredstva i sredstva kulture u pripremi</v>
      </c>
      <c r="E39" s="405"/>
      <c r="F39" s="405"/>
      <c r="G39" s="405"/>
      <c r="H39" s="406"/>
      <c r="I39" s="245">
        <f>VLOOKUP($B39,Aop!$A$2:$L$403,4,1)</f>
        <v>20</v>
      </c>
      <c r="J39" s="306"/>
      <c r="K39" s="306"/>
      <c r="L39" s="297">
        <f t="shared" si="0"/>
        <v>0</v>
      </c>
      <c r="M39" s="307"/>
      <c r="O39" s="277" t="s">
        <v>1484</v>
      </c>
    </row>
    <row r="40" spans="2:15" x14ac:dyDescent="0.2">
      <c r="B40" s="18">
        <v>22</v>
      </c>
      <c r="C40" s="246" t="str">
        <f>VLOOKUP($B40,Aop!$A$2:$L$403,5,1)</f>
        <v>04</v>
      </c>
      <c r="D40" s="391" t="str">
        <f>VLOOKUP($B40,Aop!$A$2:$L$403,6,1)</f>
        <v xml:space="preserve">    IV  DUGOROČNI FINANSIJSKI PLASMANI (022 do 029)</v>
      </c>
      <c r="E40" s="392"/>
      <c r="F40" s="392"/>
      <c r="G40" s="392"/>
      <c r="H40" s="393"/>
      <c r="I40" s="247">
        <f>VLOOKUP($B40,Aop!$A$2:$L$403,4,1)</f>
        <v>21</v>
      </c>
      <c r="J40" s="35">
        <f>SUM(J41:J48)</f>
        <v>0</v>
      </c>
      <c r="K40" s="35">
        <f>SUM(K41:K48)</f>
        <v>0</v>
      </c>
      <c r="L40" s="35">
        <f t="shared" si="0"/>
        <v>0</v>
      </c>
      <c r="M40" s="40">
        <f>SUM(M41:M48)</f>
        <v>0</v>
      </c>
      <c r="O40" s="30"/>
    </row>
    <row r="41" spans="2:15" x14ac:dyDescent="0.2">
      <c r="B41" s="18">
        <v>23</v>
      </c>
      <c r="C41" s="244" t="str">
        <f>VLOOKUP($B41,Aop!$A$2:$L$403,5,1)</f>
        <v>040, dio 049</v>
      </c>
      <c r="D41" s="404" t="str">
        <f>VLOOKUP($B41,Aop!$A$2:$L$403,6,1)</f>
        <v xml:space="preserve">      1. Učešće u kapitalu zavisnih pravnih lica</v>
      </c>
      <c r="E41" s="405"/>
      <c r="F41" s="405"/>
      <c r="G41" s="405"/>
      <c r="H41" s="406"/>
      <c r="I41" s="245">
        <f>VLOOKUP($B41,Aop!$A$2:$L$403,4,1)</f>
        <v>22</v>
      </c>
      <c r="J41" s="306"/>
      <c r="K41" s="306"/>
      <c r="L41" s="297">
        <f t="shared" si="0"/>
        <v>0</v>
      </c>
      <c r="M41" s="307"/>
      <c r="O41" s="30"/>
    </row>
    <row r="42" spans="2:15" x14ac:dyDescent="0.2">
      <c r="B42" s="18">
        <v>24</v>
      </c>
      <c r="C42" s="246" t="str">
        <f>VLOOKUP($B42,Aop!$A$2:$L$403,5,1)</f>
        <v>041, dio 049</v>
      </c>
      <c r="D42" s="401" t="str">
        <f>VLOOKUP($B42,Aop!$A$2:$L$403,6,1)</f>
        <v xml:space="preserve">      2. Učešće u kapitalu drugih pravnih lica</v>
      </c>
      <c r="E42" s="402"/>
      <c r="F42" s="402"/>
      <c r="G42" s="402"/>
      <c r="H42" s="403"/>
      <c r="I42" s="247">
        <f>VLOOKUP($B42,Aop!$A$2:$L$403,4,1)</f>
        <v>23</v>
      </c>
      <c r="J42" s="304"/>
      <c r="K42" s="304"/>
      <c r="L42" s="298">
        <f t="shared" si="0"/>
        <v>0</v>
      </c>
      <c r="M42" s="305"/>
      <c r="O42" s="30"/>
    </row>
    <row r="43" spans="2:15" x14ac:dyDescent="0.2">
      <c r="B43" s="18">
        <v>25</v>
      </c>
      <c r="C43" s="244" t="str">
        <f>VLOOKUP($B43,Aop!$A$2:$L$403,5,1)</f>
        <v>042, dio 049</v>
      </c>
      <c r="D43" s="404" t="str">
        <f>VLOOKUP($B43,Aop!$A$2:$L$403,6,1)</f>
        <v xml:space="preserve">      3. Dugoročni krediti povezanim pravnim licima</v>
      </c>
      <c r="E43" s="405"/>
      <c r="F43" s="405"/>
      <c r="G43" s="405"/>
      <c r="H43" s="406"/>
      <c r="I43" s="245">
        <f>VLOOKUP($B43,Aop!$A$2:$L$403,4,1)</f>
        <v>24</v>
      </c>
      <c r="J43" s="306"/>
      <c r="K43" s="306"/>
      <c r="L43" s="297">
        <f t="shared" si="0"/>
        <v>0</v>
      </c>
      <c r="M43" s="307"/>
      <c r="O43" s="30"/>
    </row>
    <row r="44" spans="2:15" x14ac:dyDescent="0.2">
      <c r="B44" s="18">
        <v>26</v>
      </c>
      <c r="C44" s="246" t="str">
        <f>VLOOKUP($B44,Aop!$A$2:$L$403,5,1)</f>
        <v>043, dio 049</v>
      </c>
      <c r="D44" s="401" t="str">
        <f>VLOOKUP($B44,Aop!$A$2:$L$403,6,1)</f>
        <v xml:space="preserve">      4. Dugoročni krediti u zemlji</v>
      </c>
      <c r="E44" s="402"/>
      <c r="F44" s="402"/>
      <c r="G44" s="402"/>
      <c r="H44" s="403"/>
      <c r="I44" s="247">
        <f>VLOOKUP($B44,Aop!$A$2:$L$403,4,1)</f>
        <v>25</v>
      </c>
      <c r="J44" s="304"/>
      <c r="K44" s="304"/>
      <c r="L44" s="298">
        <f t="shared" si="0"/>
        <v>0</v>
      </c>
      <c r="M44" s="305"/>
      <c r="O44" s="30"/>
    </row>
    <row r="45" spans="2:15" x14ac:dyDescent="0.2">
      <c r="B45" s="18">
        <v>27</v>
      </c>
      <c r="C45" s="244" t="str">
        <f>VLOOKUP($B45,Aop!$A$2:$L$403,5,1)</f>
        <v>044, dio 049</v>
      </c>
      <c r="D45" s="404" t="str">
        <f>VLOOKUP($B45,Aop!$A$2:$L$403,6,1)</f>
        <v xml:space="preserve">      5. Dugoročni krediti u inostranstvu</v>
      </c>
      <c r="E45" s="405"/>
      <c r="F45" s="405"/>
      <c r="G45" s="405"/>
      <c r="H45" s="406"/>
      <c r="I45" s="245">
        <f>VLOOKUP($B45,Aop!$A$2:$L$403,4,1)</f>
        <v>26</v>
      </c>
      <c r="J45" s="306"/>
      <c r="K45" s="306"/>
      <c r="L45" s="297">
        <f t="shared" si="0"/>
        <v>0</v>
      </c>
      <c r="M45" s="307"/>
      <c r="O45" s="30"/>
    </row>
    <row r="46" spans="2:15" x14ac:dyDescent="0.2">
      <c r="B46" s="18">
        <v>28</v>
      </c>
      <c r="C46" s="246" t="str">
        <f>VLOOKUP($B46,Aop!$A$2:$L$403,5,1)</f>
        <v>045, dio 049</v>
      </c>
      <c r="D46" s="401" t="str">
        <f>VLOOKUP($B46,Aop!$A$2:$L$403,6,1)</f>
        <v xml:space="preserve">      6. Finansijska sredstva raspoloživa za prodaju</v>
      </c>
      <c r="E46" s="402"/>
      <c r="F46" s="402"/>
      <c r="G46" s="402"/>
      <c r="H46" s="403"/>
      <c r="I46" s="247">
        <f>VLOOKUP($B46,Aop!$A$2:$L$403,4,1)</f>
        <v>27</v>
      </c>
      <c r="J46" s="304"/>
      <c r="K46" s="304"/>
      <c r="L46" s="298">
        <f t="shared" si="0"/>
        <v>0</v>
      </c>
      <c r="M46" s="305"/>
      <c r="O46" s="30"/>
    </row>
    <row r="47" spans="2:15" x14ac:dyDescent="0.2">
      <c r="B47" s="18">
        <v>29</v>
      </c>
      <c r="C47" s="244" t="str">
        <f>VLOOKUP($B47,Aop!$A$2:$L$403,5,1)</f>
        <v>046, dio 049</v>
      </c>
      <c r="D47" s="404" t="str">
        <f>VLOOKUP($B47,Aop!$A$2:$L$403,6,1)</f>
        <v xml:space="preserve">      7. Finansijska sredstva koja se drže do roka dospijeća</v>
      </c>
      <c r="E47" s="405"/>
      <c r="F47" s="405"/>
      <c r="G47" s="405"/>
      <c r="H47" s="406"/>
      <c r="I47" s="245">
        <f>VLOOKUP($B47,Aop!$A$2:$L$403,4,1)</f>
        <v>28</v>
      </c>
      <c r="J47" s="306"/>
      <c r="K47" s="306"/>
      <c r="L47" s="297">
        <f t="shared" si="0"/>
        <v>0</v>
      </c>
      <c r="M47" s="307"/>
      <c r="O47" s="30"/>
    </row>
    <row r="48" spans="2:15" x14ac:dyDescent="0.2">
      <c r="B48" s="18">
        <v>30</v>
      </c>
      <c r="C48" s="246" t="str">
        <f>VLOOKUP($B48,Aop!$A$2:$L$403,5,1)</f>
        <v>048, dio 049</v>
      </c>
      <c r="D48" s="401" t="str">
        <f>VLOOKUP($B48,Aop!$A$2:$L$403,6,1)</f>
        <v xml:space="preserve">      8. Ostali dugoročni finansijski plasmani</v>
      </c>
      <c r="E48" s="402"/>
      <c r="F48" s="402"/>
      <c r="G48" s="402"/>
      <c r="H48" s="403"/>
      <c r="I48" s="247">
        <f>VLOOKUP($B48,Aop!$A$2:$L$403,4,1)</f>
        <v>29</v>
      </c>
      <c r="J48" s="304"/>
      <c r="K48" s="304"/>
      <c r="L48" s="298">
        <f t="shared" si="0"/>
        <v>0</v>
      </c>
      <c r="M48" s="305"/>
      <c r="O48" s="30"/>
    </row>
    <row r="49" spans="2:15" x14ac:dyDescent="0.2">
      <c r="B49" s="18">
        <v>31</v>
      </c>
      <c r="C49" s="244" t="str">
        <f>VLOOKUP($B49,Aop!$A$2:$L$403,5,1)</f>
        <v>050</v>
      </c>
      <c r="D49" s="388" t="str">
        <f>VLOOKUP($B49,Aop!$A$2:$L$403,6,1)</f>
        <v xml:space="preserve">    V  ODLOŽENA PORESKA SREDSTVA</v>
      </c>
      <c r="E49" s="389"/>
      <c r="F49" s="389"/>
      <c r="G49" s="389"/>
      <c r="H49" s="390"/>
      <c r="I49" s="245">
        <f>VLOOKUP($B49,Aop!$A$2:$L$403,4,1)</f>
        <v>30</v>
      </c>
      <c r="J49" s="101"/>
      <c r="K49" s="101"/>
      <c r="L49" s="37">
        <f t="shared" si="0"/>
        <v>0</v>
      </c>
      <c r="M49" s="102"/>
      <c r="O49" s="30"/>
    </row>
    <row r="50" spans="2:15" x14ac:dyDescent="0.2">
      <c r="B50" s="18">
        <v>32</v>
      </c>
      <c r="C50" s="246">
        <f>VLOOKUP($B50,Aop!$A$2:$L$403,5,1)</f>
        <v>0</v>
      </c>
      <c r="D50" s="391" t="str">
        <f>VLOOKUP($B50,Aop!$A$2:$L$403,6,1)</f>
        <v xml:space="preserve">  B. TEKUĆA IMOVINA (032+039+060)</v>
      </c>
      <c r="E50" s="392"/>
      <c r="F50" s="392"/>
      <c r="G50" s="392"/>
      <c r="H50" s="393"/>
      <c r="I50" s="247">
        <f>VLOOKUP($B50,Aop!$A$2:$L$403,4,1)</f>
        <v>31</v>
      </c>
      <c r="J50" s="35">
        <f>SUM(J51,J58,J79)</f>
        <v>4322299</v>
      </c>
      <c r="K50" s="35">
        <f>SUM(K51,K58,K79)</f>
        <v>466186</v>
      </c>
      <c r="L50" s="35">
        <f t="shared" si="0"/>
        <v>3856113</v>
      </c>
      <c r="M50" s="40">
        <f>SUM(M51,M58,M79)</f>
        <v>2720495</v>
      </c>
      <c r="O50" s="30"/>
    </row>
    <row r="51" spans="2:15" ht="25.5" x14ac:dyDescent="0.2">
      <c r="B51" s="18">
        <v>33</v>
      </c>
      <c r="C51" s="244" t="str">
        <f>VLOOKUP($B51,Aop!$A$2:$L$403,5,1)</f>
        <v>10 do 15</v>
      </c>
      <c r="D51" s="388" t="str">
        <f>VLOOKUP($B51,Aop!$A$2:$L$403,6,1)</f>
        <v xml:space="preserve">    I  ZALIHE, STALNA SREDSTVA I SREDSTVA OBUSTAVLJENOG POSLOVANJA NAMIJENJENA PRODAJI (033 do 038)</v>
      </c>
      <c r="E51" s="389"/>
      <c r="F51" s="389"/>
      <c r="G51" s="389"/>
      <c r="H51" s="390"/>
      <c r="I51" s="245">
        <f>VLOOKUP($B51,Aop!$A$2:$L$403,4,1)</f>
        <v>32</v>
      </c>
      <c r="J51" s="37">
        <f>SUM(J52:J57)</f>
        <v>1636644</v>
      </c>
      <c r="K51" s="37">
        <f>SUM(K52:K57)</f>
        <v>127520</v>
      </c>
      <c r="L51" s="37">
        <f t="shared" si="0"/>
        <v>1509124</v>
      </c>
      <c r="M51" s="39">
        <f>SUM(M52:M57)</f>
        <v>2117037</v>
      </c>
      <c r="O51" s="277" t="s">
        <v>1484</v>
      </c>
    </row>
    <row r="52" spans="2:15" x14ac:dyDescent="0.2">
      <c r="B52" s="18">
        <v>34</v>
      </c>
      <c r="C52" s="246" t="str">
        <f>VLOOKUP($B52,Aop!$A$2:$L$403,5,1)</f>
        <v>100 do 109</v>
      </c>
      <c r="D52" s="401" t="str">
        <f>VLOOKUP($B52,Aop!$A$2:$L$403,6,1)</f>
        <v xml:space="preserve">      1. Zalihe materijala</v>
      </c>
      <c r="E52" s="402"/>
      <c r="F52" s="402"/>
      <c r="G52" s="402"/>
      <c r="H52" s="403"/>
      <c r="I52" s="247">
        <f>VLOOKUP($B52,Aop!$A$2:$L$403,4,1)</f>
        <v>33</v>
      </c>
      <c r="J52" s="304">
        <v>228764</v>
      </c>
      <c r="K52" s="304">
        <v>127520</v>
      </c>
      <c r="L52" s="298">
        <f t="shared" si="0"/>
        <v>101244</v>
      </c>
      <c r="M52" s="305">
        <v>83516</v>
      </c>
      <c r="O52" s="30"/>
    </row>
    <row r="53" spans="2:15" x14ac:dyDescent="0.2">
      <c r="B53" s="18">
        <v>35</v>
      </c>
      <c r="C53" s="244" t="str">
        <f>VLOOKUP($B53,Aop!$A$2:$L$403,5,1)</f>
        <v>110 do 112</v>
      </c>
      <c r="D53" s="404" t="str">
        <f>VLOOKUP($B53,Aop!$A$2:$L$403,6,1)</f>
        <v xml:space="preserve">      2. Zalihe nedovršene proizvodnje, poluproizvoda i nedovršenih usluga</v>
      </c>
      <c r="E53" s="405"/>
      <c r="F53" s="405"/>
      <c r="G53" s="405"/>
      <c r="H53" s="406"/>
      <c r="I53" s="245">
        <f>VLOOKUP($B53,Aop!$A$2:$L$403,4,1)</f>
        <v>34</v>
      </c>
      <c r="J53" s="306"/>
      <c r="K53" s="306"/>
      <c r="L53" s="297">
        <f t="shared" si="0"/>
        <v>0</v>
      </c>
      <c r="M53" s="307"/>
      <c r="O53" s="30"/>
    </row>
    <row r="54" spans="2:15" x14ac:dyDescent="0.2">
      <c r="B54" s="18">
        <v>36</v>
      </c>
      <c r="C54" s="246">
        <f>VLOOKUP($B54,Aop!$A$2:$L$403,5,1)</f>
        <v>120</v>
      </c>
      <c r="D54" s="401" t="str">
        <f>VLOOKUP($B54,Aop!$A$2:$L$403,6,1)</f>
        <v xml:space="preserve">      3. Zalihe gotovih proizvoda</v>
      </c>
      <c r="E54" s="402"/>
      <c r="F54" s="402"/>
      <c r="G54" s="402"/>
      <c r="H54" s="403"/>
      <c r="I54" s="247">
        <f>VLOOKUP($B54,Aop!$A$2:$L$403,4,1)</f>
        <v>35</v>
      </c>
      <c r="J54" s="304">
        <v>1399514</v>
      </c>
      <c r="K54" s="304"/>
      <c r="L54" s="298">
        <f t="shared" si="0"/>
        <v>1399514</v>
      </c>
      <c r="M54" s="305">
        <v>2009504</v>
      </c>
      <c r="O54" s="30"/>
    </row>
    <row r="55" spans="2:15" x14ac:dyDescent="0.2">
      <c r="B55" s="18">
        <v>37</v>
      </c>
      <c r="C55" s="244" t="str">
        <f>VLOOKUP($B55,Aop!$A$2:$L$403,5,1)</f>
        <v>130 do 139</v>
      </c>
      <c r="D55" s="404" t="str">
        <f>VLOOKUP($B55,Aop!$A$2:$L$403,6,1)</f>
        <v xml:space="preserve">      4. Zalihe robe</v>
      </c>
      <c r="E55" s="405"/>
      <c r="F55" s="405"/>
      <c r="G55" s="405"/>
      <c r="H55" s="406"/>
      <c r="I55" s="245">
        <f>VLOOKUP($B55,Aop!$A$2:$L$403,4,1)</f>
        <v>36</v>
      </c>
      <c r="J55" s="306"/>
      <c r="K55" s="306"/>
      <c r="L55" s="297">
        <f t="shared" si="0"/>
        <v>0</v>
      </c>
      <c r="M55" s="307">
        <v>32</v>
      </c>
      <c r="O55" s="30"/>
    </row>
    <row r="56" spans="2:15" x14ac:dyDescent="0.2">
      <c r="B56" s="18">
        <v>38</v>
      </c>
      <c r="C56" s="246" t="str">
        <f>VLOOKUP($B56,Aop!$A$2:$L$403,5,1)</f>
        <v>140 do 149</v>
      </c>
      <c r="D56" s="401" t="str">
        <f>VLOOKUP($B56,Aop!$A$2:$L$403,6,1)</f>
        <v xml:space="preserve">      5. Stalna sredstva i sredstva obustavljenog poslovanja namijenjena prodaji</v>
      </c>
      <c r="E56" s="402"/>
      <c r="F56" s="402"/>
      <c r="G56" s="402"/>
      <c r="H56" s="403"/>
      <c r="I56" s="247">
        <f>VLOOKUP($B56,Aop!$A$2:$L$403,4,1)</f>
        <v>37</v>
      </c>
      <c r="J56" s="304"/>
      <c r="K56" s="304"/>
      <c r="L56" s="298">
        <f t="shared" si="0"/>
        <v>0</v>
      </c>
      <c r="M56" s="305"/>
      <c r="O56" s="30"/>
    </row>
    <row r="57" spans="2:15" x14ac:dyDescent="0.2">
      <c r="B57" s="18">
        <v>39</v>
      </c>
      <c r="C57" s="244" t="str">
        <f>VLOOKUP($B57,Aop!$A$2:$L$403,5,1)</f>
        <v>150 do 159</v>
      </c>
      <c r="D57" s="404" t="str">
        <f>VLOOKUP($B57,Aop!$A$2:$L$403,6,1)</f>
        <v xml:space="preserve">      6. Dati avansi</v>
      </c>
      <c r="E57" s="405"/>
      <c r="F57" s="405"/>
      <c r="G57" s="405"/>
      <c r="H57" s="406"/>
      <c r="I57" s="245">
        <f>VLOOKUP($B57,Aop!$A$2:$L$403,4,1)</f>
        <v>38</v>
      </c>
      <c r="J57" s="306">
        <v>8366</v>
      </c>
      <c r="K57" s="306"/>
      <c r="L57" s="297">
        <f t="shared" si="0"/>
        <v>8366</v>
      </c>
      <c r="M57" s="307">
        <v>23985</v>
      </c>
      <c r="O57" s="30"/>
    </row>
    <row r="58" spans="2:15" x14ac:dyDescent="0.2">
      <c r="B58" s="18">
        <v>40</v>
      </c>
      <c r="C58" s="246">
        <f>VLOOKUP($B58,Aop!$A$2:$L$403,5,1)</f>
        <v>0</v>
      </c>
      <c r="D58" s="391" t="str">
        <f>VLOOKUP($B58,Aop!$A$2:$L$403,6,1)</f>
        <v xml:space="preserve">    II  KRATKOROČNA POTRAŽIVANJA, PLASMANI I GOTOVINA (040+046+055+058+059)</v>
      </c>
      <c r="E58" s="392"/>
      <c r="F58" s="392"/>
      <c r="G58" s="392"/>
      <c r="H58" s="393"/>
      <c r="I58" s="247">
        <f>VLOOKUP($B58,Aop!$A$2:$L$403,4,1)</f>
        <v>39</v>
      </c>
      <c r="J58" s="35">
        <f>SUM(J59,J65,J74,J77,J78)</f>
        <v>2685655</v>
      </c>
      <c r="K58" s="35">
        <f>SUM(K59,K65,K74,K77,K78)</f>
        <v>338666</v>
      </c>
      <c r="L58" s="35">
        <f t="shared" si="0"/>
        <v>2346989</v>
      </c>
      <c r="M58" s="40">
        <f>SUM(M59,M65,M74,M77,M78)</f>
        <v>603458</v>
      </c>
      <c r="O58" s="30"/>
    </row>
    <row r="59" spans="2:15" s="30" customFormat="1" x14ac:dyDescent="0.2">
      <c r="B59" s="18">
        <v>41</v>
      </c>
      <c r="C59" s="244" t="str">
        <f>VLOOKUP($B59,Aop!$A$2:$L$403,5,1)</f>
        <v>20, 21, 22</v>
      </c>
      <c r="D59" s="404" t="str">
        <f>VLOOKUP($B59,Aop!$A$2:$L$403,6,1)</f>
        <v xml:space="preserve">      1. Kratkoročna potraživanja (041 do 045)</v>
      </c>
      <c r="E59" s="405"/>
      <c r="F59" s="405"/>
      <c r="G59" s="405"/>
      <c r="H59" s="406"/>
      <c r="I59" s="245">
        <f>VLOOKUP($B59,Aop!$A$2:$L$403,4,1)</f>
        <v>40</v>
      </c>
      <c r="J59" s="297">
        <f>SUM(J60:J64)</f>
        <v>1840390</v>
      </c>
      <c r="K59" s="297">
        <f>SUM(K60:K64)</f>
        <v>338666</v>
      </c>
      <c r="L59" s="297">
        <f t="shared" si="0"/>
        <v>1501724</v>
      </c>
      <c r="M59" s="303">
        <f>SUM(M60:M64)</f>
        <v>521949</v>
      </c>
    </row>
    <row r="60" spans="2:15" x14ac:dyDescent="0.2">
      <c r="B60" s="18">
        <v>42</v>
      </c>
      <c r="C60" s="246" t="str">
        <f>VLOOKUP($B60,Aop!$A$2:$L$403,5,1)</f>
        <v>200, dio 209</v>
      </c>
      <c r="D60" s="401" t="str">
        <f>VLOOKUP($B60,Aop!$A$2:$L$403,6,1)</f>
        <v xml:space="preserve">        a) Kupci–povezana pravna lica</v>
      </c>
      <c r="E60" s="402"/>
      <c r="F60" s="402"/>
      <c r="G60" s="402"/>
      <c r="H60" s="403"/>
      <c r="I60" s="247">
        <f>VLOOKUP($B60,Aop!$A$2:$L$403,4,1)</f>
        <v>41</v>
      </c>
      <c r="J60" s="304">
        <v>443352</v>
      </c>
      <c r="K60" s="304"/>
      <c r="L60" s="298">
        <f t="shared" si="0"/>
        <v>443352</v>
      </c>
      <c r="M60" s="305">
        <v>270917</v>
      </c>
      <c r="O60" s="30"/>
    </row>
    <row r="61" spans="2:15" x14ac:dyDescent="0.2">
      <c r="B61" s="18">
        <v>43</v>
      </c>
      <c r="C61" s="244" t="str">
        <f>VLOOKUP($B61,Aop!$A$2:$L$403,5,1)</f>
        <v>201, dio 209</v>
      </c>
      <c r="D61" s="404" t="str">
        <f>VLOOKUP($B61,Aop!$A$2:$L$403,6,1)</f>
        <v xml:space="preserve">        b) Kupci u zemlji</v>
      </c>
      <c r="E61" s="405"/>
      <c r="F61" s="405"/>
      <c r="G61" s="405"/>
      <c r="H61" s="406"/>
      <c r="I61" s="245">
        <f>VLOOKUP($B61,Aop!$A$2:$L$403,4,1)</f>
        <v>42</v>
      </c>
      <c r="J61" s="306">
        <v>1294085</v>
      </c>
      <c r="K61" s="306">
        <v>338666</v>
      </c>
      <c r="L61" s="297">
        <f t="shared" si="0"/>
        <v>955419</v>
      </c>
      <c r="M61" s="307">
        <v>189507</v>
      </c>
      <c r="O61" s="30"/>
    </row>
    <row r="62" spans="2:15" x14ac:dyDescent="0.2">
      <c r="B62" s="18">
        <v>44</v>
      </c>
      <c r="C62" s="246" t="str">
        <f>VLOOKUP($B62,Aop!$A$2:$L$403,5,1)</f>
        <v>202, dio 209</v>
      </c>
      <c r="D62" s="401" t="str">
        <f>VLOOKUP($B62,Aop!$A$2:$L$403,6,1)</f>
        <v xml:space="preserve">        v) Kupci u inostranstvu</v>
      </c>
      <c r="E62" s="402"/>
      <c r="F62" s="402"/>
      <c r="G62" s="402"/>
      <c r="H62" s="403"/>
      <c r="I62" s="247">
        <f>VLOOKUP($B62,Aop!$A$2:$L$403,4,1)</f>
        <v>43</v>
      </c>
      <c r="J62" s="304"/>
      <c r="K62" s="304"/>
      <c r="L62" s="298">
        <f t="shared" si="0"/>
        <v>0</v>
      </c>
      <c r="M62" s="305"/>
      <c r="O62" s="30"/>
    </row>
    <row r="63" spans="2:15" x14ac:dyDescent="0.2">
      <c r="B63" s="18">
        <v>45</v>
      </c>
      <c r="C63" s="244" t="str">
        <f>VLOOKUP($B63,Aop!$A$2:$L$403,5,1)</f>
        <v>210 do 219</v>
      </c>
      <c r="D63" s="404" t="str">
        <f>VLOOKUP($B63,Aop!$A$2:$L$403,6,1)</f>
        <v xml:space="preserve">        g) Potraživanja iz specifičnih poslova</v>
      </c>
      <c r="E63" s="405"/>
      <c r="F63" s="405"/>
      <c r="G63" s="405"/>
      <c r="H63" s="406"/>
      <c r="I63" s="245">
        <f>VLOOKUP($B63,Aop!$A$2:$L$403,4,1)</f>
        <v>44</v>
      </c>
      <c r="J63" s="306"/>
      <c r="K63" s="306"/>
      <c r="L63" s="297">
        <f t="shared" si="0"/>
        <v>0</v>
      </c>
      <c r="M63" s="307"/>
      <c r="O63" s="30"/>
    </row>
    <row r="64" spans="2:15" x14ac:dyDescent="0.2">
      <c r="B64" s="18">
        <v>46</v>
      </c>
      <c r="C64" s="246" t="str">
        <f>VLOOKUP($B64,Aop!$A$2:$L$403,5,1)</f>
        <v>220 do 229</v>
      </c>
      <c r="D64" s="401" t="str">
        <f>VLOOKUP($B64,Aop!$A$2:$L$403,6,1)</f>
        <v xml:space="preserve">        d) Druga kratkoročna potraživanja</v>
      </c>
      <c r="E64" s="402"/>
      <c r="F64" s="402"/>
      <c r="G64" s="402"/>
      <c r="H64" s="403"/>
      <c r="I64" s="247">
        <f>VLOOKUP($B64,Aop!$A$2:$L$403,4,1)</f>
        <v>45</v>
      </c>
      <c r="J64" s="304">
        <v>102953</v>
      </c>
      <c r="K64" s="304"/>
      <c r="L64" s="298">
        <f t="shared" si="0"/>
        <v>102953</v>
      </c>
      <c r="M64" s="305">
        <v>61525</v>
      </c>
      <c r="O64" s="30"/>
    </row>
    <row r="65" spans="2:15" x14ac:dyDescent="0.2">
      <c r="B65" s="18">
        <v>47</v>
      </c>
      <c r="C65" s="244">
        <f>VLOOKUP($B65,Aop!$A$2:$L$403,5,1)</f>
        <v>23</v>
      </c>
      <c r="D65" s="404" t="str">
        <f>VLOOKUP($B65,Aop!$A$2:$L$403,6,1)</f>
        <v xml:space="preserve">      2. Kratkoročni finansijski plasmani (047 do 054)</v>
      </c>
      <c r="E65" s="405"/>
      <c r="F65" s="405"/>
      <c r="G65" s="405"/>
      <c r="H65" s="406"/>
      <c r="I65" s="245">
        <f>VLOOKUP($B65,Aop!$A$2:$L$403,4,1)</f>
        <v>46</v>
      </c>
      <c r="J65" s="297">
        <f>SUM(J66:J73)</f>
        <v>0</v>
      </c>
      <c r="K65" s="297">
        <f>SUM(K66:K73)</f>
        <v>0</v>
      </c>
      <c r="L65" s="297">
        <f t="shared" si="0"/>
        <v>0</v>
      </c>
      <c r="M65" s="303">
        <f>SUM(M66:M73)</f>
        <v>0</v>
      </c>
      <c r="O65" s="30"/>
    </row>
    <row r="66" spans="2:15" x14ac:dyDescent="0.2">
      <c r="B66" s="18">
        <v>48</v>
      </c>
      <c r="C66" s="246" t="str">
        <f>VLOOKUP($B66,Aop!$A$2:$L$403,5,1)</f>
        <v>230, dio 239</v>
      </c>
      <c r="D66" s="401" t="str">
        <f>VLOOKUP($B66,Aop!$A$2:$L$403,6,1)</f>
        <v xml:space="preserve">        a) Kratkoročni krediti povezanim pravnim licima</v>
      </c>
      <c r="E66" s="402"/>
      <c r="F66" s="402"/>
      <c r="G66" s="402"/>
      <c r="H66" s="403"/>
      <c r="I66" s="247">
        <f>VLOOKUP($B66,Aop!$A$2:$L$403,4,1)</f>
        <v>47</v>
      </c>
      <c r="J66" s="304"/>
      <c r="K66" s="304"/>
      <c r="L66" s="298">
        <f t="shared" si="0"/>
        <v>0</v>
      </c>
      <c r="M66" s="305"/>
      <c r="O66" s="30"/>
    </row>
    <row r="67" spans="2:15" x14ac:dyDescent="0.2">
      <c r="B67" s="18">
        <v>49</v>
      </c>
      <c r="C67" s="244" t="str">
        <f>VLOOKUP($B67,Aop!$A$2:$L$403,5,1)</f>
        <v>231, dio 239</v>
      </c>
      <c r="D67" s="404" t="str">
        <f>VLOOKUP($B67,Aop!$A$2:$L$403,6,1)</f>
        <v xml:space="preserve">        b) Kratkoročni krediti u zemlji</v>
      </c>
      <c r="E67" s="405"/>
      <c r="F67" s="405"/>
      <c r="G67" s="405"/>
      <c r="H67" s="406"/>
      <c r="I67" s="245">
        <f>VLOOKUP($B67,Aop!$A$2:$L$403,4,1)</f>
        <v>48</v>
      </c>
      <c r="J67" s="306"/>
      <c r="K67" s="306"/>
      <c r="L67" s="297">
        <f t="shared" si="0"/>
        <v>0</v>
      </c>
      <c r="M67" s="307"/>
      <c r="O67" s="30"/>
    </row>
    <row r="68" spans="2:15" x14ac:dyDescent="0.2">
      <c r="B68" s="18">
        <v>50</v>
      </c>
      <c r="C68" s="246" t="str">
        <f>VLOOKUP($B68,Aop!$A$2:$L$403,5,1)</f>
        <v>232, dio 239</v>
      </c>
      <c r="D68" s="401" t="str">
        <f>VLOOKUP($B68,Aop!$A$2:$L$403,6,1)</f>
        <v xml:space="preserve">        v) Kratkoročni krediti u inostranstvu</v>
      </c>
      <c r="E68" s="402"/>
      <c r="F68" s="402"/>
      <c r="G68" s="402"/>
      <c r="H68" s="403"/>
      <c r="I68" s="247">
        <f>VLOOKUP($B68,Aop!$A$2:$L$403,4,1)</f>
        <v>49</v>
      </c>
      <c r="J68" s="304"/>
      <c r="K68" s="304"/>
      <c r="L68" s="298">
        <f t="shared" si="0"/>
        <v>0</v>
      </c>
      <c r="M68" s="305"/>
      <c r="O68" s="30"/>
    </row>
    <row r="69" spans="2:15" ht="28.5" customHeight="1" x14ac:dyDescent="0.2">
      <c r="B69" s="18">
        <v>51</v>
      </c>
      <c r="C69" s="244" t="str">
        <f>VLOOKUP($B69,Aop!$A$2:$L$403,5,1)</f>
        <v>233 i 234</v>
      </c>
      <c r="D69" s="404" t="str">
        <f>VLOOKUP($B69,Aop!$A$2:$L$403,6,1)</f>
        <v xml:space="preserve">        g) Dio dugoročnih finansijskih plasmana koji dospijeva za naplatu u periodu do godinu dana</v>
      </c>
      <c r="E69" s="405"/>
      <c r="F69" s="405"/>
      <c r="G69" s="405"/>
      <c r="H69" s="406"/>
      <c r="I69" s="245">
        <f>VLOOKUP($B69,Aop!$A$2:$L$403,4,1)</f>
        <v>50</v>
      </c>
      <c r="J69" s="306"/>
      <c r="K69" s="306"/>
      <c r="L69" s="297">
        <f t="shared" si="0"/>
        <v>0</v>
      </c>
      <c r="M69" s="307"/>
      <c r="O69" s="277" t="s">
        <v>1484</v>
      </c>
    </row>
    <row r="70" spans="2:15" ht="28.5" customHeight="1" x14ac:dyDescent="0.2">
      <c r="B70" s="18">
        <v>52</v>
      </c>
      <c r="C70" s="246" t="str">
        <f>VLOOKUP($B70,Aop!$A$2:$L$403,5,1)</f>
        <v>235, dio 239</v>
      </c>
      <c r="D70" s="401" t="str">
        <f>VLOOKUP($B70,Aop!$A$2:$L$403,6,1)</f>
        <v xml:space="preserve">        d) Finansijska sredstva po fer vrijednosti kroz bilans uspjeha namijenjena trgovanju</v>
      </c>
      <c r="E70" s="402"/>
      <c r="F70" s="402"/>
      <c r="G70" s="402"/>
      <c r="H70" s="403"/>
      <c r="I70" s="247">
        <f>VLOOKUP($B70,Aop!$A$2:$L$403,4,1)</f>
        <v>51</v>
      </c>
      <c r="J70" s="304"/>
      <c r="K70" s="304"/>
      <c r="L70" s="298">
        <f t="shared" si="0"/>
        <v>0</v>
      </c>
      <c r="M70" s="305"/>
      <c r="O70" s="277" t="s">
        <v>1484</v>
      </c>
    </row>
    <row r="71" spans="2:15" x14ac:dyDescent="0.2">
      <c r="B71" s="18">
        <v>53</v>
      </c>
      <c r="C71" s="244" t="str">
        <f>VLOOKUP($B71,Aop!$A$2:$L$403,5,1)</f>
        <v>236, dio 239</v>
      </c>
      <c r="D71" s="404" t="str">
        <f>VLOOKUP($B71,Aop!$A$2:$L$403,6,1)</f>
        <v xml:space="preserve">        đ) Finansijska sredstva označena po fer vrijednosti kroz bilans uspjeha</v>
      </c>
      <c r="E71" s="405"/>
      <c r="F71" s="405"/>
      <c r="G71" s="405"/>
      <c r="H71" s="406"/>
      <c r="I71" s="245">
        <f>VLOOKUP($B71,Aop!$A$2:$L$403,4,1)</f>
        <v>52</v>
      </c>
      <c r="J71" s="306"/>
      <c r="K71" s="306"/>
      <c r="L71" s="297">
        <f t="shared" si="0"/>
        <v>0</v>
      </c>
      <c r="M71" s="307"/>
      <c r="O71" s="30"/>
    </row>
    <row r="72" spans="2:15" ht="28.5" customHeight="1" x14ac:dyDescent="0.2">
      <c r="B72" s="18">
        <v>54</v>
      </c>
      <c r="C72" s="246">
        <f>VLOOKUP($B72,Aop!$A$2:$L$403,5,1)</f>
        <v>237</v>
      </c>
      <c r="D72" s="401" t="str">
        <f>VLOOKUP($B72,Aop!$A$2:$L$403,6,1)</f>
        <v xml:space="preserve">        e) Okupljene sopstvene akcije i otkupljeni sopstveni udjeli namijenjeni prodaji ili poništavanju</v>
      </c>
      <c r="E72" s="402"/>
      <c r="F72" s="402"/>
      <c r="G72" s="402"/>
      <c r="H72" s="403"/>
      <c r="I72" s="247">
        <f>VLOOKUP($B72,Aop!$A$2:$L$403,4,1)</f>
        <v>53</v>
      </c>
      <c r="J72" s="304"/>
      <c r="K72" s="304"/>
      <c r="L72" s="298">
        <f t="shared" si="0"/>
        <v>0</v>
      </c>
      <c r="M72" s="305"/>
      <c r="O72" s="277" t="s">
        <v>1484</v>
      </c>
    </row>
    <row r="73" spans="2:15" x14ac:dyDescent="0.2">
      <c r="B73" s="18">
        <v>55</v>
      </c>
      <c r="C73" s="244" t="str">
        <f>VLOOKUP($B73,Aop!$A$2:$L$403,5,1)</f>
        <v>238, dio 239</v>
      </c>
      <c r="D73" s="404" t="str">
        <f>VLOOKUP($B73,Aop!$A$2:$L$403,6,1)</f>
        <v xml:space="preserve">        ž) Ostali kratkoročni plasmani</v>
      </c>
      <c r="E73" s="405"/>
      <c r="F73" s="405"/>
      <c r="G73" s="405"/>
      <c r="H73" s="406"/>
      <c r="I73" s="245">
        <f>VLOOKUP($B73,Aop!$A$2:$L$403,4,1)</f>
        <v>54</v>
      </c>
      <c r="J73" s="306"/>
      <c r="K73" s="306"/>
      <c r="L73" s="297">
        <f t="shared" si="0"/>
        <v>0</v>
      </c>
      <c r="M73" s="307"/>
      <c r="O73" s="30"/>
    </row>
    <row r="74" spans="2:15" x14ac:dyDescent="0.2">
      <c r="B74" s="18">
        <v>56</v>
      </c>
      <c r="C74" s="246">
        <f>VLOOKUP($B74,Aop!$A$2:$L$403,5,1)</f>
        <v>24</v>
      </c>
      <c r="D74" s="401" t="str">
        <f>VLOOKUP($B74,Aop!$A$2:$L$403,6,1)</f>
        <v xml:space="preserve">      3. Gotovinski ekvivalenti i gotovina (056+057)</v>
      </c>
      <c r="E74" s="402"/>
      <c r="F74" s="402"/>
      <c r="G74" s="402"/>
      <c r="H74" s="403"/>
      <c r="I74" s="247">
        <f>VLOOKUP($B74,Aop!$A$2:$L$403,4,1)</f>
        <v>55</v>
      </c>
      <c r="J74" s="298">
        <f>SUM(J75:J76)</f>
        <v>817458</v>
      </c>
      <c r="K74" s="298">
        <f>SUM(K75:K76)</f>
        <v>0</v>
      </c>
      <c r="L74" s="298">
        <f t="shared" si="0"/>
        <v>817458</v>
      </c>
      <c r="M74" s="308">
        <f>SUM(M75:M76)</f>
        <v>67138</v>
      </c>
      <c r="O74" s="30"/>
    </row>
    <row r="75" spans="2:15" x14ac:dyDescent="0.2">
      <c r="B75" s="18">
        <v>57</v>
      </c>
      <c r="C75" s="244">
        <f>VLOOKUP($B75,Aop!$A$2:$L$403,5,1)</f>
        <v>240</v>
      </c>
      <c r="D75" s="404" t="str">
        <f>VLOOKUP($B75,Aop!$A$2:$L$403,6,1)</f>
        <v xml:space="preserve">        a) Gotovinski ekvivalenti - hartije od vrijednosti</v>
      </c>
      <c r="E75" s="405"/>
      <c r="F75" s="405"/>
      <c r="G75" s="405"/>
      <c r="H75" s="406"/>
      <c r="I75" s="245">
        <f>VLOOKUP($B75,Aop!$A$2:$L$403,4,1)</f>
        <v>56</v>
      </c>
      <c r="J75" s="306"/>
      <c r="K75" s="306"/>
      <c r="L75" s="297">
        <f t="shared" si="0"/>
        <v>0</v>
      </c>
      <c r="M75" s="307"/>
      <c r="O75" s="30"/>
    </row>
    <row r="76" spans="2:15" x14ac:dyDescent="0.2">
      <c r="B76" s="18">
        <v>58</v>
      </c>
      <c r="C76" s="246" t="str">
        <f>VLOOKUP($B76,Aop!$A$2:$L$403,5,1)</f>
        <v>241 do 249</v>
      </c>
      <c r="D76" s="401" t="str">
        <f>VLOOKUP($B76,Aop!$A$2:$L$403,6,1)</f>
        <v xml:space="preserve">        b) Gotovina</v>
      </c>
      <c r="E76" s="402"/>
      <c r="F76" s="402"/>
      <c r="G76" s="402"/>
      <c r="H76" s="403"/>
      <c r="I76" s="247">
        <f>VLOOKUP($B76,Aop!$A$2:$L$403,4,1)</f>
        <v>57</v>
      </c>
      <c r="J76" s="304">
        <v>817458</v>
      </c>
      <c r="K76" s="304"/>
      <c r="L76" s="298">
        <f t="shared" si="0"/>
        <v>817458</v>
      </c>
      <c r="M76" s="305">
        <v>67138</v>
      </c>
      <c r="O76" s="30"/>
    </row>
    <row r="77" spans="2:15" x14ac:dyDescent="0.2">
      <c r="B77" s="18">
        <v>59</v>
      </c>
      <c r="C77" s="244" t="str">
        <f>VLOOKUP($B77,Aop!$A$2:$L$403,5,1)</f>
        <v>270 do 279</v>
      </c>
      <c r="D77" s="404" t="str">
        <f>VLOOKUP($B77,Aop!$A$2:$L$403,6,1)</f>
        <v xml:space="preserve">      4. Porez na dodatu vrijednost</v>
      </c>
      <c r="E77" s="405"/>
      <c r="F77" s="405"/>
      <c r="G77" s="405"/>
      <c r="H77" s="406"/>
      <c r="I77" s="245">
        <f>VLOOKUP($B77,Aop!$A$2:$L$403,4,1)</f>
        <v>58</v>
      </c>
      <c r="J77" s="306">
        <v>21210</v>
      </c>
      <c r="K77" s="306"/>
      <c r="L77" s="297">
        <f t="shared" si="0"/>
        <v>21210</v>
      </c>
      <c r="M77" s="307"/>
      <c r="O77" s="30"/>
    </row>
    <row r="78" spans="2:15" ht="25.5" x14ac:dyDescent="0.2">
      <c r="B78" s="18">
        <v>60</v>
      </c>
      <c r="C78" s="246" t="str">
        <f>VLOOKUP($B78,Aop!$A$2:$L$403,5,1)</f>
        <v>280 do 289, osim 288</v>
      </c>
      <c r="D78" s="401" t="str">
        <f>VLOOKUP($B78,Aop!$A$2:$L$403,6,1)</f>
        <v xml:space="preserve">      5. Aktivna vremenska razgraničenja</v>
      </c>
      <c r="E78" s="402"/>
      <c r="F78" s="402"/>
      <c r="G78" s="402"/>
      <c r="H78" s="403"/>
      <c r="I78" s="247">
        <f>VLOOKUP($B78,Aop!$A$2:$L$403,4,1)</f>
        <v>59</v>
      </c>
      <c r="J78" s="304">
        <v>6597</v>
      </c>
      <c r="K78" s="304"/>
      <c r="L78" s="298">
        <f t="shared" si="0"/>
        <v>6597</v>
      </c>
      <c r="M78" s="305">
        <v>14371</v>
      </c>
      <c r="O78" s="277" t="s">
        <v>1484</v>
      </c>
    </row>
    <row r="79" spans="2:15" x14ac:dyDescent="0.2">
      <c r="B79" s="18">
        <v>61</v>
      </c>
      <c r="C79" s="244">
        <f>VLOOKUP($B79,Aop!$A$2:$L$403,5,1)</f>
        <v>288</v>
      </c>
      <c r="D79" s="388" t="str">
        <f>VLOOKUP($B79,Aop!$A$2:$L$403,6,1)</f>
        <v xml:space="preserve">    III  ODLOŽENA PORESKA SREDSTVA</v>
      </c>
      <c r="E79" s="389"/>
      <c r="F79" s="389"/>
      <c r="G79" s="389"/>
      <c r="H79" s="390"/>
      <c r="I79" s="245">
        <f>VLOOKUP($B79,Aop!$A$2:$L$403,4,1)</f>
        <v>60</v>
      </c>
      <c r="J79" s="101"/>
      <c r="K79" s="101"/>
      <c r="L79" s="37">
        <f t="shared" si="0"/>
        <v>0</v>
      </c>
      <c r="M79" s="102"/>
      <c r="O79" s="30"/>
    </row>
    <row r="80" spans="2:15" x14ac:dyDescent="0.2">
      <c r="B80" s="18">
        <v>62</v>
      </c>
      <c r="C80" s="246">
        <f>VLOOKUP($B80,Aop!$A$2:$L$403,5,1)</f>
        <v>29</v>
      </c>
      <c r="D80" s="391" t="str">
        <f>VLOOKUP($B80,Aop!$A$2:$L$403,6,1)</f>
        <v xml:space="preserve">  V. GUBITAK IZNAD VISINE KAPITALA</v>
      </c>
      <c r="E80" s="392"/>
      <c r="F80" s="392"/>
      <c r="G80" s="392"/>
      <c r="H80" s="393"/>
      <c r="I80" s="247">
        <f>VLOOKUP($B80,Aop!$A$2:$L$403,4,1)</f>
        <v>61</v>
      </c>
      <c r="J80" s="317"/>
      <c r="K80" s="168"/>
      <c r="L80" s="35">
        <f t="shared" si="0"/>
        <v>0</v>
      </c>
      <c r="M80" s="318"/>
      <c r="O80" s="30"/>
    </row>
    <row r="81" spans="2:15" x14ac:dyDescent="0.2">
      <c r="B81" s="18">
        <v>63</v>
      </c>
      <c r="C81" s="244">
        <f>VLOOKUP($B81,Aop!$A$2:$L$403,5,1)</f>
        <v>0</v>
      </c>
      <c r="D81" s="388" t="str">
        <f>VLOOKUP($B81,Aop!$A$2:$L$403,6,1)</f>
        <v xml:space="preserve">  G. POSLOVNA AKTIVA (001+031+061)</v>
      </c>
      <c r="E81" s="389"/>
      <c r="F81" s="389"/>
      <c r="G81" s="389"/>
      <c r="H81" s="390"/>
      <c r="I81" s="245">
        <f>VLOOKUP($B81,Aop!$A$2:$L$403,4,1)</f>
        <v>62</v>
      </c>
      <c r="J81" s="37">
        <f>SUM(J20,J50,J80)</f>
        <v>19913329</v>
      </c>
      <c r="K81" s="37">
        <f>SUM(K20,K50,K80)</f>
        <v>12479020</v>
      </c>
      <c r="L81" s="37">
        <f t="shared" si="0"/>
        <v>7434309</v>
      </c>
      <c r="M81" s="39">
        <f>SUM(M20,M50,M80)</f>
        <v>6499580</v>
      </c>
      <c r="O81" s="30"/>
    </row>
    <row r="82" spans="2:15" x14ac:dyDescent="0.2">
      <c r="B82" s="18">
        <v>64</v>
      </c>
      <c r="C82" s="246" t="str">
        <f>VLOOKUP($B82,Aop!$A$2:$L$403,5,1)</f>
        <v>880 do 888</v>
      </c>
      <c r="D82" s="391" t="str">
        <f>VLOOKUP($B82,Aop!$A$2:$L$403,6,1)</f>
        <v xml:space="preserve">  D. VANBILANSNA AKTIVA</v>
      </c>
      <c r="E82" s="392"/>
      <c r="F82" s="392"/>
      <c r="G82" s="392"/>
      <c r="H82" s="393"/>
      <c r="I82" s="247">
        <f>VLOOKUP($B82,Aop!$A$2:$L$403,4,1)</f>
        <v>63</v>
      </c>
      <c r="J82" s="168"/>
      <c r="K82" s="168"/>
      <c r="L82" s="35">
        <f t="shared" si="0"/>
        <v>0</v>
      </c>
      <c r="M82" s="319"/>
      <c r="O82" s="30"/>
    </row>
    <row r="83" spans="2:15" x14ac:dyDescent="0.2">
      <c r="B83" s="18">
        <v>65</v>
      </c>
      <c r="C83" s="248">
        <f>VLOOKUP($B83,Aop!$A$2:$L$403,5,1)</f>
        <v>0</v>
      </c>
      <c r="D83" s="407" t="str">
        <f>VLOOKUP($B83,Aop!$A$2:$L$403,6,1)</f>
        <v xml:space="preserve">  Đ. UKUPNA AKTIVA (062+063)</v>
      </c>
      <c r="E83" s="408"/>
      <c r="F83" s="408"/>
      <c r="G83" s="408"/>
      <c r="H83" s="409"/>
      <c r="I83" s="249">
        <f>VLOOKUP($B83,Aop!$A$2:$L$403,4,1)</f>
        <v>64</v>
      </c>
      <c r="J83" s="41">
        <f>SUM(J81,J82)</f>
        <v>19913329</v>
      </c>
      <c r="K83" s="41">
        <f>SUM(K81,K82)</f>
        <v>12479020</v>
      </c>
      <c r="L83" s="41">
        <f t="shared" si="0"/>
        <v>7434309</v>
      </c>
      <c r="M83" s="42">
        <f>SUM(M81,M82)</f>
        <v>6499580</v>
      </c>
      <c r="O83" s="30"/>
    </row>
    <row r="84" spans="2:15" x14ac:dyDescent="0.2">
      <c r="B84" s="18"/>
      <c r="C84" s="250"/>
      <c r="D84" s="250"/>
      <c r="E84" s="250"/>
      <c r="F84" s="250"/>
      <c r="G84" s="250"/>
      <c r="H84" s="250"/>
      <c r="I84" s="250"/>
      <c r="J84" s="250"/>
      <c r="K84" s="250"/>
      <c r="L84" s="251"/>
      <c r="M84" s="250"/>
      <c r="O84" s="30"/>
    </row>
    <row r="85" spans="2:15" x14ac:dyDescent="0.2">
      <c r="B85" s="18"/>
      <c r="C85" s="381" t="str">
        <f>Tabele_zaglavlje_Grupa_racuna</f>
        <v>Grupa računa, račun</v>
      </c>
      <c r="D85" s="394" t="str">
        <f>Tabele_zaglavlje_Pozicija</f>
        <v>Pozicija</v>
      </c>
      <c r="E85" s="395"/>
      <c r="F85" s="395"/>
      <c r="G85" s="395"/>
      <c r="H85" s="396"/>
      <c r="I85" s="383" t="str">
        <f>Tabele_zaglavlje_Oznaka_aop</f>
        <v>Oznaka za AOP</v>
      </c>
      <c r="J85" s="375"/>
      <c r="K85" s="376"/>
      <c r="L85" s="385" t="str">
        <f>Tabele_zaglavlje_BS_iznos_tekuca</f>
        <v>Iznos na dan bilansa tekuće godine</v>
      </c>
      <c r="M85" s="386" t="str">
        <f>Tabele_zaglavlje_BS_iznos_prethodna</f>
        <v>Iznos na dan bilansa prethodne godine (PS)</v>
      </c>
      <c r="O85" s="30"/>
    </row>
    <row r="86" spans="2:15" ht="39.75" customHeight="1" x14ac:dyDescent="0.2">
      <c r="B86" s="18"/>
      <c r="C86" s="382"/>
      <c r="D86" s="397"/>
      <c r="E86" s="398"/>
      <c r="F86" s="398"/>
      <c r="G86" s="398"/>
      <c r="H86" s="399"/>
      <c r="I86" s="384"/>
      <c r="J86" s="377"/>
      <c r="K86" s="378"/>
      <c r="L86" s="384"/>
      <c r="M86" s="387"/>
      <c r="O86" s="30"/>
    </row>
    <row r="87" spans="2:15" x14ac:dyDescent="0.2">
      <c r="B87" s="18"/>
      <c r="C87" s="52">
        <v>1</v>
      </c>
      <c r="D87" s="379">
        <v>2</v>
      </c>
      <c r="E87" s="400"/>
      <c r="F87" s="400"/>
      <c r="G87" s="400"/>
      <c r="H87" s="380"/>
      <c r="I87" s="91" t="s">
        <v>1079</v>
      </c>
      <c r="J87" s="379"/>
      <c r="K87" s="380"/>
      <c r="L87" s="235">
        <v>4</v>
      </c>
      <c r="M87" s="53">
        <v>5</v>
      </c>
      <c r="O87" s="30"/>
    </row>
    <row r="88" spans="2:15" x14ac:dyDescent="0.2">
      <c r="B88" s="18">
        <v>66</v>
      </c>
      <c r="C88" s="239">
        <f>VLOOKUP($B88,Aop!$A$2:$L$403,5,1)</f>
        <v>0</v>
      </c>
      <c r="D88" s="370" t="str">
        <f>VLOOKUP($B88,Aop!$A$2:$L$403,6,1)</f>
        <v>PASIVA</v>
      </c>
      <c r="E88" s="370"/>
      <c r="F88" s="370"/>
      <c r="G88" s="370"/>
      <c r="H88" s="371"/>
      <c r="I88" s="252"/>
      <c r="J88" s="253"/>
      <c r="K88" s="254"/>
      <c r="L88" s="255"/>
      <c r="M88" s="256"/>
      <c r="O88" s="30"/>
    </row>
    <row r="89" spans="2:15" x14ac:dyDescent="0.2">
      <c r="B89" s="18">
        <v>67</v>
      </c>
      <c r="C89" s="246">
        <f>VLOOKUP($B89,Aop!$A$2:$L$403,5,1)</f>
        <v>0</v>
      </c>
      <c r="D89" s="372" t="str">
        <f>VLOOKUP($B89,Aop!$A$2:$L$403,6,1)</f>
        <v xml:space="preserve">  A. KAPITAL (102-109+110+111+114+115-116+117-122)</v>
      </c>
      <c r="E89" s="373"/>
      <c r="F89" s="373"/>
      <c r="G89" s="373"/>
      <c r="H89" s="374"/>
      <c r="I89" s="247">
        <f>VLOOKUP($B89,Aop!$A$2:$L$403,4,1)</f>
        <v>101</v>
      </c>
      <c r="J89" s="43"/>
      <c r="K89" s="44"/>
      <c r="L89" s="82">
        <f>SUM(L90,-L97,L98,L99,L102,L103,-L104,L105,-L110)</f>
        <v>2982807</v>
      </c>
      <c r="M89" s="83">
        <f>SUM(M90,-M97,M98,M99,M102,M103,-M104,M105,-M110)</f>
        <v>2997387</v>
      </c>
      <c r="O89" s="30"/>
    </row>
    <row r="90" spans="2:15" x14ac:dyDescent="0.2">
      <c r="B90" s="18">
        <v>68</v>
      </c>
      <c r="C90" s="244">
        <f>VLOOKUP($B90,Aop!$A$2:$L$403,5,1)</f>
        <v>30</v>
      </c>
      <c r="D90" s="388" t="str">
        <f>VLOOKUP($B90,Aop!$A$2:$L$403,6,1)</f>
        <v xml:space="preserve">    I  OSNOVNI KAPITAL (103 do 108)</v>
      </c>
      <c r="E90" s="389"/>
      <c r="F90" s="389"/>
      <c r="G90" s="389"/>
      <c r="H90" s="390"/>
      <c r="I90" s="245">
        <f>VLOOKUP($B90,Aop!$A$2:$L$403,4,1)</f>
        <v>102</v>
      </c>
      <c r="J90" s="45"/>
      <c r="K90" s="46"/>
      <c r="L90" s="84">
        <f>SUM(L91:L96)</f>
        <v>5762636</v>
      </c>
      <c r="M90" s="85">
        <f>SUM(M91:M96)</f>
        <v>5762636</v>
      </c>
      <c r="O90" s="30"/>
    </row>
    <row r="91" spans="2:15" x14ac:dyDescent="0.2">
      <c r="B91" s="18">
        <v>69</v>
      </c>
      <c r="C91" s="246">
        <f>VLOOKUP($B91,Aop!$A$2:$L$403,5,1)</f>
        <v>300</v>
      </c>
      <c r="D91" s="401" t="str">
        <f>VLOOKUP($B91,Aop!$A$2:$L$403,6,1)</f>
        <v xml:space="preserve">      1. Akcijski kapital</v>
      </c>
      <c r="E91" s="402"/>
      <c r="F91" s="402"/>
      <c r="G91" s="402"/>
      <c r="H91" s="403"/>
      <c r="I91" s="247">
        <f>VLOOKUP($B91,Aop!$A$2:$L$403,4,1)</f>
        <v>103</v>
      </c>
      <c r="J91" s="257"/>
      <c r="K91" s="258"/>
      <c r="L91" s="311">
        <v>5762636</v>
      </c>
      <c r="M91" s="312">
        <v>5762636</v>
      </c>
      <c r="O91" s="30"/>
    </row>
    <row r="92" spans="2:15" x14ac:dyDescent="0.2">
      <c r="B92" s="18">
        <v>70</v>
      </c>
      <c r="C92" s="244">
        <f>VLOOKUP($B92,Aop!$A$2:$L$403,5,1)</f>
        <v>302</v>
      </c>
      <c r="D92" s="404" t="str">
        <f>VLOOKUP($B92,Aop!$A$2:$L$403,6,1)</f>
        <v xml:space="preserve">      2. Udjeli društva sa ograničenom odgovornošću</v>
      </c>
      <c r="E92" s="405"/>
      <c r="F92" s="405"/>
      <c r="G92" s="405"/>
      <c r="H92" s="406"/>
      <c r="I92" s="245">
        <f>VLOOKUP($B92,Aop!$A$2:$L$403,4,1)</f>
        <v>104</v>
      </c>
      <c r="J92" s="259"/>
      <c r="K92" s="260"/>
      <c r="L92" s="313"/>
      <c r="M92" s="314"/>
      <c r="O92" s="30"/>
    </row>
    <row r="93" spans="2:15" x14ac:dyDescent="0.2">
      <c r="B93" s="18">
        <v>71</v>
      </c>
      <c r="C93" s="246">
        <f>VLOOKUP($B93,Aop!$A$2:$L$403,5,1)</f>
        <v>303</v>
      </c>
      <c r="D93" s="401" t="str">
        <f>VLOOKUP($B93,Aop!$A$2:$L$403,6,1)</f>
        <v xml:space="preserve">      3. Zadružni udjeli</v>
      </c>
      <c r="E93" s="402"/>
      <c r="F93" s="402"/>
      <c r="G93" s="402"/>
      <c r="H93" s="403"/>
      <c r="I93" s="247">
        <f>VLOOKUP($B93,Aop!$A$2:$L$403,4,1)</f>
        <v>105</v>
      </c>
      <c r="J93" s="257"/>
      <c r="K93" s="258"/>
      <c r="L93" s="311"/>
      <c r="M93" s="312"/>
      <c r="O93" s="30"/>
    </row>
    <row r="94" spans="2:15" x14ac:dyDescent="0.2">
      <c r="B94" s="18">
        <v>72</v>
      </c>
      <c r="C94" s="244">
        <f>VLOOKUP($B94,Aop!$A$2:$L$403,5,1)</f>
        <v>304</v>
      </c>
      <c r="D94" s="404" t="str">
        <f>VLOOKUP($B94,Aop!$A$2:$L$403,6,1)</f>
        <v xml:space="preserve">      4. Ulozi</v>
      </c>
      <c r="E94" s="405"/>
      <c r="F94" s="405"/>
      <c r="G94" s="405"/>
      <c r="H94" s="406"/>
      <c r="I94" s="245">
        <f>VLOOKUP($B94,Aop!$A$2:$L$403,4,1)</f>
        <v>106</v>
      </c>
      <c r="J94" s="259"/>
      <c r="K94" s="260"/>
      <c r="L94" s="313"/>
      <c r="M94" s="314"/>
      <c r="O94" s="30"/>
    </row>
    <row r="95" spans="2:15" x14ac:dyDescent="0.2">
      <c r="B95" s="18">
        <v>73</v>
      </c>
      <c r="C95" s="246">
        <f>VLOOKUP($B95,Aop!$A$2:$L$403,5,1)</f>
        <v>305</v>
      </c>
      <c r="D95" s="401" t="str">
        <f>VLOOKUP($B95,Aop!$A$2:$L$403,6,1)</f>
        <v xml:space="preserve">      5. Državni kapital</v>
      </c>
      <c r="E95" s="402"/>
      <c r="F95" s="402"/>
      <c r="G95" s="402"/>
      <c r="H95" s="403"/>
      <c r="I95" s="247">
        <f>VLOOKUP($B95,Aop!$A$2:$L$403,4,1)</f>
        <v>107</v>
      </c>
      <c r="J95" s="257"/>
      <c r="K95" s="258"/>
      <c r="L95" s="311"/>
      <c r="M95" s="312"/>
      <c r="O95" s="30"/>
    </row>
    <row r="96" spans="2:15" x14ac:dyDescent="0.2">
      <c r="B96" s="18">
        <v>74</v>
      </c>
      <c r="C96" s="244">
        <f>VLOOKUP($B96,Aop!$A$2:$L$403,5,1)</f>
        <v>306</v>
      </c>
      <c r="D96" s="404" t="str">
        <f>VLOOKUP($B96,Aop!$A$2:$L$403,6,1)</f>
        <v xml:space="preserve">      6. Ostali osnovni kapital</v>
      </c>
      <c r="E96" s="405"/>
      <c r="F96" s="405"/>
      <c r="G96" s="405"/>
      <c r="H96" s="406"/>
      <c r="I96" s="245">
        <f>VLOOKUP($B96,Aop!$A$2:$L$403,4,1)</f>
        <v>108</v>
      </c>
      <c r="J96" s="259"/>
      <c r="K96" s="260"/>
      <c r="L96" s="313"/>
      <c r="M96" s="314"/>
      <c r="O96" s="30"/>
    </row>
    <row r="97" spans="2:15" x14ac:dyDescent="0.2">
      <c r="B97" s="18">
        <v>75</v>
      </c>
      <c r="C97" s="246">
        <f>VLOOKUP($B97,Aop!$A$2:$L$403,5,1)</f>
        <v>31</v>
      </c>
      <c r="D97" s="391" t="str">
        <f>VLOOKUP($B97,Aop!$A$2:$L$403,6,1)</f>
        <v xml:space="preserve">    II  UPISANI NEUPLAĆENI KAPITAL</v>
      </c>
      <c r="E97" s="392"/>
      <c r="F97" s="392"/>
      <c r="G97" s="392"/>
      <c r="H97" s="393"/>
      <c r="I97" s="247">
        <f>VLOOKUP($B97,Aop!$A$2:$L$403,4,1)</f>
        <v>109</v>
      </c>
      <c r="J97" s="257"/>
      <c r="K97" s="258"/>
      <c r="L97" s="320"/>
      <c r="M97" s="321"/>
      <c r="O97" s="30"/>
    </row>
    <row r="98" spans="2:15" x14ac:dyDescent="0.2">
      <c r="B98" s="18">
        <v>76</v>
      </c>
      <c r="C98" s="244">
        <f>VLOOKUP($B98,Aop!$A$2:$L$403,5,1)</f>
        <v>320</v>
      </c>
      <c r="D98" s="388" t="str">
        <f>VLOOKUP($B98,Aop!$A$2:$L$403,6,1)</f>
        <v xml:space="preserve">    III  EMISIONA PREMIJA</v>
      </c>
      <c r="E98" s="389"/>
      <c r="F98" s="389"/>
      <c r="G98" s="389"/>
      <c r="H98" s="390"/>
      <c r="I98" s="245">
        <f>VLOOKUP($B98,Aop!$A$2:$L$403,4,1)</f>
        <v>110</v>
      </c>
      <c r="J98" s="259"/>
      <c r="K98" s="260"/>
      <c r="L98" s="322"/>
      <c r="M98" s="323"/>
      <c r="O98" s="30"/>
    </row>
    <row r="99" spans="2:15" x14ac:dyDescent="0.2">
      <c r="B99" s="18">
        <v>77</v>
      </c>
      <c r="C99" s="246" t="str">
        <f>VLOOKUP($B99,Aop!$A$2:$L$403,5,1)</f>
        <v>dio 32</v>
      </c>
      <c r="D99" s="391" t="str">
        <f>VLOOKUP($B99,Aop!$A$2:$L$403,6,1)</f>
        <v xml:space="preserve">    IV  REZERVE (112+113)</v>
      </c>
      <c r="E99" s="392"/>
      <c r="F99" s="392"/>
      <c r="G99" s="392"/>
      <c r="H99" s="393"/>
      <c r="I99" s="247">
        <f>VLOOKUP($B99,Aop!$A$2:$L$403,4,1)</f>
        <v>111</v>
      </c>
      <c r="J99" s="47"/>
      <c r="K99" s="48"/>
      <c r="L99" s="86">
        <f>SUM(L100:L101)</f>
        <v>0</v>
      </c>
      <c r="M99" s="87">
        <f>SUM(M100:M101)</f>
        <v>0</v>
      </c>
      <c r="O99" s="30"/>
    </row>
    <row r="100" spans="2:15" x14ac:dyDescent="0.2">
      <c r="B100" s="18">
        <v>78</v>
      </c>
      <c r="C100" s="244">
        <f>VLOOKUP($B100,Aop!$A$2:$L$403,5,1)</f>
        <v>321</v>
      </c>
      <c r="D100" s="404" t="str">
        <f>VLOOKUP($B100,Aop!$A$2:$L$403,6,1)</f>
        <v xml:space="preserve">      1. Zakonske rezerve</v>
      </c>
      <c r="E100" s="405"/>
      <c r="F100" s="405"/>
      <c r="G100" s="405"/>
      <c r="H100" s="406"/>
      <c r="I100" s="245">
        <f>VLOOKUP($B100,Aop!$A$2:$L$403,4,1)</f>
        <v>112</v>
      </c>
      <c r="J100" s="259"/>
      <c r="K100" s="260"/>
      <c r="L100" s="313"/>
      <c r="M100" s="314"/>
      <c r="O100" s="30"/>
    </row>
    <row r="101" spans="2:15" x14ac:dyDescent="0.2">
      <c r="B101" s="18">
        <v>79</v>
      </c>
      <c r="C101" s="246">
        <f>VLOOKUP($B101,Aop!$A$2:$L$403,5,1)</f>
        <v>322</v>
      </c>
      <c r="D101" s="401" t="str">
        <f>VLOOKUP($B101,Aop!$A$2:$L$403,6,1)</f>
        <v xml:space="preserve">      2. Statutarne rezerve</v>
      </c>
      <c r="E101" s="402"/>
      <c r="F101" s="402"/>
      <c r="G101" s="402"/>
      <c r="H101" s="403"/>
      <c r="I101" s="247">
        <f>VLOOKUP($B101,Aop!$A$2:$L$403,4,1)</f>
        <v>113</v>
      </c>
      <c r="J101" s="257"/>
      <c r="K101" s="258"/>
      <c r="L101" s="311"/>
      <c r="M101" s="312"/>
      <c r="O101" s="30"/>
    </row>
    <row r="102" spans="2:15" x14ac:dyDescent="0.2">
      <c r="B102" s="18">
        <v>80</v>
      </c>
      <c r="C102" s="244" t="str">
        <f>VLOOKUP($B102,Aop!$A$2:$L$403,5,1)</f>
        <v>330, 331 i 334</v>
      </c>
      <c r="D102" s="388" t="str">
        <f>VLOOKUP($B102,Aop!$A$2:$L$403,6,1)</f>
        <v xml:space="preserve">    V  REVALORIZACIONE REZERVE</v>
      </c>
      <c r="E102" s="389"/>
      <c r="F102" s="389"/>
      <c r="G102" s="389"/>
      <c r="H102" s="390"/>
      <c r="I102" s="245">
        <f>VLOOKUP($B102,Aop!$A$2:$L$403,4,1)</f>
        <v>114</v>
      </c>
      <c r="J102" s="259"/>
      <c r="K102" s="260"/>
      <c r="L102" s="322">
        <v>254285</v>
      </c>
      <c r="M102" s="323">
        <v>254285</v>
      </c>
      <c r="O102" s="30"/>
    </row>
    <row r="103" spans="2:15" ht="25.5" x14ac:dyDescent="0.2">
      <c r="B103" s="18">
        <v>81</v>
      </c>
      <c r="C103" s="246">
        <f>VLOOKUP($B103,Aop!$A$2:$L$403,5,1)</f>
        <v>332</v>
      </c>
      <c r="D103" s="391" t="str">
        <f>VLOOKUP($B103,Aop!$A$2:$L$403,6,1)</f>
        <v xml:space="preserve">    VI  NEREALIZOVANI DOBICI PO OSNOVU FINANSIJSKIH SREDSTAVA RASPOLOŽIVIH ZA PRODAJU</v>
      </c>
      <c r="E103" s="392"/>
      <c r="F103" s="392"/>
      <c r="G103" s="392"/>
      <c r="H103" s="393"/>
      <c r="I103" s="247">
        <f>VLOOKUP($B103,Aop!$A$2:$L$403,4,1)</f>
        <v>115</v>
      </c>
      <c r="J103" s="257"/>
      <c r="K103" s="258"/>
      <c r="L103" s="320"/>
      <c r="M103" s="321"/>
      <c r="O103" s="277" t="s">
        <v>1484</v>
      </c>
    </row>
    <row r="104" spans="2:15" ht="25.5" x14ac:dyDescent="0.2">
      <c r="B104" s="18">
        <v>82</v>
      </c>
      <c r="C104" s="244">
        <f>VLOOKUP($B104,Aop!$A$2:$L$403,5,1)</f>
        <v>333</v>
      </c>
      <c r="D104" s="388" t="str">
        <f>VLOOKUP($B104,Aop!$A$2:$L$403,6,1)</f>
        <v xml:space="preserve">    VII  NEREALIZOVANI GUBICI PO OSNOVU FINANSIJSKIH SREDSTAVA RASPOLOŽIVIH ZA PRODAJU</v>
      </c>
      <c r="E104" s="389"/>
      <c r="F104" s="389"/>
      <c r="G104" s="389"/>
      <c r="H104" s="390"/>
      <c r="I104" s="245">
        <f>VLOOKUP($B104,Aop!$A$2:$L$403,4,1)</f>
        <v>116</v>
      </c>
      <c r="J104" s="259"/>
      <c r="K104" s="260"/>
      <c r="L104" s="322"/>
      <c r="M104" s="323"/>
      <c r="O104" s="277" t="s">
        <v>1484</v>
      </c>
    </row>
    <row r="105" spans="2:15" x14ac:dyDescent="0.2">
      <c r="B105" s="18">
        <v>83</v>
      </c>
      <c r="C105" s="246">
        <f>VLOOKUP($B105,Aop!$A$2:$L$403,5,1)</f>
        <v>34</v>
      </c>
      <c r="D105" s="391" t="str">
        <f>VLOOKUP($B105,Aop!$A$2:$L$403,6,1)</f>
        <v xml:space="preserve">    VIII  NERASPOREĐENI DOBITAK (118 do 121)</v>
      </c>
      <c r="E105" s="392"/>
      <c r="F105" s="392"/>
      <c r="G105" s="392"/>
      <c r="H105" s="393"/>
      <c r="I105" s="247">
        <f>VLOOKUP($B105,Aop!$A$2:$L$403,4,1)</f>
        <v>117</v>
      </c>
      <c r="J105" s="47"/>
      <c r="K105" s="48"/>
      <c r="L105" s="86">
        <f>SUM(L106:L109)</f>
        <v>1529117</v>
      </c>
      <c r="M105" s="87">
        <f>SUM(M106:M109)</f>
        <v>1529117</v>
      </c>
      <c r="O105" s="30"/>
    </row>
    <row r="106" spans="2:15" x14ac:dyDescent="0.2">
      <c r="B106" s="18">
        <v>84</v>
      </c>
      <c r="C106" s="244">
        <f>VLOOKUP($B106,Aop!$A$2:$L$403,5,1)</f>
        <v>340</v>
      </c>
      <c r="D106" s="404" t="str">
        <f>VLOOKUP($B106,Aop!$A$2:$L$403,6,1)</f>
        <v xml:space="preserve">      1. Neraspoređeni dobitak ranijih godina</v>
      </c>
      <c r="E106" s="405"/>
      <c r="F106" s="405"/>
      <c r="G106" s="405"/>
      <c r="H106" s="406"/>
      <c r="I106" s="245">
        <f>VLOOKUP($B106,Aop!$A$2:$L$403,4,1)</f>
        <v>118</v>
      </c>
      <c r="J106" s="259"/>
      <c r="K106" s="260"/>
      <c r="L106" s="313">
        <v>1529117</v>
      </c>
      <c r="M106" s="314">
        <v>1529117</v>
      </c>
      <c r="O106" s="30"/>
    </row>
    <row r="107" spans="2:15" x14ac:dyDescent="0.2">
      <c r="B107" s="18">
        <v>85</v>
      </c>
      <c r="C107" s="246">
        <f>VLOOKUP($B107,Aop!$A$2:$L$403,5,1)</f>
        <v>341</v>
      </c>
      <c r="D107" s="401" t="str">
        <f>VLOOKUP($B107,Aop!$A$2:$L$403,6,1)</f>
        <v xml:space="preserve">      2. Neraspoređeni dobitak tekuće godine</v>
      </c>
      <c r="E107" s="402"/>
      <c r="F107" s="402"/>
      <c r="G107" s="402"/>
      <c r="H107" s="403"/>
      <c r="I107" s="247">
        <f>VLOOKUP($B107,Aop!$A$2:$L$403,4,1)</f>
        <v>119</v>
      </c>
      <c r="J107" s="257"/>
      <c r="K107" s="258"/>
      <c r="L107" s="311"/>
      <c r="M107" s="312"/>
      <c r="O107" s="30"/>
    </row>
    <row r="108" spans="2:15" x14ac:dyDescent="0.2">
      <c r="B108" s="18">
        <v>86</v>
      </c>
      <c r="C108" s="244">
        <f>VLOOKUP($B108,Aop!$A$2:$L$403,5,1)</f>
        <v>342</v>
      </c>
      <c r="D108" s="404" t="str">
        <f>VLOOKUP($B108,Aop!$A$2:$L$403,6,1)</f>
        <v xml:space="preserve">      3. Neraspoređeni višak prihoda nad rashodima</v>
      </c>
      <c r="E108" s="405"/>
      <c r="F108" s="405"/>
      <c r="G108" s="405"/>
      <c r="H108" s="406"/>
      <c r="I108" s="245">
        <f>VLOOKUP($B108,Aop!$A$2:$L$403,4,1)</f>
        <v>120</v>
      </c>
      <c r="J108" s="259"/>
      <c r="K108" s="260"/>
      <c r="L108" s="313"/>
      <c r="M108" s="314"/>
      <c r="O108" s="30"/>
    </row>
    <row r="109" spans="2:15" x14ac:dyDescent="0.2">
      <c r="B109" s="18">
        <v>87</v>
      </c>
      <c r="C109" s="246">
        <f>VLOOKUP($B109,Aop!$A$2:$L$403,5,1)</f>
        <v>343</v>
      </c>
      <c r="D109" s="401" t="str">
        <f>VLOOKUP($B109,Aop!$A$2:$L$403,6,1)</f>
        <v xml:space="preserve">      4. Neto prihod od samostalne djelatnosti</v>
      </c>
      <c r="E109" s="402"/>
      <c r="F109" s="402"/>
      <c r="G109" s="402"/>
      <c r="H109" s="403"/>
      <c r="I109" s="247">
        <f>VLOOKUP($B109,Aop!$A$2:$L$403,4,1)</f>
        <v>121</v>
      </c>
      <c r="J109" s="257"/>
      <c r="K109" s="258"/>
      <c r="L109" s="311"/>
      <c r="M109" s="312"/>
      <c r="O109" s="30"/>
    </row>
    <row r="110" spans="2:15" x14ac:dyDescent="0.2">
      <c r="B110" s="18">
        <v>88</v>
      </c>
      <c r="C110" s="244">
        <f>VLOOKUP($B110,Aop!$A$2:$L$403,5,1)</f>
        <v>35</v>
      </c>
      <c r="D110" s="388" t="str">
        <f>VLOOKUP($B110,Aop!$A$2:$L$403,6,1)</f>
        <v xml:space="preserve">    IX  GUBITAK DO VISINE KAPITALA (123+124)</v>
      </c>
      <c r="E110" s="389"/>
      <c r="F110" s="389"/>
      <c r="G110" s="389"/>
      <c r="H110" s="390"/>
      <c r="I110" s="245">
        <f>VLOOKUP($B110,Aop!$A$2:$L$403,4,1)</f>
        <v>122</v>
      </c>
      <c r="J110" s="45"/>
      <c r="K110" s="46"/>
      <c r="L110" s="84">
        <f>SUM(L111:L112)</f>
        <v>4563231</v>
      </c>
      <c r="M110" s="85">
        <f>SUM(M111:M112)</f>
        <v>4548651</v>
      </c>
      <c r="O110" s="30"/>
    </row>
    <row r="111" spans="2:15" x14ac:dyDescent="0.2">
      <c r="B111" s="18">
        <v>89</v>
      </c>
      <c r="C111" s="246">
        <f>VLOOKUP($B111,Aop!$A$2:$L$403,5,1)</f>
        <v>350</v>
      </c>
      <c r="D111" s="401" t="str">
        <f>VLOOKUP($B111,Aop!$A$2:$L$403,6,1)</f>
        <v xml:space="preserve">      1. Gubitak ranijih godina</v>
      </c>
      <c r="E111" s="402"/>
      <c r="F111" s="402"/>
      <c r="G111" s="402"/>
      <c r="H111" s="403"/>
      <c r="I111" s="247">
        <f>VLOOKUP($B111,Aop!$A$2:$L$403,4,1)</f>
        <v>123</v>
      </c>
      <c r="J111" s="257"/>
      <c r="K111" s="258"/>
      <c r="L111" s="311">
        <v>4548651</v>
      </c>
      <c r="M111" s="312">
        <v>4415817</v>
      </c>
      <c r="O111" s="30"/>
    </row>
    <row r="112" spans="2:15" x14ac:dyDescent="0.2">
      <c r="B112" s="18">
        <v>90</v>
      </c>
      <c r="C112" s="244">
        <f>VLOOKUP($B112,Aop!$A$2:$L$403,5,1)</f>
        <v>351</v>
      </c>
      <c r="D112" s="404" t="str">
        <f>VLOOKUP($B112,Aop!$A$2:$L$403,6,1)</f>
        <v xml:space="preserve">      2. Gubitak tekuće godine</v>
      </c>
      <c r="E112" s="405"/>
      <c r="F112" s="405"/>
      <c r="G112" s="405"/>
      <c r="H112" s="406"/>
      <c r="I112" s="245">
        <f>VLOOKUP($B112,Aop!$A$2:$L$403,4,1)</f>
        <v>124</v>
      </c>
      <c r="J112" s="259"/>
      <c r="K112" s="260"/>
      <c r="L112" s="313">
        <v>14580</v>
      </c>
      <c r="M112" s="314">
        <v>132834</v>
      </c>
      <c r="O112" s="30"/>
    </row>
    <row r="113" spans="2:15" x14ac:dyDescent="0.2">
      <c r="B113" s="18">
        <v>91</v>
      </c>
      <c r="C113" s="246">
        <f>VLOOKUP($B113,Aop!$A$2:$L$403,5,1)</f>
        <v>40</v>
      </c>
      <c r="D113" s="391" t="str">
        <f>VLOOKUP($B113,Aop!$A$2:$L$403,6,1)</f>
        <v xml:space="preserve">  B. DUGOROČNA REZERVISANJA (126 do 131)</v>
      </c>
      <c r="E113" s="392"/>
      <c r="F113" s="392"/>
      <c r="G113" s="392"/>
      <c r="H113" s="393"/>
      <c r="I113" s="247">
        <f>VLOOKUP($B113,Aop!$A$2:$L$403,4,1)</f>
        <v>125</v>
      </c>
      <c r="J113" s="47"/>
      <c r="K113" s="48"/>
      <c r="L113" s="86">
        <f>SUM(L114:L119)</f>
        <v>241548</v>
      </c>
      <c r="M113" s="87">
        <f>SUM(M114:M119)</f>
        <v>218829</v>
      </c>
      <c r="O113" s="30"/>
    </row>
    <row r="114" spans="2:15" x14ac:dyDescent="0.2">
      <c r="B114" s="18">
        <v>92</v>
      </c>
      <c r="C114" s="244">
        <f>VLOOKUP($B114,Aop!$A$2:$L$403,5,1)</f>
        <v>400</v>
      </c>
      <c r="D114" s="404" t="str">
        <f>VLOOKUP($B114,Aop!$A$2:$L$403,6,1)</f>
        <v xml:space="preserve">    1. Rezervisanja za troškove u garantnom roku</v>
      </c>
      <c r="E114" s="405"/>
      <c r="F114" s="405"/>
      <c r="G114" s="405"/>
      <c r="H114" s="406"/>
      <c r="I114" s="245">
        <f>VLOOKUP($B114,Aop!$A$2:$L$403,4,1)</f>
        <v>126</v>
      </c>
      <c r="J114" s="259"/>
      <c r="K114" s="260"/>
      <c r="L114" s="313"/>
      <c r="M114" s="314"/>
      <c r="O114" s="30"/>
    </row>
    <row r="115" spans="2:15" x14ac:dyDescent="0.2">
      <c r="B115" s="18">
        <v>93</v>
      </c>
      <c r="C115" s="246">
        <f>VLOOKUP($B115,Aop!$A$2:$L$403,5,1)</f>
        <v>401</v>
      </c>
      <c r="D115" s="401" t="str">
        <f>VLOOKUP($B115,Aop!$A$2:$L$403,6,1)</f>
        <v xml:space="preserve">    2. Rezervisanja za troškove obnavljanja prirodnih bogatstava</v>
      </c>
      <c r="E115" s="402"/>
      <c r="F115" s="402"/>
      <c r="G115" s="402"/>
      <c r="H115" s="403"/>
      <c r="I115" s="247">
        <f>VLOOKUP($B115,Aop!$A$2:$L$403,4,1)</f>
        <v>127</v>
      </c>
      <c r="J115" s="257"/>
      <c r="K115" s="258"/>
      <c r="L115" s="311"/>
      <c r="M115" s="312"/>
      <c r="O115" s="30"/>
    </row>
    <row r="116" spans="2:15" x14ac:dyDescent="0.2">
      <c r="B116" s="18">
        <v>94</v>
      </c>
      <c r="C116" s="244">
        <f>VLOOKUP($B116,Aop!$A$2:$L$403,5,1)</f>
        <v>402</v>
      </c>
      <c r="D116" s="404" t="str">
        <f>VLOOKUP($B116,Aop!$A$2:$L$403,6,1)</f>
        <v xml:space="preserve">    3. Rezervisanja za zadržane kaucije i depozite</v>
      </c>
      <c r="E116" s="405"/>
      <c r="F116" s="405"/>
      <c r="G116" s="405"/>
      <c r="H116" s="406"/>
      <c r="I116" s="245">
        <f>VLOOKUP($B116,Aop!$A$2:$L$403,4,1)</f>
        <v>128</v>
      </c>
      <c r="J116" s="259"/>
      <c r="K116" s="260"/>
      <c r="L116" s="313"/>
      <c r="M116" s="314"/>
      <c r="O116" s="30"/>
    </row>
    <row r="117" spans="2:15" x14ac:dyDescent="0.2">
      <c r="B117" s="18">
        <v>95</v>
      </c>
      <c r="C117" s="246">
        <f>VLOOKUP($B117,Aop!$A$2:$L$403,5,1)</f>
        <v>403</v>
      </c>
      <c r="D117" s="401" t="str">
        <f>VLOOKUP($B117,Aop!$A$2:$L$403,6,1)</f>
        <v xml:space="preserve">    4. Rezervisanja za troškove restrukturiranja</v>
      </c>
      <c r="E117" s="402"/>
      <c r="F117" s="402"/>
      <c r="G117" s="402"/>
      <c r="H117" s="403"/>
      <c r="I117" s="247">
        <f>VLOOKUP($B117,Aop!$A$2:$L$403,4,1)</f>
        <v>129</v>
      </c>
      <c r="J117" s="257"/>
      <c r="K117" s="258"/>
      <c r="L117" s="311"/>
      <c r="M117" s="312"/>
      <c r="O117" s="30"/>
    </row>
    <row r="118" spans="2:15" x14ac:dyDescent="0.2">
      <c r="B118" s="18">
        <v>96</v>
      </c>
      <c r="C118" s="244">
        <f>VLOOKUP($B118,Aop!$A$2:$L$403,5,1)</f>
        <v>404</v>
      </c>
      <c r="D118" s="404" t="str">
        <f>VLOOKUP($B118,Aop!$A$2:$L$403,6,1)</f>
        <v xml:space="preserve">    5. Rezervisanja za naknade i beneficije zaposlenih</v>
      </c>
      <c r="E118" s="405"/>
      <c r="F118" s="405"/>
      <c r="G118" s="405"/>
      <c r="H118" s="406"/>
      <c r="I118" s="245">
        <f>VLOOKUP($B118,Aop!$A$2:$L$403,4,1)</f>
        <v>130</v>
      </c>
      <c r="J118" s="259"/>
      <c r="K118" s="260"/>
      <c r="L118" s="313">
        <v>19085</v>
      </c>
      <c r="M118" s="314">
        <v>24060</v>
      </c>
      <c r="O118" s="30"/>
    </row>
    <row r="119" spans="2:15" x14ac:dyDescent="0.2">
      <c r="B119" s="18">
        <v>97</v>
      </c>
      <c r="C119" s="246">
        <f>VLOOKUP($B119,Aop!$A$2:$L$403,5,1)</f>
        <v>405</v>
      </c>
      <c r="D119" s="401" t="str">
        <f>VLOOKUP($B119,Aop!$A$2:$L$403,6,1)</f>
        <v xml:space="preserve">    6. Ostala dugoročna rezervisanja</v>
      </c>
      <c r="E119" s="402"/>
      <c r="F119" s="402"/>
      <c r="G119" s="402"/>
      <c r="H119" s="403"/>
      <c r="I119" s="247">
        <f>VLOOKUP($B119,Aop!$A$2:$L$403,4,1)</f>
        <v>131</v>
      </c>
      <c r="J119" s="257"/>
      <c r="K119" s="258"/>
      <c r="L119" s="311">
        <v>222463</v>
      </c>
      <c r="M119" s="312">
        <v>194769</v>
      </c>
      <c r="O119" s="30"/>
    </row>
    <row r="120" spans="2:15" x14ac:dyDescent="0.2">
      <c r="B120" s="18">
        <v>98</v>
      </c>
      <c r="C120" s="244">
        <f>VLOOKUP($B120,Aop!$A$2:$L$403,5,1)</f>
        <v>0</v>
      </c>
      <c r="D120" s="388" t="str">
        <f>VLOOKUP($B120,Aop!$A$2:$L$403,6,1)</f>
        <v xml:space="preserve">  V. OBAVEZE (133+142)</v>
      </c>
      <c r="E120" s="389"/>
      <c r="F120" s="389"/>
      <c r="G120" s="389"/>
      <c r="H120" s="390"/>
      <c r="I120" s="245">
        <f>VLOOKUP($B120,Aop!$A$2:$L$403,4,1)</f>
        <v>132</v>
      </c>
      <c r="J120" s="45"/>
      <c r="K120" s="46"/>
      <c r="L120" s="84">
        <f>SUM(L121,L130)</f>
        <v>4209954</v>
      </c>
      <c r="M120" s="85">
        <f>SUM(M121,M130)</f>
        <v>3283364</v>
      </c>
      <c r="O120" s="30"/>
    </row>
    <row r="121" spans="2:15" x14ac:dyDescent="0.2">
      <c r="B121" s="18">
        <v>99</v>
      </c>
      <c r="C121" s="246" t="str">
        <f>VLOOKUP($B121,Aop!$A$2:$L$403,5,1)</f>
        <v>41, osim 418</v>
      </c>
      <c r="D121" s="391" t="str">
        <f>VLOOKUP($B121,Aop!$A$2:$L$403,6,1)</f>
        <v xml:space="preserve">    I  DUGOROČNE OBAVEZE (134 do 141)</v>
      </c>
      <c r="E121" s="392"/>
      <c r="F121" s="392"/>
      <c r="G121" s="392"/>
      <c r="H121" s="393"/>
      <c r="I121" s="247">
        <f>VLOOKUP($B121,Aop!$A$2:$L$403,4,1)</f>
        <v>133</v>
      </c>
      <c r="J121" s="47"/>
      <c r="K121" s="48"/>
      <c r="L121" s="86">
        <f>SUM(L122:L129)</f>
        <v>0</v>
      </c>
      <c r="M121" s="87">
        <f>SUM(M122:M129)</f>
        <v>0</v>
      </c>
      <c r="O121" s="30"/>
    </row>
    <row r="122" spans="2:15" x14ac:dyDescent="0.2">
      <c r="B122" s="18">
        <v>100</v>
      </c>
      <c r="C122" s="244">
        <f>VLOOKUP($B122,Aop!$A$2:$L$403,5,1)</f>
        <v>410</v>
      </c>
      <c r="D122" s="404" t="str">
        <f>VLOOKUP($B122,Aop!$A$2:$L$403,6,1)</f>
        <v xml:space="preserve">      1. Obaveze koje se mogu konvertovati u kapital</v>
      </c>
      <c r="E122" s="405"/>
      <c r="F122" s="405"/>
      <c r="G122" s="405"/>
      <c r="H122" s="406"/>
      <c r="I122" s="245">
        <f>VLOOKUP($B122,Aop!$A$2:$L$403,4,1)</f>
        <v>134</v>
      </c>
      <c r="J122" s="259"/>
      <c r="K122" s="260"/>
      <c r="L122" s="313"/>
      <c r="M122" s="314"/>
      <c r="O122" s="30"/>
    </row>
    <row r="123" spans="2:15" x14ac:dyDescent="0.2">
      <c r="B123" s="18">
        <v>101</v>
      </c>
      <c r="C123" s="246">
        <f>VLOOKUP($B123,Aop!$A$2:$L$403,5,1)</f>
        <v>411</v>
      </c>
      <c r="D123" s="401" t="str">
        <f>VLOOKUP($B123,Aop!$A$2:$L$403,6,1)</f>
        <v xml:space="preserve">      2. Obaveze prema povezanim pravnim licima</v>
      </c>
      <c r="E123" s="402"/>
      <c r="F123" s="402"/>
      <c r="G123" s="402"/>
      <c r="H123" s="403"/>
      <c r="I123" s="247">
        <f>VLOOKUP($B123,Aop!$A$2:$L$403,4,1)</f>
        <v>135</v>
      </c>
      <c r="J123" s="257"/>
      <c r="K123" s="258"/>
      <c r="L123" s="311"/>
      <c r="M123" s="312"/>
      <c r="O123" s="30"/>
    </row>
    <row r="124" spans="2:15" x14ac:dyDescent="0.2">
      <c r="B124" s="18">
        <v>102</v>
      </c>
      <c r="C124" s="244">
        <f>VLOOKUP($B124,Aop!$A$2:$L$403,5,1)</f>
        <v>412</v>
      </c>
      <c r="D124" s="404" t="str">
        <f>VLOOKUP($B124,Aop!$A$2:$L$403,6,1)</f>
        <v xml:space="preserve">      3. Obaveze po emitovanim dugoročnim hartijama od vrijednosti</v>
      </c>
      <c r="E124" s="405"/>
      <c r="F124" s="405"/>
      <c r="G124" s="405"/>
      <c r="H124" s="406"/>
      <c r="I124" s="245">
        <f>VLOOKUP($B124,Aop!$A$2:$L$403,4,1)</f>
        <v>136</v>
      </c>
      <c r="J124" s="259"/>
      <c r="K124" s="260"/>
      <c r="L124" s="313"/>
      <c r="M124" s="314"/>
      <c r="O124" s="30"/>
    </row>
    <row r="125" spans="2:15" x14ac:dyDescent="0.2">
      <c r="B125" s="18">
        <v>103</v>
      </c>
      <c r="C125" s="246" t="str">
        <f>VLOOKUP($B125,Aop!$A$2:$L$403,5,1)</f>
        <v>413 i 414</v>
      </c>
      <c r="D125" s="401" t="str">
        <f>VLOOKUP($B125,Aop!$A$2:$L$403,6,1)</f>
        <v xml:space="preserve">      4. Dugoročni krediti</v>
      </c>
      <c r="E125" s="402"/>
      <c r="F125" s="402"/>
      <c r="G125" s="402"/>
      <c r="H125" s="403"/>
      <c r="I125" s="247">
        <f>VLOOKUP($B125,Aop!$A$2:$L$403,4,1)</f>
        <v>137</v>
      </c>
      <c r="J125" s="257"/>
      <c r="K125" s="258"/>
      <c r="L125" s="311"/>
      <c r="M125" s="312"/>
      <c r="O125" s="30"/>
    </row>
    <row r="126" spans="2:15" x14ac:dyDescent="0.2">
      <c r="B126" s="18">
        <v>104</v>
      </c>
      <c r="C126" s="244" t="str">
        <f>VLOOKUP($B126,Aop!$A$2:$L$403,5,1)</f>
        <v>415 i 416</v>
      </c>
      <c r="D126" s="404" t="str">
        <f>VLOOKUP($B126,Aop!$A$2:$L$403,6,1)</f>
        <v xml:space="preserve">      5. Dugoročne obaveze po finansijskom lizingu</v>
      </c>
      <c r="E126" s="405"/>
      <c r="F126" s="405"/>
      <c r="G126" s="405"/>
      <c r="H126" s="406"/>
      <c r="I126" s="245">
        <f>VLOOKUP($B126,Aop!$A$2:$L$403,4,1)</f>
        <v>138</v>
      </c>
      <c r="J126" s="259"/>
      <c r="K126" s="260"/>
      <c r="L126" s="313"/>
      <c r="M126" s="314"/>
      <c r="O126" s="30"/>
    </row>
    <row r="127" spans="2:15" x14ac:dyDescent="0.2">
      <c r="B127" s="18">
        <v>105</v>
      </c>
      <c r="C127" s="246">
        <f>VLOOKUP($B127,Aop!$A$2:$L$403,5,1)</f>
        <v>417</v>
      </c>
      <c r="D127" s="401" t="str">
        <f>VLOOKUP($B127,Aop!$A$2:$L$403,6,1)</f>
        <v xml:space="preserve">      6. Dugoročne obaveze po fer vrijednosti kroz bilans uspjeha</v>
      </c>
      <c r="E127" s="402"/>
      <c r="F127" s="402"/>
      <c r="G127" s="402"/>
      <c r="H127" s="403"/>
      <c r="I127" s="247">
        <f>VLOOKUP($B127,Aop!$A$2:$L$403,4,1)</f>
        <v>139</v>
      </c>
      <c r="J127" s="257"/>
      <c r="K127" s="258"/>
      <c r="L127" s="311"/>
      <c r="M127" s="312"/>
      <c r="O127" s="30"/>
    </row>
    <row r="128" spans="2:15" x14ac:dyDescent="0.2">
      <c r="B128" s="18">
        <v>106</v>
      </c>
      <c r="C128" s="244">
        <f>VLOOKUP($B128,Aop!$A$2:$L$403,5,1)</f>
        <v>418</v>
      </c>
      <c r="D128" s="404" t="str">
        <f>VLOOKUP($B128,Aop!$A$2:$L$403,6,1)</f>
        <v xml:space="preserve">      7. Odložene poreske obaveze</v>
      </c>
      <c r="E128" s="405"/>
      <c r="F128" s="405"/>
      <c r="G128" s="405"/>
      <c r="H128" s="406"/>
      <c r="I128" s="245">
        <f>VLOOKUP($B128,Aop!$A$2:$L$403,4,1)</f>
        <v>140</v>
      </c>
      <c r="J128" s="259"/>
      <c r="K128" s="260"/>
      <c r="L128" s="313"/>
      <c r="M128" s="314"/>
      <c r="O128" s="30"/>
    </row>
    <row r="129" spans="2:15" x14ac:dyDescent="0.2">
      <c r="B129" s="18">
        <v>107</v>
      </c>
      <c r="C129" s="246">
        <f>VLOOKUP($B129,Aop!$A$2:$L$403,5,1)</f>
        <v>419</v>
      </c>
      <c r="D129" s="401" t="str">
        <f>VLOOKUP($B129,Aop!$A$2:$L$403,6,1)</f>
        <v xml:space="preserve">      8. Ostale dugoročne obaveze</v>
      </c>
      <c r="E129" s="402"/>
      <c r="F129" s="402"/>
      <c r="G129" s="402"/>
      <c r="H129" s="403"/>
      <c r="I129" s="247">
        <f>VLOOKUP($B129,Aop!$A$2:$L$403,4,1)</f>
        <v>141</v>
      </c>
      <c r="J129" s="257"/>
      <c r="K129" s="258"/>
      <c r="L129" s="311"/>
      <c r="M129" s="312"/>
      <c r="O129" s="30"/>
    </row>
    <row r="130" spans="2:15" x14ac:dyDescent="0.2">
      <c r="B130" s="18">
        <v>108</v>
      </c>
      <c r="C130" s="244" t="str">
        <f>VLOOKUP($B130,Aop!$A$2:$L$403,5,1)</f>
        <v>42 do 48</v>
      </c>
      <c r="D130" s="388" t="str">
        <f>VLOOKUP($B130,Aop!$A$2:$L$403,6,1)</f>
        <v xml:space="preserve">    II  KRATKOROČNE OBAVEZE (143+148+153+154+155+156+157+158+159+160)</v>
      </c>
      <c r="E130" s="389"/>
      <c r="F130" s="389"/>
      <c r="G130" s="389"/>
      <c r="H130" s="390"/>
      <c r="I130" s="245">
        <f>VLOOKUP($B130,Aop!$A$2:$L$403,4,1)</f>
        <v>142</v>
      </c>
      <c r="J130" s="45"/>
      <c r="K130" s="46"/>
      <c r="L130" s="84">
        <f>SUM(L131,L136,L141,L142,L143,L144,L145,L146,L147,L148)</f>
        <v>4209954</v>
      </c>
      <c r="M130" s="85">
        <f>SUM(M131,M136,M141,M142,M143,M144,M145,M146,M147,M148)</f>
        <v>3283364</v>
      </c>
      <c r="O130" s="30"/>
    </row>
    <row r="131" spans="2:15" x14ac:dyDescent="0.2">
      <c r="B131" s="18">
        <v>109</v>
      </c>
      <c r="C131" s="246">
        <f>VLOOKUP($B131,Aop!$A$2:$L$403,5,1)</f>
        <v>42</v>
      </c>
      <c r="D131" s="401" t="str">
        <f>VLOOKUP($B131,Aop!$A$2:$L$403,6,1)</f>
        <v xml:space="preserve">      1. Kratkoročne finansijske obaveze (144 do 147)</v>
      </c>
      <c r="E131" s="402"/>
      <c r="F131" s="402"/>
      <c r="G131" s="402"/>
      <c r="H131" s="403"/>
      <c r="I131" s="247">
        <f>VLOOKUP($B131,Aop!$A$2:$L$403,4,1)</f>
        <v>143</v>
      </c>
      <c r="J131" s="47"/>
      <c r="K131" s="48"/>
      <c r="L131" s="315">
        <f>SUM(L132:L135)</f>
        <v>2050058</v>
      </c>
      <c r="M131" s="316">
        <f>SUM(M132:M135)</f>
        <v>2053445</v>
      </c>
      <c r="O131" s="30"/>
    </row>
    <row r="132" spans="2:15" ht="25.5" x14ac:dyDescent="0.2">
      <c r="B132" s="18">
        <v>110</v>
      </c>
      <c r="C132" s="244" t="str">
        <f>VLOOKUP($B132,Aop!$A$2:$L$403,5,1)</f>
        <v>420 do 423</v>
      </c>
      <c r="D132" s="404" t="str">
        <f>VLOOKUP($B132,Aop!$A$2:$L$403,6,1)</f>
        <v xml:space="preserve">        a) Kratkoročni krediti i obaveze po emitovanim kratkoročnim hartijama od vrijednosti</v>
      </c>
      <c r="E132" s="405"/>
      <c r="F132" s="405"/>
      <c r="G132" s="405"/>
      <c r="H132" s="406"/>
      <c r="I132" s="245">
        <f>VLOOKUP($B132,Aop!$A$2:$L$403,4,1)</f>
        <v>144</v>
      </c>
      <c r="J132" s="259"/>
      <c r="K132" s="260"/>
      <c r="L132" s="313">
        <v>2050058</v>
      </c>
      <c r="M132" s="314">
        <v>2050058</v>
      </c>
      <c r="O132" s="277" t="s">
        <v>1484</v>
      </c>
    </row>
    <row r="133" spans="2:15" ht="25.5" x14ac:dyDescent="0.2">
      <c r="B133" s="18">
        <v>111</v>
      </c>
      <c r="C133" s="246" t="str">
        <f>VLOOKUP($B133,Aop!$A$2:$L$403,5,1)</f>
        <v>424 i 425</v>
      </c>
      <c r="D133" s="401" t="str">
        <f>VLOOKUP($B133,Aop!$A$2:$L$403,6,1)</f>
        <v xml:space="preserve">        b) Dio dugoročnih finansijskih obaveza koji za plaćanje dospijeva u periodu do godinu dana</v>
      </c>
      <c r="E133" s="402"/>
      <c r="F133" s="402"/>
      <c r="G133" s="402"/>
      <c r="H133" s="403"/>
      <c r="I133" s="247">
        <f>VLOOKUP($B133,Aop!$A$2:$L$403,4,1)</f>
        <v>145</v>
      </c>
      <c r="J133" s="257"/>
      <c r="K133" s="258"/>
      <c r="L133" s="311"/>
      <c r="M133" s="312">
        <v>3387</v>
      </c>
      <c r="O133" s="277" t="s">
        <v>1484</v>
      </c>
    </row>
    <row r="134" spans="2:15" x14ac:dyDescent="0.2">
      <c r="B134" s="18">
        <v>112</v>
      </c>
      <c r="C134" s="244">
        <f>VLOOKUP($B134,Aop!$A$2:$L$403,5,1)</f>
        <v>426</v>
      </c>
      <c r="D134" s="404" t="str">
        <f>VLOOKUP($B134,Aop!$A$2:$L$403,6,1)</f>
        <v xml:space="preserve">        v) Kratkoročne obaveze po fer vrijednosti kroz bilans uspjeha</v>
      </c>
      <c r="E134" s="405"/>
      <c r="F134" s="405"/>
      <c r="G134" s="405"/>
      <c r="H134" s="406"/>
      <c r="I134" s="245">
        <f>VLOOKUP($B134,Aop!$A$2:$L$403,4,1)</f>
        <v>146</v>
      </c>
      <c r="J134" s="261"/>
      <c r="K134" s="262"/>
      <c r="L134" s="313"/>
      <c r="M134" s="314"/>
      <c r="O134" s="30"/>
    </row>
    <row r="135" spans="2:15" x14ac:dyDescent="0.2">
      <c r="B135" s="18">
        <v>113</v>
      </c>
      <c r="C135" s="246">
        <f>VLOOKUP($B135,Aop!$A$2:$L$403,5,1)</f>
        <v>429</v>
      </c>
      <c r="D135" s="401" t="str">
        <f>VLOOKUP($B135,Aop!$A$2:$L$403,6,1)</f>
        <v xml:space="preserve">        g) Ostale kratkoročne finansijske obaveze</v>
      </c>
      <c r="E135" s="402"/>
      <c r="F135" s="402"/>
      <c r="G135" s="402"/>
      <c r="H135" s="403"/>
      <c r="I135" s="247">
        <f>VLOOKUP($B135,Aop!$A$2:$L$403,4,1)</f>
        <v>147</v>
      </c>
      <c r="J135" s="257"/>
      <c r="K135" s="258"/>
      <c r="L135" s="311"/>
      <c r="M135" s="312"/>
      <c r="O135" s="30"/>
    </row>
    <row r="136" spans="2:15" x14ac:dyDescent="0.2">
      <c r="B136" s="18">
        <v>114</v>
      </c>
      <c r="C136" s="244">
        <f>VLOOKUP($B136,Aop!$A$2:$L$403,5,1)</f>
        <v>43</v>
      </c>
      <c r="D136" s="404" t="str">
        <f>VLOOKUP($B136,Aop!$A$2:$L$403,6,1)</f>
        <v xml:space="preserve">      2. Obaveze iz poslovanja (149 do 152)</v>
      </c>
      <c r="E136" s="405"/>
      <c r="F136" s="405"/>
      <c r="G136" s="405"/>
      <c r="H136" s="406"/>
      <c r="I136" s="245">
        <f>VLOOKUP($B136,Aop!$A$2:$L$403,4,1)</f>
        <v>148</v>
      </c>
      <c r="J136" s="45"/>
      <c r="K136" s="46"/>
      <c r="L136" s="309">
        <f>SUM(L137:L140)</f>
        <v>2060180</v>
      </c>
      <c r="M136" s="310">
        <f>SUM(M137:M140)</f>
        <v>1124031</v>
      </c>
      <c r="O136" s="30"/>
    </row>
    <row r="137" spans="2:15" x14ac:dyDescent="0.2">
      <c r="B137" s="18">
        <v>115</v>
      </c>
      <c r="C137" s="246">
        <f>VLOOKUP($B137,Aop!$A$2:$L$403,5,1)</f>
        <v>430</v>
      </c>
      <c r="D137" s="401" t="str">
        <f>VLOOKUP($B137,Aop!$A$2:$L$403,6,1)</f>
        <v xml:space="preserve">        a) Primljeni avansi, depoziti i kaucije</v>
      </c>
      <c r="E137" s="402"/>
      <c r="F137" s="402"/>
      <c r="G137" s="402"/>
      <c r="H137" s="403"/>
      <c r="I137" s="247">
        <f>VLOOKUP($B137,Aop!$A$2:$L$403,4,1)</f>
        <v>149</v>
      </c>
      <c r="J137" s="257"/>
      <c r="K137" s="258"/>
      <c r="L137" s="311">
        <v>11034</v>
      </c>
      <c r="M137" s="312">
        <v>654</v>
      </c>
      <c r="O137" s="30"/>
    </row>
    <row r="138" spans="2:15" x14ac:dyDescent="0.2">
      <c r="B138" s="18">
        <v>116</v>
      </c>
      <c r="C138" s="244">
        <f>VLOOKUP($B138,Aop!$A$2:$L$403,5,1)</f>
        <v>431</v>
      </c>
      <c r="D138" s="404" t="str">
        <f>VLOOKUP($B138,Aop!$A$2:$L$403,6,1)</f>
        <v xml:space="preserve">        b) Dobavljači - povezana pravna lica</v>
      </c>
      <c r="E138" s="405"/>
      <c r="F138" s="405"/>
      <c r="G138" s="405"/>
      <c r="H138" s="406"/>
      <c r="I138" s="245">
        <f>VLOOKUP($B138,Aop!$A$2:$L$403,4,1)</f>
        <v>150</v>
      </c>
      <c r="J138" s="259"/>
      <c r="K138" s="260"/>
      <c r="L138" s="313">
        <v>228954</v>
      </c>
      <c r="M138" s="314">
        <v>128238</v>
      </c>
      <c r="O138" s="30"/>
    </row>
    <row r="139" spans="2:15" x14ac:dyDescent="0.2">
      <c r="B139" s="18">
        <v>117</v>
      </c>
      <c r="C139" s="246" t="str">
        <f>VLOOKUP($B139,Aop!$A$2:$L$403,5,1)</f>
        <v>432 i 433</v>
      </c>
      <c r="D139" s="401" t="str">
        <f>VLOOKUP($B139,Aop!$A$2:$L$403,6,1)</f>
        <v xml:space="preserve">        v) Ostali dobavljači</v>
      </c>
      <c r="E139" s="402"/>
      <c r="F139" s="402"/>
      <c r="G139" s="402"/>
      <c r="H139" s="403"/>
      <c r="I139" s="247">
        <f>VLOOKUP($B139,Aop!$A$2:$L$403,4,1)</f>
        <v>151</v>
      </c>
      <c r="J139" s="257"/>
      <c r="K139" s="258"/>
      <c r="L139" s="311">
        <v>1820192</v>
      </c>
      <c r="M139" s="312">
        <v>995139</v>
      </c>
      <c r="O139" s="30"/>
    </row>
    <row r="140" spans="2:15" x14ac:dyDescent="0.2">
      <c r="B140" s="18">
        <v>118</v>
      </c>
      <c r="C140" s="244">
        <f>VLOOKUP($B140,Aop!$A$2:$L$403,5,1)</f>
        <v>439</v>
      </c>
      <c r="D140" s="404" t="str">
        <f>VLOOKUP($B140,Aop!$A$2:$L$403,6,1)</f>
        <v xml:space="preserve">        g) Ostale obaveze iz poslovanja</v>
      </c>
      <c r="E140" s="405"/>
      <c r="F140" s="405"/>
      <c r="G140" s="405"/>
      <c r="H140" s="406"/>
      <c r="I140" s="245">
        <f>VLOOKUP($B140,Aop!$A$2:$L$403,4,1)</f>
        <v>152</v>
      </c>
      <c r="J140" s="259"/>
      <c r="K140" s="260"/>
      <c r="L140" s="313"/>
      <c r="M140" s="314"/>
      <c r="O140" s="30"/>
    </row>
    <row r="141" spans="2:15" x14ac:dyDescent="0.2">
      <c r="B141" s="18">
        <v>119</v>
      </c>
      <c r="C141" s="246" t="str">
        <f>VLOOKUP($B141,Aop!$A$2:$L$403,5,1)</f>
        <v>440 do 449</v>
      </c>
      <c r="D141" s="401" t="str">
        <f>VLOOKUP($B141,Aop!$A$2:$L$403,6,1)</f>
        <v xml:space="preserve">      3. Obaveze iz specifičnih poslova</v>
      </c>
      <c r="E141" s="402"/>
      <c r="F141" s="402"/>
      <c r="G141" s="402"/>
      <c r="H141" s="403"/>
      <c r="I141" s="247">
        <f>VLOOKUP($B141,Aop!$A$2:$L$403,4,1)</f>
        <v>153</v>
      </c>
      <c r="J141" s="257"/>
      <c r="K141" s="258"/>
      <c r="L141" s="311"/>
      <c r="M141" s="312"/>
      <c r="O141" s="30"/>
    </row>
    <row r="142" spans="2:15" x14ac:dyDescent="0.2">
      <c r="B142" s="18">
        <v>120</v>
      </c>
      <c r="C142" s="244" t="str">
        <f>VLOOKUP($B142,Aop!$A$2:$L$403,5,1)</f>
        <v>450 do 458</v>
      </c>
      <c r="D142" s="404" t="str">
        <f>VLOOKUP($B142,Aop!$A$2:$L$403,6,1)</f>
        <v xml:space="preserve">      4. Obaveze za zarade i naknade zarada</v>
      </c>
      <c r="E142" s="405"/>
      <c r="F142" s="405"/>
      <c r="G142" s="405"/>
      <c r="H142" s="406"/>
      <c r="I142" s="245">
        <f>VLOOKUP($B142,Aop!$A$2:$L$403,4,1)</f>
        <v>154</v>
      </c>
      <c r="J142" s="259"/>
      <c r="K142" s="260"/>
      <c r="L142" s="313">
        <v>49688</v>
      </c>
      <c r="M142" s="314">
        <v>44167</v>
      </c>
      <c r="O142" s="30"/>
    </row>
    <row r="143" spans="2:15" x14ac:dyDescent="0.2">
      <c r="B143" s="18">
        <v>121</v>
      </c>
      <c r="C143" s="246" t="str">
        <f>VLOOKUP($B143,Aop!$A$2:$L$403,5,1)</f>
        <v>460 do 469</v>
      </c>
      <c r="D143" s="401" t="str">
        <f>VLOOKUP($B143,Aop!$A$2:$L$403,6,1)</f>
        <v xml:space="preserve">      5. Druge obaveze</v>
      </c>
      <c r="E143" s="402"/>
      <c r="F143" s="402"/>
      <c r="G143" s="402"/>
      <c r="H143" s="403"/>
      <c r="I143" s="247">
        <f>VLOOKUP($B143,Aop!$A$2:$L$403,4,1)</f>
        <v>155</v>
      </c>
      <c r="J143" s="257"/>
      <c r="K143" s="258"/>
      <c r="L143" s="311">
        <v>223</v>
      </c>
      <c r="M143" s="312">
        <v>3062</v>
      </c>
      <c r="O143" s="30"/>
    </row>
    <row r="144" spans="2:15" x14ac:dyDescent="0.2">
      <c r="B144" s="18">
        <v>122</v>
      </c>
      <c r="C144" s="244" t="str">
        <f>VLOOKUP($B144,Aop!$A$2:$L$403,5,1)</f>
        <v>470 do 479</v>
      </c>
      <c r="D144" s="404" t="str">
        <f>VLOOKUP($B144,Aop!$A$2:$L$403,6,1)</f>
        <v xml:space="preserve">      6. Porez na dodatu vrijednost</v>
      </c>
      <c r="E144" s="405"/>
      <c r="F144" s="405"/>
      <c r="G144" s="405"/>
      <c r="H144" s="406"/>
      <c r="I144" s="245">
        <f>VLOOKUP($B144,Aop!$A$2:$L$403,4,1)</f>
        <v>156</v>
      </c>
      <c r="J144" s="259"/>
      <c r="K144" s="260"/>
      <c r="L144" s="313">
        <v>1</v>
      </c>
      <c r="M144" s="314">
        <v>9601</v>
      </c>
      <c r="O144" s="30"/>
    </row>
    <row r="145" spans="2:15" x14ac:dyDescent="0.2">
      <c r="B145" s="18">
        <v>123</v>
      </c>
      <c r="C145" s="246" t="str">
        <f>VLOOKUP($B145,Aop!$A$2:$L$403,5,1)</f>
        <v>48 osim 481</v>
      </c>
      <c r="D145" s="401" t="str">
        <f>VLOOKUP($B145,Aop!$A$2:$L$403,6,1)</f>
        <v xml:space="preserve">      7. Obaveze za ostale poreze, doprinose i druge dažbine</v>
      </c>
      <c r="E145" s="402"/>
      <c r="F145" s="402"/>
      <c r="G145" s="402"/>
      <c r="H145" s="403"/>
      <c r="I145" s="247">
        <f>VLOOKUP($B145,Aop!$A$2:$L$403,4,1)</f>
        <v>157</v>
      </c>
      <c r="J145" s="257"/>
      <c r="K145" s="258"/>
      <c r="L145" s="311">
        <v>44165</v>
      </c>
      <c r="M145" s="312">
        <v>7951</v>
      </c>
      <c r="O145" s="30"/>
    </row>
    <row r="146" spans="2:15" x14ac:dyDescent="0.2">
      <c r="B146" s="18">
        <v>124</v>
      </c>
      <c r="C146" s="244">
        <f>VLOOKUP($B146,Aop!$A$2:$L$403,5,1)</f>
        <v>481</v>
      </c>
      <c r="D146" s="404" t="str">
        <f>VLOOKUP($B146,Aop!$A$2:$L$403,6,1)</f>
        <v xml:space="preserve">      8. Obaveze za porez na dobitak</v>
      </c>
      <c r="E146" s="405"/>
      <c r="F146" s="405"/>
      <c r="G146" s="405"/>
      <c r="H146" s="406"/>
      <c r="I146" s="245">
        <f>VLOOKUP($B146,Aop!$A$2:$L$403,4,1)</f>
        <v>158</v>
      </c>
      <c r="J146" s="259"/>
      <c r="K146" s="260"/>
      <c r="L146" s="313"/>
      <c r="M146" s="314"/>
      <c r="O146" s="30"/>
    </row>
    <row r="147" spans="2:15" x14ac:dyDescent="0.2">
      <c r="B147" s="18">
        <v>125</v>
      </c>
      <c r="C147" s="246" t="str">
        <f>VLOOKUP($B147,Aop!$A$2:$L$403,5,1)</f>
        <v>49, osim 495</v>
      </c>
      <c r="D147" s="401" t="str">
        <f>VLOOKUP($B147,Aop!$A$2:$L$403,6,1)</f>
        <v xml:space="preserve">      9. Pasivna vremenska razgraničenja</v>
      </c>
      <c r="E147" s="402"/>
      <c r="F147" s="402"/>
      <c r="G147" s="402"/>
      <c r="H147" s="403"/>
      <c r="I147" s="247">
        <f>VLOOKUP($B147,Aop!$A$2:$L$403,4,1)</f>
        <v>159</v>
      </c>
      <c r="J147" s="257"/>
      <c r="K147" s="258"/>
      <c r="L147" s="311">
        <v>5639</v>
      </c>
      <c r="M147" s="312">
        <v>41107</v>
      </c>
      <c r="O147" s="30"/>
    </row>
    <row r="148" spans="2:15" x14ac:dyDescent="0.2">
      <c r="B148" s="18">
        <v>126</v>
      </c>
      <c r="C148" s="244">
        <f>VLOOKUP($B148,Aop!$A$2:$L$403,5,1)</f>
        <v>495</v>
      </c>
      <c r="D148" s="404" t="str">
        <f>VLOOKUP($B148,Aop!$A$2:$L$403,6,1)</f>
        <v xml:space="preserve">      10. Odložene poreske obaveze</v>
      </c>
      <c r="E148" s="405"/>
      <c r="F148" s="405"/>
      <c r="G148" s="405"/>
      <c r="H148" s="406"/>
      <c r="I148" s="245">
        <f>VLOOKUP($B148,Aop!$A$2:$L$403,4,1)</f>
        <v>160</v>
      </c>
      <c r="J148" s="259"/>
      <c r="K148" s="260"/>
      <c r="L148" s="313"/>
      <c r="M148" s="314"/>
      <c r="O148" s="30"/>
    </row>
    <row r="149" spans="2:15" x14ac:dyDescent="0.2">
      <c r="B149" s="18">
        <v>127</v>
      </c>
      <c r="C149" s="246">
        <f>VLOOKUP($B149,Aop!$A$2:$L$403,5,1)</f>
        <v>0</v>
      </c>
      <c r="D149" s="391" t="str">
        <f>VLOOKUP($B149,Aop!$A$2:$L$403,6,1)</f>
        <v xml:space="preserve">  G. POSLOVNA PASIVA (101+125+132)</v>
      </c>
      <c r="E149" s="392"/>
      <c r="F149" s="392"/>
      <c r="G149" s="392"/>
      <c r="H149" s="393"/>
      <c r="I149" s="247">
        <f>VLOOKUP($B149,Aop!$A$2:$L$403,4,1)</f>
        <v>161</v>
      </c>
      <c r="J149" s="47"/>
      <c r="K149" s="48"/>
      <c r="L149" s="86">
        <f>SUM(L89,L113,L120)</f>
        <v>7434309</v>
      </c>
      <c r="M149" s="87">
        <f>SUM(M89,M113,M120)</f>
        <v>6499580</v>
      </c>
      <c r="O149" s="30"/>
    </row>
    <row r="150" spans="2:15" x14ac:dyDescent="0.2">
      <c r="B150" s="18">
        <v>128</v>
      </c>
      <c r="C150" s="244" t="str">
        <f>VLOOKUP($B150,Aop!$A$2:$L$403,5,1)</f>
        <v>890 do 898</v>
      </c>
      <c r="D150" s="388" t="str">
        <f>VLOOKUP($B150,Aop!$A$2:$L$403,6,1)</f>
        <v xml:space="preserve">  D. VANBILANSNA PASIVA</v>
      </c>
      <c r="E150" s="389"/>
      <c r="F150" s="389"/>
      <c r="G150" s="389"/>
      <c r="H150" s="390"/>
      <c r="I150" s="245">
        <f>VLOOKUP($B150,Aop!$A$2:$L$403,4,1)</f>
        <v>162</v>
      </c>
      <c r="J150" s="259"/>
      <c r="K150" s="260"/>
      <c r="L150" s="322"/>
      <c r="M150" s="323"/>
      <c r="O150" s="30"/>
    </row>
    <row r="151" spans="2:15" x14ac:dyDescent="0.2">
      <c r="B151" s="18">
        <v>129</v>
      </c>
      <c r="C151" s="263">
        <f>VLOOKUP($B151,Aop!$A$2:$L$403,5,1)</f>
        <v>0</v>
      </c>
      <c r="D151" s="422" t="str">
        <f>VLOOKUP($B151,Aop!$A$2:$L$403,6,1)</f>
        <v xml:space="preserve">  Đ. UKUPNA PASIVA (161+162)</v>
      </c>
      <c r="E151" s="423"/>
      <c r="F151" s="423"/>
      <c r="G151" s="423"/>
      <c r="H151" s="424"/>
      <c r="I151" s="264">
        <f>VLOOKUP($B151,Aop!$A$2:$L$403,4,1)</f>
        <v>163</v>
      </c>
      <c r="J151" s="49"/>
      <c r="K151" s="50"/>
      <c r="L151" s="88">
        <f>SUM(L149,L150)</f>
        <v>7434309</v>
      </c>
      <c r="M151" s="89">
        <f>SUM(M149,M150)</f>
        <v>6499580</v>
      </c>
      <c r="O151" s="30"/>
    </row>
    <row r="152" spans="2:15" x14ac:dyDescent="0.2">
      <c r="C152" s="273"/>
      <c r="D152" s="267"/>
      <c r="E152" s="267"/>
      <c r="F152" s="267"/>
      <c r="G152" s="267"/>
      <c r="H152" s="267"/>
      <c r="I152" s="266"/>
      <c r="J152" s="266"/>
    </row>
    <row r="153" spans="2:15" x14ac:dyDescent="0.2">
      <c r="C153" s="273"/>
      <c r="D153" s="267"/>
      <c r="E153" s="267"/>
      <c r="F153" s="266"/>
      <c r="G153" s="266"/>
      <c r="H153" s="266"/>
      <c r="I153" s="268"/>
      <c r="J153" s="274" t="str">
        <f>Podnozje_U</f>
        <v>U</v>
      </c>
      <c r="K153" s="75" t="str">
        <f>Podatak_U</f>
        <v>DOBOJ</v>
      </c>
      <c r="L153" s="55"/>
      <c r="M153" s="55"/>
    </row>
    <row r="154" spans="2:15" x14ac:dyDescent="0.2">
      <c r="C154" s="273"/>
      <c r="D154" s="267"/>
      <c r="E154" s="267"/>
      <c r="F154" s="266"/>
      <c r="G154" s="266"/>
      <c r="H154" s="275" t="str">
        <f>Podnozje_MP</f>
        <v>(M.P.)</v>
      </c>
      <c r="I154" s="266"/>
      <c r="J154" s="274" t="str">
        <f>Podnozje_Dana</f>
        <v>Dana,</v>
      </c>
      <c r="K154" s="76" t="str">
        <f>Podatak_Dana</f>
        <v>27.02.2015.</v>
      </c>
      <c r="L154" s="57"/>
      <c r="M154" s="57"/>
    </row>
    <row r="155" spans="2:15" x14ac:dyDescent="0.2">
      <c r="C155" s="266"/>
      <c r="D155" s="266"/>
      <c r="E155" s="266"/>
      <c r="F155" s="266"/>
      <c r="G155" s="266"/>
      <c r="H155" s="275"/>
      <c r="I155" s="275"/>
      <c r="J155" s="274" t="str">
        <f>Podnozje_Lice_sa_licencom</f>
        <v>Lice sa licencom:</v>
      </c>
      <c r="K155" s="76" t="str">
        <f>Podatak_Lice_sa_licencom</f>
        <v>Edina Hadžikadunić</v>
      </c>
      <c r="L155" s="58"/>
      <c r="M155" s="58"/>
    </row>
    <row r="156" spans="2:15" x14ac:dyDescent="0.2">
      <c r="C156" s="266"/>
      <c r="D156" s="266"/>
      <c r="E156" s="266"/>
      <c r="F156" s="266"/>
      <c r="G156" s="266"/>
      <c r="H156" s="266"/>
      <c r="I156" s="276"/>
      <c r="J156" s="274" t="str">
        <f>Podnozje_Direktor</f>
        <v>Direktor:</v>
      </c>
      <c r="K156" s="76" t="str">
        <f>Podatak_Direktor</f>
        <v>Peterne Marosy Katalin</v>
      </c>
      <c r="L156" s="55"/>
      <c r="M156" s="55"/>
    </row>
    <row r="157" spans="2:15" x14ac:dyDescent="0.2">
      <c r="C157" s="15"/>
      <c r="D157" s="8"/>
      <c r="E157" s="8"/>
      <c r="F157" s="8"/>
      <c r="G157" s="8"/>
      <c r="H157" s="60"/>
      <c r="I157" s="60"/>
      <c r="J157" s="60"/>
      <c r="K157" s="9"/>
      <c r="L157" s="54"/>
      <c r="M157" s="54"/>
    </row>
    <row r="158" spans="2:15" hidden="1" x14ac:dyDescent="0.2">
      <c r="C158" s="15"/>
      <c r="D158" s="8"/>
      <c r="E158" s="8"/>
      <c r="F158" s="8"/>
      <c r="G158" s="8"/>
      <c r="H158" s="8"/>
      <c r="I158" s="8"/>
    </row>
    <row r="159" spans="2:15" hidden="1" x14ac:dyDescent="0.2">
      <c r="C159" s="8"/>
      <c r="D159" s="8"/>
      <c r="E159" s="8"/>
      <c r="F159" s="8"/>
      <c r="G159" s="8"/>
      <c r="H159" s="8"/>
      <c r="I159" s="8"/>
    </row>
    <row r="160" spans="2:15" hidden="1" x14ac:dyDescent="0.2">
      <c r="I160" s="32"/>
      <c r="J160" s="32"/>
      <c r="K160" s="32"/>
      <c r="L160" s="32"/>
      <c r="M160" s="32"/>
    </row>
    <row r="161" hidden="1" x14ac:dyDescent="0.2"/>
  </sheetData>
  <sheetProtection password="FE56" sheet="1" objects="1" scenarios="1"/>
  <mergeCells count="158">
    <mergeCell ref="D150:H150"/>
    <mergeCell ref="D151:H151"/>
    <mergeCell ref="D5:E5"/>
    <mergeCell ref="D6:E6"/>
    <mergeCell ref="D10:E10"/>
    <mergeCell ref="D11:E11"/>
    <mergeCell ref="C12:M12"/>
    <mergeCell ref="C13:M13"/>
    <mergeCell ref="C14:M14"/>
    <mergeCell ref="D144:H144"/>
    <mergeCell ref="D145:H145"/>
    <mergeCell ref="D146:H146"/>
    <mergeCell ref="D147:H147"/>
    <mergeCell ref="D148:H148"/>
    <mergeCell ref="D149:H149"/>
    <mergeCell ref="D138:H138"/>
    <mergeCell ref="D139:H139"/>
    <mergeCell ref="D140:H140"/>
    <mergeCell ref="D141:H141"/>
    <mergeCell ref="D142:H142"/>
    <mergeCell ref="D143:H143"/>
    <mergeCell ref="D132:H132"/>
    <mergeCell ref="D133:H133"/>
    <mergeCell ref="D134:H134"/>
    <mergeCell ref="D135:H135"/>
    <mergeCell ref="D136:H136"/>
    <mergeCell ref="D137:H137"/>
    <mergeCell ref="D126:H126"/>
    <mergeCell ref="D127:H127"/>
    <mergeCell ref="D128:H128"/>
    <mergeCell ref="D129:H129"/>
    <mergeCell ref="D130:H130"/>
    <mergeCell ref="D131:H131"/>
    <mergeCell ref="D120:H120"/>
    <mergeCell ref="D121:H121"/>
    <mergeCell ref="D122:H122"/>
    <mergeCell ref="D123:H123"/>
    <mergeCell ref="D124:H124"/>
    <mergeCell ref="D125:H125"/>
    <mergeCell ref="D114:H114"/>
    <mergeCell ref="D115:H115"/>
    <mergeCell ref="D116:H116"/>
    <mergeCell ref="D117:H117"/>
    <mergeCell ref="D118:H118"/>
    <mergeCell ref="D119:H119"/>
    <mergeCell ref="D108:H108"/>
    <mergeCell ref="D109:H109"/>
    <mergeCell ref="D110:H110"/>
    <mergeCell ref="D111:H111"/>
    <mergeCell ref="D112:H112"/>
    <mergeCell ref="D113:H113"/>
    <mergeCell ref="D102:H102"/>
    <mergeCell ref="D103:H103"/>
    <mergeCell ref="D104:H104"/>
    <mergeCell ref="D105:H105"/>
    <mergeCell ref="D106:H106"/>
    <mergeCell ref="D107:H107"/>
    <mergeCell ref="D96:H96"/>
    <mergeCell ref="D97:H97"/>
    <mergeCell ref="D98:H98"/>
    <mergeCell ref="D99:H99"/>
    <mergeCell ref="D100:H100"/>
    <mergeCell ref="D101:H101"/>
    <mergeCell ref="D91:H91"/>
    <mergeCell ref="D90:H90"/>
    <mergeCell ref="D92:H92"/>
    <mergeCell ref="D93:H93"/>
    <mergeCell ref="D94:H94"/>
    <mergeCell ref="D95:H95"/>
    <mergeCell ref="D37:H37"/>
    <mergeCell ref="D38:H38"/>
    <mergeCell ref="D39:H39"/>
    <mergeCell ref="D40:H40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I16:I17"/>
    <mergeCell ref="C16:C17"/>
    <mergeCell ref="J16:L16"/>
    <mergeCell ref="C9:F9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70:H70"/>
    <mergeCell ref="D71:H71"/>
    <mergeCell ref="D56:H56"/>
    <mergeCell ref="D57:H57"/>
    <mergeCell ref="D58:H58"/>
    <mergeCell ref="D59:H59"/>
    <mergeCell ref="D61:H61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74:H74"/>
    <mergeCell ref="D75:H75"/>
    <mergeCell ref="D76:H76"/>
    <mergeCell ref="D77:H77"/>
    <mergeCell ref="D78:H78"/>
    <mergeCell ref="D82:H82"/>
    <mergeCell ref="D83:H83"/>
    <mergeCell ref="D60:H60"/>
    <mergeCell ref="D50:H50"/>
    <mergeCell ref="D51:H51"/>
    <mergeCell ref="D52:H52"/>
    <mergeCell ref="D53:H53"/>
    <mergeCell ref="D54:H54"/>
    <mergeCell ref="D55:H55"/>
    <mergeCell ref="D72:H72"/>
    <mergeCell ref="D73:H73"/>
    <mergeCell ref="D62:H62"/>
    <mergeCell ref="D63:H63"/>
    <mergeCell ref="D64:H64"/>
    <mergeCell ref="D65:H65"/>
    <mergeCell ref="D66:H66"/>
    <mergeCell ref="D67:H67"/>
    <mergeCell ref="D68:H68"/>
    <mergeCell ref="D69:H69"/>
    <mergeCell ref="D88:H88"/>
    <mergeCell ref="D89:H89"/>
    <mergeCell ref="J85:K86"/>
    <mergeCell ref="J87:K87"/>
    <mergeCell ref="C85:C86"/>
    <mergeCell ref="I85:I86"/>
    <mergeCell ref="L85:L86"/>
    <mergeCell ref="M85:M86"/>
    <mergeCell ref="D79:H79"/>
    <mergeCell ref="D80:H80"/>
    <mergeCell ref="D81:H81"/>
    <mergeCell ref="D85:H86"/>
    <mergeCell ref="D87:H87"/>
  </mergeCells>
  <phoneticPr fontId="0" type="noConversion"/>
  <conditionalFormatting sqref="L89:M89">
    <cfRule type="expression" dxfId="65" priority="1" stopIfTrue="1">
      <formula>L$89&lt;0</formula>
    </cfRule>
  </conditionalFormatting>
  <dataValidations count="3">
    <dataValidation type="whole" operator="greaterThanOrEqual" allowBlank="1" showInputMessage="1" showErrorMessage="1" errorTitle="Greška" error="Unose se vrijednosti u konvertibilnim markama, bez decimalnih mjesta. Nije dozvoljen unos negativnih brojeva." sqref="K82 L91:M98 K22:K26 L150:M150 L137:M148 L132:M135 L122:M129 L114:M119 L111:M112 L106:M109 L100:M104 M82 J82 J75:J80 M75:M80 K75:K80 K66:K73 M66:M73 J66:J73 J60:J64 M60:M64 K60:K64 K52:K57 M52:M57 J52:J57 J41:J49 M41:M49 K41:K49 K35:K39 M35:M39 J35:J39 J28:J33 M28:M33 K28:K33 J23:J26 M22:M26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sqref="J2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K27 M27 J34:K34 M34 J40:K40 M40 J50:K51 M50:M51 J58:K59 M58:M59 J65:K65 M65 J74:K74 M74 J81:K81 M81 L20:L82 J83:M83 L89:M90 L99:M99 L105:M105 L110:M110 L113:M113 L120:M121 L130:M131 L136:M136 L149:M149 L151:M151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fitToHeight="2" orientation="landscape" blackAndWhite="1" r:id="rId1"/>
  <headerFooter alignWithMargins="0">
    <oddFooter>&amp;R&amp;"Verdana,Regular"&amp;8Strana &amp;P od &amp;N</oddFooter>
  </headerFooter>
  <rowBreaks count="1" manualBreakCount="1">
    <brk id="83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10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O142"/>
  <sheetViews>
    <sheetView showGridLines="0" showRowColHeaders="0" zoomScaleNormal="100" zoomScaleSheetLayoutView="100" workbookViewId="0">
      <pane ySplit="4" topLeftCell="A95" activePane="bottomLeft" state="frozen"/>
      <selection activeCell="D54" sqref="D54:H54"/>
      <selection pane="bottomLeft" activeCell="J132" sqref="J132"/>
    </sheetView>
  </sheetViews>
  <sheetFormatPr defaultColWidth="0" defaultRowHeight="12.75" zeroHeight="1" x14ac:dyDescent="0.2"/>
  <cols>
    <col min="1" max="1" width="5.7109375" style="8" customWidth="1"/>
    <col min="2" max="2" width="4" style="8" hidden="1" customWidth="1"/>
    <col min="3" max="8" width="14.285156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3.85546875" style="8" hidden="1" customWidth="1"/>
    <col min="16" max="16384" width="9.140625" style="8" hidden="1"/>
  </cols>
  <sheetData>
    <row r="1" spans="3:13" ht="12.75" customHeight="1" x14ac:dyDescent="0.2">
      <c r="C1" s="21"/>
      <c r="D1" s="21"/>
      <c r="E1" s="21"/>
      <c r="F1" s="21"/>
      <c r="G1" s="21"/>
      <c r="H1" s="21"/>
      <c r="I1" s="21"/>
      <c r="J1" s="21"/>
      <c r="K1" s="21"/>
    </row>
    <row r="2" spans="3:13" ht="12.75" customHeight="1" x14ac:dyDescent="0.2">
      <c r="C2" s="21"/>
      <c r="D2" s="21"/>
      <c r="E2" s="21"/>
      <c r="F2" s="21"/>
      <c r="G2" s="21"/>
      <c r="H2" s="21"/>
      <c r="I2" s="21"/>
      <c r="J2" s="21"/>
      <c r="K2" s="21"/>
    </row>
    <row r="3" spans="3:13" ht="12.75" customHeight="1" x14ac:dyDescent="0.2">
      <c r="C3" s="21"/>
      <c r="D3" s="21"/>
      <c r="E3" s="21"/>
      <c r="F3" s="21"/>
      <c r="G3" s="21"/>
      <c r="H3" s="21"/>
      <c r="I3" s="21"/>
      <c r="J3" s="21"/>
      <c r="K3" s="21"/>
    </row>
    <row r="4" spans="3:13" ht="12.75" customHeight="1" x14ac:dyDescent="0.2">
      <c r="C4" s="21"/>
      <c r="D4" s="21"/>
      <c r="E4" s="21"/>
      <c r="F4" s="21"/>
      <c r="G4" s="21"/>
      <c r="H4" s="21"/>
      <c r="I4" s="21"/>
      <c r="J4" s="21"/>
      <c r="K4" s="21"/>
    </row>
    <row r="5" spans="3:13" ht="12.75" customHeight="1" x14ac:dyDescent="0.2">
      <c r="C5" s="17" t="str">
        <f>Zaglavlje_MB</f>
        <v>Matični broj:</v>
      </c>
      <c r="D5" s="441" t="str">
        <f>Podatak_MB</f>
        <v>11029752</v>
      </c>
      <c r="E5" s="441"/>
      <c r="I5" s="18" t="str">
        <f>Zaglavlje_Ziro_racun</f>
        <v>Žiro računi:</v>
      </c>
      <c r="J5" s="437" t="str">
        <f>Podatak_Ziro_racun_1</f>
        <v>161-000-01178100-03</v>
      </c>
      <c r="K5" s="437"/>
    </row>
    <row r="6" spans="3:13" ht="12.75" customHeight="1" x14ac:dyDescent="0.2">
      <c r="C6" s="17" t="str">
        <f>Zaglavlje_Sifra_djelatnosti</f>
        <v>Šifra djelatnosti:</v>
      </c>
      <c r="D6" s="441" t="str">
        <f>Podatak_Sifra_djelatnosti</f>
        <v>08.11</v>
      </c>
      <c r="E6" s="441"/>
      <c r="F6" s="9"/>
      <c r="J6" s="437" t="str">
        <f>Podatak_Ziro_racun_2</f>
        <v>562-005-80690000-55</v>
      </c>
      <c r="K6" s="437"/>
    </row>
    <row r="7" spans="3:13" ht="12.75" customHeight="1" x14ac:dyDescent="0.2">
      <c r="C7" s="442" t="str">
        <f>Zaglavlje_Naziv_preduzeca</f>
        <v>Naziv privrednog društva, zadruge, drugog pravnog lica ili preduzetnika:</v>
      </c>
      <c r="D7" s="442"/>
      <c r="E7" s="442"/>
      <c r="F7" s="20"/>
      <c r="J7" s="437" t="str">
        <f>Podatak_Ziro_racun_3</f>
        <v/>
      </c>
      <c r="K7" s="437"/>
    </row>
    <row r="8" spans="3:13" ht="12.75" customHeight="1" x14ac:dyDescent="0.2">
      <c r="C8" s="442"/>
      <c r="D8" s="442"/>
      <c r="E8" s="442"/>
      <c r="F8" s="20"/>
      <c r="J8" s="437" t="str">
        <f>Podatak_Ziro_racun_4</f>
        <v/>
      </c>
      <c r="K8" s="437"/>
    </row>
    <row r="9" spans="3:13" ht="12.75" customHeight="1" x14ac:dyDescent="0.2">
      <c r="C9" s="444" t="str">
        <f>Podatak_Naziv_preduzeca</f>
        <v>RUDNIK KREČNJAKA CARMEUSE A.D. DOBOJ</v>
      </c>
      <c r="D9" s="444"/>
      <c r="E9" s="444"/>
      <c r="F9" s="444"/>
      <c r="J9" s="437" t="str">
        <f>Podatak_Ziro_racun_5</f>
        <v/>
      </c>
      <c r="K9" s="437"/>
    </row>
    <row r="10" spans="3:13" ht="12.75" customHeight="1" x14ac:dyDescent="0.2">
      <c r="C10" s="17" t="str">
        <f>Zaglavlje_Sjediste</f>
        <v>Sjedište:</v>
      </c>
      <c r="D10" s="441" t="str">
        <f>Podatak_Sjediste</f>
        <v>Ševarlije 322</v>
      </c>
      <c r="E10" s="441"/>
      <c r="F10" s="17"/>
      <c r="J10" s="437" t="str">
        <f>Podatak_Ziro_racun_6</f>
        <v/>
      </c>
      <c r="K10" s="437"/>
    </row>
    <row r="11" spans="3:13" ht="12.75" customHeight="1" x14ac:dyDescent="0.2">
      <c r="C11" s="17" t="str">
        <f>Zaglavlje_JIB</f>
        <v>JIB:</v>
      </c>
      <c r="D11" s="441" t="str">
        <f>Podatak_JIB</f>
        <v>4402748120004</v>
      </c>
      <c r="E11" s="441"/>
      <c r="F11" s="21"/>
      <c r="G11" s="21"/>
      <c r="H11" s="21"/>
      <c r="I11" s="21"/>
      <c r="J11"/>
      <c r="K11"/>
    </row>
    <row r="12" spans="3:13" ht="15.75" customHeight="1" x14ac:dyDescent="0.2">
      <c r="C12" s="426" t="str">
        <f>Nazivi_bilansa_BUa</f>
        <v>Bilans uspjeha</v>
      </c>
      <c r="D12" s="426"/>
      <c r="E12" s="426"/>
      <c r="F12" s="426"/>
      <c r="G12" s="426"/>
      <c r="H12" s="426"/>
      <c r="I12" s="426"/>
      <c r="J12" s="426"/>
      <c r="K12" s="426"/>
      <c r="L12" s="61"/>
    </row>
    <row r="13" spans="3:13" ht="12.75" customHeight="1" x14ac:dyDescent="0.2">
      <c r="C13" s="440" t="str">
        <f>Nazivi_bilansa_BUa1</f>
        <v>(Izvještaj o ukupnom rezultatu u periodu)</v>
      </c>
      <c r="D13" s="440"/>
      <c r="E13" s="440"/>
      <c r="F13" s="440"/>
      <c r="G13" s="440"/>
      <c r="H13" s="440"/>
      <c r="I13" s="440"/>
      <c r="J13" s="440"/>
      <c r="K13" s="440"/>
      <c r="L13" s="61"/>
    </row>
    <row r="14" spans="3:13" ht="12.75" customHeight="1" x14ac:dyDescent="0.2">
      <c r="C14" s="440" t="str">
        <f>Datumi_Datum_BU</f>
        <v>za period od 01.01. do 31.12.2014. godine</v>
      </c>
      <c r="D14" s="440"/>
      <c r="E14" s="440"/>
      <c r="F14" s="440"/>
      <c r="G14" s="440"/>
      <c r="H14" s="440"/>
      <c r="I14" s="440"/>
      <c r="J14" s="440"/>
      <c r="K14" s="440"/>
    </row>
    <row r="15" spans="3:13" ht="12.75" customHeight="1" x14ac:dyDescent="0.2">
      <c r="C15" s="63"/>
      <c r="D15" s="63"/>
      <c r="E15" s="63"/>
      <c r="F15" s="63"/>
      <c r="G15" s="63"/>
      <c r="H15" s="63"/>
      <c r="I15" s="63"/>
      <c r="J15" s="63"/>
      <c r="K15" s="24" t="str">
        <f>Tabele_zaglavlje_Valuta</f>
        <v>- u konvertibilnim markama -</v>
      </c>
    </row>
    <row r="16" spans="3:13" ht="12.75" customHeight="1" x14ac:dyDescent="0.2">
      <c r="C16" s="438" t="str">
        <f>Tabele_zaglavlje_Grupa_racuna</f>
        <v>Grupa računa, račun</v>
      </c>
      <c r="D16" s="431" t="str">
        <f>Tabele_zaglavlje_Pozicija</f>
        <v>Pozicija</v>
      </c>
      <c r="E16" s="431"/>
      <c r="F16" s="431"/>
      <c r="G16" s="431"/>
      <c r="H16" s="431"/>
      <c r="I16" s="429" t="str">
        <f>Tabele_zaglavlje_Oznaka_aop</f>
        <v>Oznaka za AOP</v>
      </c>
      <c r="J16" s="431" t="str">
        <f>Tabele_zaglavlje_Iznos</f>
        <v>Iznos</v>
      </c>
      <c r="K16" s="432"/>
      <c r="M16" s="64"/>
    </row>
    <row r="17" spans="2:15" ht="25.5" customHeight="1" x14ac:dyDescent="0.2">
      <c r="C17" s="439"/>
      <c r="D17" s="443"/>
      <c r="E17" s="443"/>
      <c r="F17" s="443"/>
      <c r="G17" s="443"/>
      <c r="H17" s="443"/>
      <c r="I17" s="430"/>
      <c r="J17" s="65" t="str">
        <f>Tabele_zaglavlje_Tekuca_godina</f>
        <v>Tekuća godina</v>
      </c>
      <c r="K17" s="66" t="str">
        <f>Tabele_zaglavlje_Prethodna_godina</f>
        <v>Prethodna godina</v>
      </c>
      <c r="M17" s="64"/>
      <c r="O17" s="278" t="s">
        <v>1862</v>
      </c>
    </row>
    <row r="18" spans="2:15" ht="12.75" customHeight="1" x14ac:dyDescent="0.2">
      <c r="B18" s="67" t="s">
        <v>810</v>
      </c>
      <c r="C18" s="122">
        <v>1</v>
      </c>
      <c r="D18" s="445">
        <v>2</v>
      </c>
      <c r="E18" s="445"/>
      <c r="F18" s="445"/>
      <c r="G18" s="445"/>
      <c r="H18" s="445"/>
      <c r="I18" s="123">
        <v>3</v>
      </c>
      <c r="J18" s="123">
        <v>4</v>
      </c>
      <c r="K18" s="124">
        <v>5</v>
      </c>
    </row>
    <row r="19" spans="2:15" ht="12.75" customHeight="1" x14ac:dyDescent="0.2">
      <c r="B19" s="18">
        <v>130</v>
      </c>
      <c r="C19" s="125">
        <f>VLOOKUP($B19,Aop!$A$2:$L$403,5,1)</f>
        <v>0</v>
      </c>
      <c r="D19" s="446" t="str">
        <f>VLOOKUP($B19,Aop!$A$2:$L$403,6,1)</f>
        <v>A. POSLOVNI PRIHODI I RASHODI</v>
      </c>
      <c r="E19" s="446"/>
      <c r="F19" s="446"/>
      <c r="G19" s="446"/>
      <c r="H19" s="446"/>
      <c r="I19" s="126">
        <f>VLOOKUP($B19,Aop!$A$2:$L$403,4,1)</f>
        <v>0</v>
      </c>
      <c r="J19" s="324"/>
      <c r="K19" s="325"/>
      <c r="O19" s="95"/>
    </row>
    <row r="20" spans="2:15" ht="12.75" customHeight="1" x14ac:dyDescent="0.2">
      <c r="B20" s="18">
        <v>131</v>
      </c>
      <c r="C20" s="105">
        <f>VLOOKUP($B20,Aop!$A$2:$L$403,5,1)</f>
        <v>0</v>
      </c>
      <c r="D20" s="436" t="str">
        <f>VLOOKUP($B20,Aop!$A$2:$L$403,6,1)</f>
        <v xml:space="preserve">    I  POSLOVNI PRIHODI (202+206+210+211-212+213-214+215)</v>
      </c>
      <c r="E20" s="436"/>
      <c r="F20" s="436"/>
      <c r="G20" s="436"/>
      <c r="H20" s="436"/>
      <c r="I20" s="106">
        <f>VLOOKUP($B20,Aop!$A$2:$L$403,4,1)</f>
        <v>201</v>
      </c>
      <c r="J20" s="107">
        <f>IF(SUM(J21,J25,J29,J30,-J31,J32,-J33,J34)&lt;0,0,SUM(J21,J25,J29,J30,-J31,J32,-J33,J34))</f>
        <v>4298320</v>
      </c>
      <c r="K20" s="108">
        <f>IF(SUM(K21,K25,K29,K30,-K31,K32,-K33,K34)&lt;0,0,SUM(K21,K25,K29,K30,-K31,K32,-K33,K34))</f>
        <v>2850868</v>
      </c>
      <c r="O20" s="95"/>
    </row>
    <row r="21" spans="2:15" ht="12.75" customHeight="1" x14ac:dyDescent="0.2">
      <c r="B21" s="18">
        <v>132</v>
      </c>
      <c r="C21" s="109">
        <f>VLOOKUP($B21,Aop!$A$2:$L$403,5,1)</f>
        <v>60</v>
      </c>
      <c r="D21" s="434" t="str">
        <f>VLOOKUP($B21,Aop!$A$2:$L$403,6,1)</f>
        <v xml:space="preserve">      1. Prihodi od prodaje robe (203 do 205)</v>
      </c>
      <c r="E21" s="434"/>
      <c r="F21" s="434"/>
      <c r="G21" s="434"/>
      <c r="H21" s="434"/>
      <c r="I21" s="110">
        <f>VLOOKUP($B21,Aop!$A$2:$L$403,4,1)</f>
        <v>202</v>
      </c>
      <c r="J21" s="300">
        <f>SUM(J22:J24)</f>
        <v>0</v>
      </c>
      <c r="K21" s="302">
        <f>SUM(K22:K24)</f>
        <v>0</v>
      </c>
      <c r="O21" s="95"/>
    </row>
    <row r="22" spans="2:15" ht="12.75" customHeight="1" x14ac:dyDescent="0.2">
      <c r="B22" s="18">
        <v>133</v>
      </c>
      <c r="C22" s="105">
        <f>VLOOKUP($B22,Aop!$A$2:$L$403,5,1)</f>
        <v>600</v>
      </c>
      <c r="D22" s="433" t="str">
        <f>VLOOKUP($B22,Aop!$A$2:$L$403,6,1)</f>
        <v xml:space="preserve">        a) Prihodi od prodaje robe povezanim pravnim licima</v>
      </c>
      <c r="E22" s="433"/>
      <c r="F22" s="433"/>
      <c r="G22" s="433"/>
      <c r="H22" s="433"/>
      <c r="I22" s="106">
        <f>VLOOKUP($B22,Aop!$A$2:$L$403,4,1)</f>
        <v>203</v>
      </c>
      <c r="J22" s="326"/>
      <c r="K22" s="327"/>
      <c r="O22" s="95"/>
    </row>
    <row r="23" spans="2:15" ht="12.75" customHeight="1" x14ac:dyDescent="0.2">
      <c r="B23" s="18">
        <v>134</v>
      </c>
      <c r="C23" s="109">
        <f>VLOOKUP($B23,Aop!$A$2:$L$403,5,1)</f>
        <v>601</v>
      </c>
      <c r="D23" s="434" t="str">
        <f>VLOOKUP($B23,Aop!$A$2:$L$403,6,1)</f>
        <v xml:space="preserve">        b) Prihodi od prodaje robe na domaćem tržištu</v>
      </c>
      <c r="E23" s="434"/>
      <c r="F23" s="434"/>
      <c r="G23" s="434"/>
      <c r="H23" s="434"/>
      <c r="I23" s="110">
        <f>VLOOKUP($B23,Aop!$A$2:$L$403,4,1)</f>
        <v>204</v>
      </c>
      <c r="J23" s="328"/>
      <c r="K23" s="329"/>
      <c r="O23" s="95"/>
    </row>
    <row r="24" spans="2:15" ht="12.75" customHeight="1" x14ac:dyDescent="0.2">
      <c r="B24" s="18">
        <v>135</v>
      </c>
      <c r="C24" s="105">
        <f>VLOOKUP($B24,Aop!$A$2:$L$403,5,1)</f>
        <v>602</v>
      </c>
      <c r="D24" s="433" t="str">
        <f>VLOOKUP($B24,Aop!$A$2:$L$403,6,1)</f>
        <v xml:space="preserve">        v) Prihodi od prodaje robe na inostranom tržištu</v>
      </c>
      <c r="E24" s="433"/>
      <c r="F24" s="433"/>
      <c r="G24" s="433"/>
      <c r="H24" s="433"/>
      <c r="I24" s="106">
        <f>VLOOKUP($B24,Aop!$A$2:$L$403,4,1)</f>
        <v>205</v>
      </c>
      <c r="J24" s="326"/>
      <c r="K24" s="327"/>
      <c r="O24" s="95"/>
    </row>
    <row r="25" spans="2:15" ht="12.75" customHeight="1" x14ac:dyDescent="0.2">
      <c r="B25" s="18">
        <v>136</v>
      </c>
      <c r="C25" s="109">
        <f>VLOOKUP($B25,Aop!$A$2:$L$403,5,1)</f>
        <v>61</v>
      </c>
      <c r="D25" s="434" t="str">
        <f>VLOOKUP($B25,Aop!$A$2:$L$403,6,1)</f>
        <v xml:space="preserve">      2. Prihodi od prodaje učinaka (207 do 209)</v>
      </c>
      <c r="E25" s="434"/>
      <c r="F25" s="434"/>
      <c r="G25" s="434"/>
      <c r="H25" s="434"/>
      <c r="I25" s="110">
        <f>VLOOKUP($B25,Aop!$A$2:$L$403,4,1)</f>
        <v>206</v>
      </c>
      <c r="J25" s="300">
        <f>SUM(J26:J28)</f>
        <v>4868700</v>
      </c>
      <c r="K25" s="302">
        <f>SUM(K26:K28)</f>
        <v>2334546</v>
      </c>
      <c r="O25" s="95"/>
    </row>
    <row r="26" spans="2:15" ht="12.75" customHeight="1" x14ac:dyDescent="0.2">
      <c r="B26" s="18">
        <v>137</v>
      </c>
      <c r="C26" s="105">
        <f>VLOOKUP($B26,Aop!$A$2:$L$403,5,1)</f>
        <v>610</v>
      </c>
      <c r="D26" s="433" t="str">
        <f>VLOOKUP($B26,Aop!$A$2:$L$403,6,1)</f>
        <v xml:space="preserve">        a) Prihodi od prodaje učinaka povezanim pravnim licima</v>
      </c>
      <c r="E26" s="433"/>
      <c r="F26" s="433"/>
      <c r="G26" s="433"/>
      <c r="H26" s="433"/>
      <c r="I26" s="106">
        <f>VLOOKUP($B26,Aop!$A$2:$L$403,4,1)</f>
        <v>207</v>
      </c>
      <c r="J26" s="326">
        <v>1661278</v>
      </c>
      <c r="K26" s="327">
        <v>1455025</v>
      </c>
      <c r="O26" s="95"/>
    </row>
    <row r="27" spans="2:15" ht="12.75" customHeight="1" x14ac:dyDescent="0.2">
      <c r="B27" s="18">
        <v>138</v>
      </c>
      <c r="C27" s="109">
        <f>VLOOKUP($B27,Aop!$A$2:$L$403,5,1)</f>
        <v>611</v>
      </c>
      <c r="D27" s="434" t="str">
        <f>VLOOKUP($B27,Aop!$A$2:$L$403,6,1)</f>
        <v xml:space="preserve">        b) Prihodi od prodaje učinaka na domaćem tržištu</v>
      </c>
      <c r="E27" s="434"/>
      <c r="F27" s="434"/>
      <c r="G27" s="434"/>
      <c r="H27" s="434"/>
      <c r="I27" s="110">
        <f>VLOOKUP($B27,Aop!$A$2:$L$403,4,1)</f>
        <v>208</v>
      </c>
      <c r="J27" s="328">
        <v>3201119</v>
      </c>
      <c r="K27" s="329">
        <v>879052</v>
      </c>
      <c r="O27" s="95"/>
    </row>
    <row r="28" spans="2:15" ht="12.75" customHeight="1" x14ac:dyDescent="0.2">
      <c r="B28" s="18">
        <v>139</v>
      </c>
      <c r="C28" s="105">
        <f>VLOOKUP($B28,Aop!$A$2:$L$403,5,1)</f>
        <v>612</v>
      </c>
      <c r="D28" s="433" t="str">
        <f>VLOOKUP($B28,Aop!$A$2:$L$403,6,1)</f>
        <v xml:space="preserve">        v) Prihodi od prodaje učinaka na inostranom tržištu</v>
      </c>
      <c r="E28" s="433"/>
      <c r="F28" s="433"/>
      <c r="G28" s="433"/>
      <c r="H28" s="433"/>
      <c r="I28" s="106">
        <f>VLOOKUP($B28,Aop!$A$2:$L$403,4,1)</f>
        <v>209</v>
      </c>
      <c r="J28" s="326">
        <v>6303</v>
      </c>
      <c r="K28" s="327">
        <v>469</v>
      </c>
      <c r="O28" s="95"/>
    </row>
    <row r="29" spans="2:15" ht="12.75" customHeight="1" x14ac:dyDescent="0.2">
      <c r="B29" s="18">
        <v>140</v>
      </c>
      <c r="C29" s="109">
        <f>VLOOKUP($B29,Aop!$A$2:$L$403,5,1)</f>
        <v>62</v>
      </c>
      <c r="D29" s="434" t="str">
        <f>VLOOKUP($B29,Aop!$A$2:$L$403,6,1)</f>
        <v xml:space="preserve">      3. Prihodi od aktiviranja ili potrošnje robe i učinaka</v>
      </c>
      <c r="E29" s="434"/>
      <c r="F29" s="434"/>
      <c r="G29" s="434"/>
      <c r="H29" s="434"/>
      <c r="I29" s="110">
        <f>VLOOKUP($B29,Aop!$A$2:$L$403,4,1)</f>
        <v>210</v>
      </c>
      <c r="J29" s="328"/>
      <c r="K29" s="329"/>
      <c r="O29" s="95"/>
    </row>
    <row r="30" spans="2:15" ht="12.75" customHeight="1" x14ac:dyDescent="0.2">
      <c r="B30" s="18">
        <v>141</v>
      </c>
      <c r="C30" s="105">
        <f>VLOOKUP($B30,Aop!$A$2:$L$403,5,1)</f>
        <v>630</v>
      </c>
      <c r="D30" s="433" t="str">
        <f>VLOOKUP($B30,Aop!$A$2:$L$403,6,1)</f>
        <v xml:space="preserve">      4. Povećanje vrijednosti zaliha učinaka</v>
      </c>
      <c r="E30" s="433"/>
      <c r="F30" s="433"/>
      <c r="G30" s="433"/>
      <c r="H30" s="433"/>
      <c r="I30" s="106">
        <f>VLOOKUP($B30,Aop!$A$2:$L$403,4,1)</f>
        <v>211</v>
      </c>
      <c r="J30" s="326">
        <v>3728945</v>
      </c>
      <c r="K30" s="327">
        <v>2677410</v>
      </c>
      <c r="O30" s="95"/>
    </row>
    <row r="31" spans="2:15" ht="12.75" customHeight="1" x14ac:dyDescent="0.2">
      <c r="B31" s="18">
        <v>142</v>
      </c>
      <c r="C31" s="109">
        <f>VLOOKUP($B31,Aop!$A$2:$L$403,5,1)</f>
        <v>631</v>
      </c>
      <c r="D31" s="434" t="str">
        <f>VLOOKUP($B31,Aop!$A$2:$L$403,6,1)</f>
        <v xml:space="preserve">      5. Smanjenje vrijednosti zaliha učinaka</v>
      </c>
      <c r="E31" s="434"/>
      <c r="F31" s="434"/>
      <c r="G31" s="434"/>
      <c r="H31" s="434"/>
      <c r="I31" s="110">
        <f>VLOOKUP($B31,Aop!$A$2:$L$403,4,1)</f>
        <v>212</v>
      </c>
      <c r="J31" s="328">
        <v>4340327</v>
      </c>
      <c r="K31" s="329">
        <v>2165527</v>
      </c>
      <c r="O31" s="95"/>
    </row>
    <row r="32" spans="2:15" ht="25.5" customHeight="1" x14ac:dyDescent="0.2">
      <c r="B32" s="18">
        <v>143</v>
      </c>
      <c r="C32" s="105" t="str">
        <f>VLOOKUP($B32,Aop!$A$2:$L$403,5,1)</f>
        <v>640 i 641</v>
      </c>
      <c r="D32" s="433" t="str">
        <f>VLOOKUP($B32,Aop!$A$2:$L$403,6,1)</f>
        <v xml:space="preserve">      6. Povećanje vrijednosti investicionih nekretnina i bioloških sredstava koja se ne amortizuju</v>
      </c>
      <c r="E32" s="433"/>
      <c r="F32" s="433"/>
      <c r="G32" s="433"/>
      <c r="H32" s="433"/>
      <c r="I32" s="106">
        <f>VLOOKUP($B32,Aop!$A$2:$L$403,4,1)</f>
        <v>213</v>
      </c>
      <c r="J32" s="326"/>
      <c r="K32" s="327"/>
      <c r="O32" s="277" t="s">
        <v>1484</v>
      </c>
    </row>
    <row r="33" spans="2:15" ht="25.5" customHeight="1" x14ac:dyDescent="0.2">
      <c r="B33" s="18">
        <v>144</v>
      </c>
      <c r="C33" s="109" t="str">
        <f>VLOOKUP($B33,Aop!$A$2:$L$403,5,1)</f>
        <v>642 i 643</v>
      </c>
      <c r="D33" s="434" t="str">
        <f>VLOOKUP($B33,Aop!$A$2:$L$403,6,1)</f>
        <v xml:space="preserve">      7. Smanjenje vrijednosti investicionih nekretnina i bioloških sredstava koja se ne amortizuju</v>
      </c>
      <c r="E33" s="434"/>
      <c r="F33" s="434"/>
      <c r="G33" s="434"/>
      <c r="H33" s="434"/>
      <c r="I33" s="110">
        <f>VLOOKUP($B33,Aop!$A$2:$L$403,4,1)</f>
        <v>214</v>
      </c>
      <c r="J33" s="328"/>
      <c r="K33" s="329"/>
      <c r="O33" s="277" t="s">
        <v>1484</v>
      </c>
    </row>
    <row r="34" spans="2:15" ht="12.75" customHeight="1" x14ac:dyDescent="0.2">
      <c r="B34" s="18">
        <v>145</v>
      </c>
      <c r="C34" s="105" t="str">
        <f>VLOOKUP($B34,Aop!$A$2:$L$403,5,1)</f>
        <v>650 do 659</v>
      </c>
      <c r="D34" s="433" t="str">
        <f>VLOOKUP($B34,Aop!$A$2:$L$403,6,1)</f>
        <v xml:space="preserve">      8. Ostali poslovni prihodi</v>
      </c>
      <c r="E34" s="433"/>
      <c r="F34" s="433"/>
      <c r="G34" s="433"/>
      <c r="H34" s="433"/>
      <c r="I34" s="106">
        <f>VLOOKUP($B34,Aop!$A$2:$L$403,4,1)</f>
        <v>215</v>
      </c>
      <c r="J34" s="326">
        <v>41002</v>
      </c>
      <c r="K34" s="327">
        <v>4439</v>
      </c>
      <c r="O34" s="95"/>
    </row>
    <row r="35" spans="2:15" ht="12.75" customHeight="1" x14ac:dyDescent="0.2">
      <c r="B35" s="18">
        <v>146</v>
      </c>
      <c r="C35" s="109">
        <f>VLOOKUP($B35,Aop!$A$2:$L$403,5,1)</f>
        <v>0</v>
      </c>
      <c r="D35" s="435" t="str">
        <f>VLOOKUP($B35,Aop!$A$2:$L$403,6,1)</f>
        <v xml:space="preserve">    II  POSLOVNI RASHODI (217+218+219+222+223+226+227+228)</v>
      </c>
      <c r="E35" s="435"/>
      <c r="F35" s="435"/>
      <c r="G35" s="435"/>
      <c r="H35" s="435"/>
      <c r="I35" s="110">
        <f>VLOOKUP($B35,Aop!$A$2:$L$403,4,1)</f>
        <v>216</v>
      </c>
      <c r="J35" s="111">
        <f>SUM(J36:J38,J41,J42,J45,J46,J47)</f>
        <v>4319899</v>
      </c>
      <c r="K35" s="112">
        <f>SUM(K36:K38,K41,K42,K45,K46,K47)</f>
        <v>3294033</v>
      </c>
      <c r="O35" s="95"/>
    </row>
    <row r="36" spans="2:15" ht="12.75" customHeight="1" x14ac:dyDescent="0.2">
      <c r="B36" s="18">
        <v>147</v>
      </c>
      <c r="C36" s="105" t="str">
        <f>VLOOKUP($B36,Aop!$A$2:$L$403,5,1)</f>
        <v>500 do 502</v>
      </c>
      <c r="D36" s="433" t="str">
        <f>VLOOKUP($B36,Aop!$A$2:$L$403,6,1)</f>
        <v xml:space="preserve">      1. Nabavna vrijednost prodate robe</v>
      </c>
      <c r="E36" s="433"/>
      <c r="F36" s="433"/>
      <c r="G36" s="433"/>
      <c r="H36" s="433"/>
      <c r="I36" s="106">
        <f>VLOOKUP($B36,Aop!$A$2:$L$403,4,1)</f>
        <v>217</v>
      </c>
      <c r="J36" s="326">
        <v>113</v>
      </c>
      <c r="K36" s="327">
        <v>3650</v>
      </c>
      <c r="O36" s="95"/>
    </row>
    <row r="37" spans="2:15" ht="12.75" customHeight="1" x14ac:dyDescent="0.2">
      <c r="B37" s="18">
        <v>148</v>
      </c>
      <c r="C37" s="109" t="str">
        <f>VLOOKUP($B37,Aop!$A$2:$L$403,5,1)</f>
        <v>510 do 513</v>
      </c>
      <c r="D37" s="434" t="str">
        <f>VLOOKUP($B37,Aop!$A$2:$L$403,6,1)</f>
        <v xml:space="preserve">      2. Troškovi materijala</v>
      </c>
      <c r="E37" s="434"/>
      <c r="F37" s="434"/>
      <c r="G37" s="434"/>
      <c r="H37" s="434"/>
      <c r="I37" s="110">
        <f>VLOOKUP($B37,Aop!$A$2:$L$403,4,1)</f>
        <v>218</v>
      </c>
      <c r="J37" s="328">
        <v>450928</v>
      </c>
      <c r="K37" s="329">
        <v>364608</v>
      </c>
      <c r="O37" s="95"/>
    </row>
    <row r="38" spans="2:15" ht="12.75" customHeight="1" x14ac:dyDescent="0.2">
      <c r="B38" s="18">
        <v>149</v>
      </c>
      <c r="C38" s="105">
        <f>VLOOKUP($B38,Aop!$A$2:$L$403,5,1)</f>
        <v>52</v>
      </c>
      <c r="D38" s="433" t="str">
        <f>VLOOKUP($B38,Aop!$A$2:$L$403,6,1)</f>
        <v xml:space="preserve">      3. Troškovi zarada, naknada zarada i ostalih ličnih rashoda (220+221)</v>
      </c>
      <c r="E38" s="433"/>
      <c r="F38" s="433"/>
      <c r="G38" s="433"/>
      <c r="H38" s="433"/>
      <c r="I38" s="106">
        <f>VLOOKUP($B38,Aop!$A$2:$L$403,4,1)</f>
        <v>219</v>
      </c>
      <c r="J38" s="299">
        <f>SUM(J39:J40)</f>
        <v>551319</v>
      </c>
      <c r="K38" s="301">
        <f>SUM(K39:K40)</f>
        <v>576547</v>
      </c>
      <c r="O38" s="95"/>
    </row>
    <row r="39" spans="2:15" ht="12.75" customHeight="1" x14ac:dyDescent="0.2">
      <c r="B39" s="18">
        <v>150</v>
      </c>
      <c r="C39" s="109" t="str">
        <f>VLOOKUP($B39,Aop!$A$2:$L$403,5,1)</f>
        <v>520 i 521</v>
      </c>
      <c r="D39" s="434" t="str">
        <f>VLOOKUP($B39,Aop!$A$2:$L$403,6,1)</f>
        <v xml:space="preserve">        a) Troškovi bruto zarada i bruto naknada zarada</v>
      </c>
      <c r="E39" s="434"/>
      <c r="F39" s="434"/>
      <c r="G39" s="434"/>
      <c r="H39" s="434"/>
      <c r="I39" s="110">
        <f>VLOOKUP($B39,Aop!$A$2:$L$403,4,1)</f>
        <v>220</v>
      </c>
      <c r="J39" s="328">
        <v>498213</v>
      </c>
      <c r="K39" s="329">
        <v>537546</v>
      </c>
      <c r="O39" s="95"/>
    </row>
    <row r="40" spans="2:15" ht="12.75" customHeight="1" x14ac:dyDescent="0.2">
      <c r="B40" s="18">
        <v>151</v>
      </c>
      <c r="C40" s="105" t="str">
        <f>VLOOKUP($B40,Aop!$A$2:$L$403,5,1)</f>
        <v>522 i 529</v>
      </c>
      <c r="D40" s="433" t="str">
        <f>VLOOKUP($B40,Aop!$A$2:$L$403,6,1)</f>
        <v xml:space="preserve">        b) Ostali lični rashodi</v>
      </c>
      <c r="E40" s="433"/>
      <c r="F40" s="433"/>
      <c r="G40" s="433"/>
      <c r="H40" s="433"/>
      <c r="I40" s="106">
        <f>VLOOKUP($B40,Aop!$A$2:$L$403,4,1)</f>
        <v>221</v>
      </c>
      <c r="J40" s="326">
        <v>53106</v>
      </c>
      <c r="K40" s="327">
        <v>39001</v>
      </c>
      <c r="O40" s="95"/>
    </row>
    <row r="41" spans="2:15" ht="12.75" customHeight="1" x14ac:dyDescent="0.2">
      <c r="B41" s="18">
        <v>152</v>
      </c>
      <c r="C41" s="109" t="str">
        <f>VLOOKUP($B41,Aop!$A$2:$L$403,5,1)</f>
        <v>530 do 539</v>
      </c>
      <c r="D41" s="434" t="str">
        <f>VLOOKUP($B41,Aop!$A$2:$L$403,6,1)</f>
        <v xml:space="preserve">      4. Troškovi proizvodnih usluga</v>
      </c>
      <c r="E41" s="434"/>
      <c r="F41" s="434"/>
      <c r="G41" s="434"/>
      <c r="H41" s="434"/>
      <c r="I41" s="110">
        <f>VLOOKUP($B41,Aop!$A$2:$L$403,4,1)</f>
        <v>222</v>
      </c>
      <c r="J41" s="328">
        <v>2060225</v>
      </c>
      <c r="K41" s="329">
        <v>1049867</v>
      </c>
      <c r="O41" s="95"/>
    </row>
    <row r="42" spans="2:15" ht="12.75" customHeight="1" x14ac:dyDescent="0.2">
      <c r="B42" s="18">
        <v>153</v>
      </c>
      <c r="C42" s="105">
        <f>VLOOKUP($B42,Aop!$A$2:$L$403,5,1)</f>
        <v>54</v>
      </c>
      <c r="D42" s="433" t="str">
        <f>VLOOKUP($B42,Aop!$A$2:$L$403,6,1)</f>
        <v xml:space="preserve">      5. Troškovi amortizacije i rezervisanja (224+225)</v>
      </c>
      <c r="E42" s="433"/>
      <c r="F42" s="433"/>
      <c r="G42" s="433"/>
      <c r="H42" s="433"/>
      <c r="I42" s="106">
        <f>VLOOKUP($B42,Aop!$A$2:$L$403,4,1)</f>
        <v>223</v>
      </c>
      <c r="J42" s="299">
        <f>SUM(J43:J44)</f>
        <v>701696</v>
      </c>
      <c r="K42" s="301">
        <f>SUM(K43:K44)</f>
        <v>827611</v>
      </c>
      <c r="O42" s="95"/>
    </row>
    <row r="43" spans="2:15" ht="12.75" customHeight="1" x14ac:dyDescent="0.2">
      <c r="B43" s="18">
        <v>154</v>
      </c>
      <c r="C43" s="109">
        <f>VLOOKUP($B43,Aop!$A$2:$L$403,5,1)</f>
        <v>540</v>
      </c>
      <c r="D43" s="434" t="str">
        <f>VLOOKUP($B43,Aop!$A$2:$L$403,6,1)</f>
        <v xml:space="preserve">        a) Troškovi amortizacije</v>
      </c>
      <c r="E43" s="434"/>
      <c r="F43" s="434"/>
      <c r="G43" s="434"/>
      <c r="H43" s="434"/>
      <c r="I43" s="110">
        <f>VLOOKUP($B43,Aop!$A$2:$L$403,4,1)</f>
        <v>224</v>
      </c>
      <c r="J43" s="328">
        <v>674002</v>
      </c>
      <c r="K43" s="329">
        <v>799581</v>
      </c>
      <c r="O43" s="95"/>
    </row>
    <row r="44" spans="2:15" ht="12.75" customHeight="1" x14ac:dyDescent="0.2">
      <c r="B44" s="18">
        <v>155</v>
      </c>
      <c r="C44" s="105" t="str">
        <f>VLOOKUP($B44,Aop!$A$2:$L$403,5,1)</f>
        <v>541 do 549</v>
      </c>
      <c r="D44" s="433" t="str">
        <f>VLOOKUP($B44,Aop!$A$2:$L$403,6,1)</f>
        <v xml:space="preserve">        b) Troškovi rezervisanja</v>
      </c>
      <c r="E44" s="433"/>
      <c r="F44" s="433"/>
      <c r="G44" s="433"/>
      <c r="H44" s="433"/>
      <c r="I44" s="106">
        <f>VLOOKUP($B44,Aop!$A$2:$L$403,4,1)</f>
        <v>225</v>
      </c>
      <c r="J44" s="326">
        <v>27694</v>
      </c>
      <c r="K44" s="327">
        <v>28030</v>
      </c>
      <c r="O44" s="95"/>
    </row>
    <row r="45" spans="2:15" ht="25.5" customHeight="1" x14ac:dyDescent="0.2">
      <c r="B45" s="18">
        <v>156</v>
      </c>
      <c r="C45" s="109" t="str">
        <f>VLOOKUP($B45,Aop!$A$2:$L$403,5,1)</f>
        <v>55 osim 555 i 556</v>
      </c>
      <c r="D45" s="434" t="str">
        <f>VLOOKUP($B45,Aop!$A$2:$L$403,6,1)</f>
        <v xml:space="preserve">      6. Nematerijalni troškovi (bez poreza i doprinosa)</v>
      </c>
      <c r="E45" s="434"/>
      <c r="F45" s="434"/>
      <c r="G45" s="434"/>
      <c r="H45" s="434"/>
      <c r="I45" s="110">
        <f>VLOOKUP($B45,Aop!$A$2:$L$403,4,1)</f>
        <v>226</v>
      </c>
      <c r="J45" s="328">
        <v>355307</v>
      </c>
      <c r="K45" s="329">
        <v>371353</v>
      </c>
      <c r="O45" s="277" t="s">
        <v>1484</v>
      </c>
    </row>
    <row r="46" spans="2:15" ht="12.75" customHeight="1" x14ac:dyDescent="0.2">
      <c r="B46" s="18">
        <v>157</v>
      </c>
      <c r="C46" s="105">
        <f>VLOOKUP($B46,Aop!$A$2:$L$403,5,1)</f>
        <v>555</v>
      </c>
      <c r="D46" s="433" t="str">
        <f>VLOOKUP($B46,Aop!$A$2:$L$403,6,1)</f>
        <v xml:space="preserve">      7. Troškovi poreza</v>
      </c>
      <c r="E46" s="433"/>
      <c r="F46" s="433"/>
      <c r="G46" s="433"/>
      <c r="H46" s="433"/>
      <c r="I46" s="106">
        <f>VLOOKUP($B46,Aop!$A$2:$L$403,4,1)</f>
        <v>227</v>
      </c>
      <c r="J46" s="326">
        <v>197165</v>
      </c>
      <c r="K46" s="327">
        <v>99822</v>
      </c>
      <c r="O46" s="95"/>
    </row>
    <row r="47" spans="2:15" ht="12.75" customHeight="1" x14ac:dyDescent="0.2">
      <c r="B47" s="18">
        <v>158</v>
      </c>
      <c r="C47" s="109">
        <f>VLOOKUP($B47,Aop!$A$2:$L$403,5,1)</f>
        <v>556</v>
      </c>
      <c r="D47" s="434" t="str">
        <f>VLOOKUP($B47,Aop!$A$2:$L$403,6,1)</f>
        <v xml:space="preserve">      8. Troškovi doprinosa</v>
      </c>
      <c r="E47" s="434"/>
      <c r="F47" s="434"/>
      <c r="G47" s="434"/>
      <c r="H47" s="434"/>
      <c r="I47" s="110">
        <f>VLOOKUP($B47,Aop!$A$2:$L$403,4,1)</f>
        <v>228</v>
      </c>
      <c r="J47" s="328">
        <v>3146</v>
      </c>
      <c r="K47" s="329">
        <v>575</v>
      </c>
      <c r="O47" s="95"/>
    </row>
    <row r="48" spans="2:15" ht="12.75" customHeight="1" x14ac:dyDescent="0.2">
      <c r="B48" s="18">
        <v>159</v>
      </c>
      <c r="C48" s="105">
        <f>VLOOKUP($B48,Aop!$A$2:$L$403,5,1)</f>
        <v>0</v>
      </c>
      <c r="D48" s="436" t="str">
        <f>VLOOKUP($B48,Aop!$A$2:$L$403,6,1)</f>
        <v xml:space="preserve">  B. POSLOVNI DOBITAK (201-216)</v>
      </c>
      <c r="E48" s="436"/>
      <c r="F48" s="436"/>
      <c r="G48" s="436"/>
      <c r="H48" s="436"/>
      <c r="I48" s="106">
        <f>VLOOKUP($B48,Aop!$A$2:$L$403,4,1)</f>
        <v>229</v>
      </c>
      <c r="J48" s="107">
        <f>IF(J20-J35&lt;0,0,J20-J35)</f>
        <v>0</v>
      </c>
      <c r="K48" s="108">
        <f>IF(K20-K35&lt;0,0,K20-K35)</f>
        <v>0</v>
      </c>
      <c r="O48" s="95"/>
    </row>
    <row r="49" spans="2:15" ht="12.75" customHeight="1" x14ac:dyDescent="0.2">
      <c r="B49" s="18">
        <v>160</v>
      </c>
      <c r="C49" s="109">
        <f>VLOOKUP($B49,Aop!$A$2:$L$403,5,1)</f>
        <v>0</v>
      </c>
      <c r="D49" s="435" t="str">
        <f>VLOOKUP($B49,Aop!$A$2:$L$403,6,1)</f>
        <v xml:space="preserve">  V. POSLOVNI GUBITAK (216-201)</v>
      </c>
      <c r="E49" s="435"/>
      <c r="F49" s="435"/>
      <c r="G49" s="435"/>
      <c r="H49" s="435"/>
      <c r="I49" s="110">
        <f>VLOOKUP($B49,Aop!$A$2:$L$403,4,1)</f>
        <v>230</v>
      </c>
      <c r="J49" s="111">
        <f>IF(J35-J20&lt;0,0,J35-J20)</f>
        <v>21579</v>
      </c>
      <c r="K49" s="112">
        <f>IF(K35-K20&lt;0,0,K35-K20)</f>
        <v>443165</v>
      </c>
      <c r="O49" s="95"/>
    </row>
    <row r="50" spans="2:15" ht="12.75" customHeight="1" x14ac:dyDescent="0.2">
      <c r="B50" s="18">
        <v>161</v>
      </c>
      <c r="C50" s="105">
        <f>VLOOKUP($B50,Aop!$A$2:$L$403,5,1)</f>
        <v>0</v>
      </c>
      <c r="D50" s="436" t="str">
        <f>VLOOKUP($B50,Aop!$A$2:$L$403,6,1)</f>
        <v>G. FINANSIJSKI PRIHODI I RASHODI</v>
      </c>
      <c r="E50" s="436"/>
      <c r="F50" s="436"/>
      <c r="G50" s="436"/>
      <c r="H50" s="436"/>
      <c r="I50" s="106">
        <f>VLOOKUP($B50,Aop!$A$2:$L$403,4,1)</f>
        <v>0</v>
      </c>
      <c r="J50" s="107"/>
      <c r="K50" s="108"/>
      <c r="O50" s="95"/>
    </row>
    <row r="51" spans="2:15" ht="12.75" customHeight="1" x14ac:dyDescent="0.2">
      <c r="B51" s="18">
        <v>162</v>
      </c>
      <c r="C51" s="109">
        <f>VLOOKUP($B51,Aop!$A$2:$L$403,5,1)</f>
        <v>66</v>
      </c>
      <c r="D51" s="435" t="str">
        <f>VLOOKUP($B51,Aop!$A$2:$L$403,6,1)</f>
        <v xml:space="preserve">    I  FINANSIJSKI PRIHODI (232 do 237)</v>
      </c>
      <c r="E51" s="435"/>
      <c r="F51" s="435"/>
      <c r="G51" s="435"/>
      <c r="H51" s="435"/>
      <c r="I51" s="110">
        <f>VLOOKUP($B51,Aop!$A$2:$L$403,4,1)</f>
        <v>231</v>
      </c>
      <c r="J51" s="111">
        <f>SUM(J52:J57)</f>
        <v>609</v>
      </c>
      <c r="K51" s="112">
        <f>SUM(K52:K57)</f>
        <v>11</v>
      </c>
      <c r="O51" s="95"/>
    </row>
    <row r="52" spans="2:15" ht="12.75" customHeight="1" x14ac:dyDescent="0.2">
      <c r="B52" s="18">
        <v>163</v>
      </c>
      <c r="C52" s="105">
        <f>VLOOKUP($B52,Aop!$A$2:$L$403,5,1)</f>
        <v>660</v>
      </c>
      <c r="D52" s="433" t="str">
        <f>VLOOKUP($B52,Aop!$A$2:$L$403,6,1)</f>
        <v xml:space="preserve">      1. Finansijski prihodi od povezanih pravnih lica</v>
      </c>
      <c r="E52" s="433"/>
      <c r="F52" s="433"/>
      <c r="G52" s="433"/>
      <c r="H52" s="433"/>
      <c r="I52" s="106">
        <f>VLOOKUP($B52,Aop!$A$2:$L$403,4,1)</f>
        <v>232</v>
      </c>
      <c r="J52" s="326"/>
      <c r="K52" s="327"/>
      <c r="O52" s="95"/>
    </row>
    <row r="53" spans="2:15" ht="12.75" customHeight="1" x14ac:dyDescent="0.2">
      <c r="B53" s="18">
        <v>164</v>
      </c>
      <c r="C53" s="109">
        <f>VLOOKUP($B53,Aop!$A$2:$L$403,5,1)</f>
        <v>661</v>
      </c>
      <c r="D53" s="434" t="str">
        <f>VLOOKUP($B53,Aop!$A$2:$L$403,6,1)</f>
        <v xml:space="preserve">      2. Prihodi od kamata</v>
      </c>
      <c r="E53" s="434"/>
      <c r="F53" s="434"/>
      <c r="G53" s="434"/>
      <c r="H53" s="434"/>
      <c r="I53" s="110">
        <f>VLOOKUP($B53,Aop!$A$2:$L$403,4,1)</f>
        <v>233</v>
      </c>
      <c r="J53" s="328">
        <v>609</v>
      </c>
      <c r="K53" s="329">
        <v>11</v>
      </c>
      <c r="O53" s="95"/>
    </row>
    <row r="54" spans="2:15" ht="12.75" customHeight="1" x14ac:dyDescent="0.2">
      <c r="B54" s="18">
        <v>165</v>
      </c>
      <c r="C54" s="105">
        <f>VLOOKUP($B54,Aop!$A$2:$L$403,5,1)</f>
        <v>662</v>
      </c>
      <c r="D54" s="433" t="str">
        <f>VLOOKUP($B54,Aop!$A$2:$L$403,6,1)</f>
        <v xml:space="preserve">      3. Pozitivne kursne razlike</v>
      </c>
      <c r="E54" s="433"/>
      <c r="F54" s="433"/>
      <c r="G54" s="433"/>
      <c r="H54" s="433"/>
      <c r="I54" s="106">
        <f>VLOOKUP($B54,Aop!$A$2:$L$403,4,1)</f>
        <v>234</v>
      </c>
      <c r="J54" s="326"/>
      <c r="K54" s="327"/>
      <c r="O54" s="95"/>
    </row>
    <row r="55" spans="2:15" ht="12.75" customHeight="1" x14ac:dyDescent="0.2">
      <c r="B55" s="18">
        <v>166</v>
      </c>
      <c r="C55" s="109">
        <f>VLOOKUP($B55,Aop!$A$2:$L$403,5,1)</f>
        <v>663</v>
      </c>
      <c r="D55" s="434" t="str">
        <f>VLOOKUP($B55,Aop!$A$2:$L$403,6,1)</f>
        <v xml:space="preserve">      4. Prihodi od efekata valutne klauzule</v>
      </c>
      <c r="E55" s="434"/>
      <c r="F55" s="434"/>
      <c r="G55" s="434"/>
      <c r="H55" s="434"/>
      <c r="I55" s="110">
        <f>VLOOKUP($B55,Aop!$A$2:$L$403,4,1)</f>
        <v>235</v>
      </c>
      <c r="J55" s="328"/>
      <c r="K55" s="329"/>
      <c r="O55" s="95"/>
    </row>
    <row r="56" spans="2:15" ht="12.75" customHeight="1" x14ac:dyDescent="0.2">
      <c r="B56" s="18">
        <v>167</v>
      </c>
      <c r="C56" s="105">
        <f>VLOOKUP($B56,Aop!$A$2:$L$403,5,1)</f>
        <v>664</v>
      </c>
      <c r="D56" s="433" t="str">
        <f>VLOOKUP($B56,Aop!$A$2:$L$403,6,1)</f>
        <v xml:space="preserve">      5. Prihodi od učešća u dobitku zajedničkih ulaganja</v>
      </c>
      <c r="E56" s="433"/>
      <c r="F56" s="433"/>
      <c r="G56" s="433"/>
      <c r="H56" s="433"/>
      <c r="I56" s="106">
        <f>VLOOKUP($B56,Aop!$A$2:$L$403,4,1)</f>
        <v>236</v>
      </c>
      <c r="J56" s="326"/>
      <c r="K56" s="327"/>
      <c r="O56" s="95"/>
    </row>
    <row r="57" spans="2:15" ht="12.75" customHeight="1" x14ac:dyDescent="0.2">
      <c r="B57" s="18">
        <v>168</v>
      </c>
      <c r="C57" s="109">
        <f>VLOOKUP($B57,Aop!$A$2:$L$403,5,1)</f>
        <v>669</v>
      </c>
      <c r="D57" s="434" t="str">
        <f>VLOOKUP($B57,Aop!$A$2:$L$403,6,1)</f>
        <v xml:space="preserve">      6. Ostali finansijski prihodi</v>
      </c>
      <c r="E57" s="434"/>
      <c r="F57" s="434"/>
      <c r="G57" s="434"/>
      <c r="H57" s="434"/>
      <c r="I57" s="110">
        <f>VLOOKUP($B57,Aop!$A$2:$L$403,4,1)</f>
        <v>237</v>
      </c>
      <c r="J57" s="328"/>
      <c r="K57" s="329"/>
      <c r="O57" s="95"/>
    </row>
    <row r="58" spans="2:15" ht="12.75" customHeight="1" x14ac:dyDescent="0.2">
      <c r="B58" s="18">
        <v>169</v>
      </c>
      <c r="C58" s="105">
        <f>VLOOKUP($B58,Aop!$A$2:$L$403,5,1)</f>
        <v>56</v>
      </c>
      <c r="D58" s="436" t="str">
        <f>VLOOKUP($B58,Aop!$A$2:$L$403,6,1)</f>
        <v xml:space="preserve">    II  FINANSIJSKI RASHODI (239 do 243)</v>
      </c>
      <c r="E58" s="436"/>
      <c r="F58" s="436"/>
      <c r="G58" s="436"/>
      <c r="H58" s="436"/>
      <c r="I58" s="106">
        <f>VLOOKUP($B58,Aop!$A$2:$L$403,4,1)</f>
        <v>238</v>
      </c>
      <c r="J58" s="107">
        <f>SUM(J59:J63)</f>
        <v>413</v>
      </c>
      <c r="K58" s="108">
        <f>SUM(K59:K63)</f>
        <v>1182</v>
      </c>
      <c r="O58" s="95"/>
    </row>
    <row r="59" spans="2:15" ht="12.75" customHeight="1" x14ac:dyDescent="0.2">
      <c r="B59" s="18">
        <v>170</v>
      </c>
      <c r="C59" s="109">
        <f>VLOOKUP($B59,Aop!$A$2:$L$403,5,1)</f>
        <v>560</v>
      </c>
      <c r="D59" s="434" t="str">
        <f>VLOOKUP($B59,Aop!$A$2:$L$403,6,1)</f>
        <v xml:space="preserve">      1. Finansijski rashodi po osnovu odnosa povezanih pravnih lica</v>
      </c>
      <c r="E59" s="434"/>
      <c r="F59" s="434"/>
      <c r="G59" s="434"/>
      <c r="H59" s="434"/>
      <c r="I59" s="110">
        <f>VLOOKUP($B59,Aop!$A$2:$L$403,4,1)</f>
        <v>239</v>
      </c>
      <c r="J59" s="328"/>
      <c r="K59" s="329"/>
      <c r="O59" s="95"/>
    </row>
    <row r="60" spans="2:15" ht="12.75" customHeight="1" x14ac:dyDescent="0.2">
      <c r="B60" s="18">
        <v>171</v>
      </c>
      <c r="C60" s="105">
        <f>VLOOKUP($B60,Aop!$A$2:$L$403,5,1)</f>
        <v>561</v>
      </c>
      <c r="D60" s="433" t="str">
        <f>VLOOKUP($B60,Aop!$A$2:$L$403,6,1)</f>
        <v xml:space="preserve">      2. Rashodi kamata</v>
      </c>
      <c r="E60" s="433"/>
      <c r="F60" s="433"/>
      <c r="G60" s="433"/>
      <c r="H60" s="433"/>
      <c r="I60" s="106">
        <f>VLOOKUP($B60,Aop!$A$2:$L$403,4,1)</f>
        <v>240</v>
      </c>
      <c r="J60" s="326">
        <v>413</v>
      </c>
      <c r="K60" s="327">
        <v>1182</v>
      </c>
      <c r="O60" s="95"/>
    </row>
    <row r="61" spans="2:15" ht="12.75" customHeight="1" x14ac:dyDescent="0.2">
      <c r="B61" s="18">
        <v>172</v>
      </c>
      <c r="C61" s="109">
        <f>VLOOKUP($B61,Aop!$A$2:$L$403,5,1)</f>
        <v>562</v>
      </c>
      <c r="D61" s="434" t="str">
        <f>VLOOKUP($B61,Aop!$A$2:$L$403,6,1)</f>
        <v xml:space="preserve">      3. Negativne kursne razlike</v>
      </c>
      <c r="E61" s="434"/>
      <c r="F61" s="434"/>
      <c r="G61" s="434"/>
      <c r="H61" s="434"/>
      <c r="I61" s="110">
        <f>VLOOKUP($B61,Aop!$A$2:$L$403,4,1)</f>
        <v>241</v>
      </c>
      <c r="J61" s="328"/>
      <c r="K61" s="329"/>
      <c r="O61" s="95"/>
    </row>
    <row r="62" spans="2:15" ht="12.75" customHeight="1" x14ac:dyDescent="0.2">
      <c r="B62" s="18">
        <v>173</v>
      </c>
      <c r="C62" s="105">
        <f>VLOOKUP($B62,Aop!$A$2:$L$403,5,1)</f>
        <v>563</v>
      </c>
      <c r="D62" s="433" t="str">
        <f>VLOOKUP($B62,Aop!$A$2:$L$403,6,1)</f>
        <v xml:space="preserve">      4. Rashodi po osnovu valutne klauzule</v>
      </c>
      <c r="E62" s="433"/>
      <c r="F62" s="433"/>
      <c r="G62" s="433"/>
      <c r="H62" s="433"/>
      <c r="I62" s="106">
        <f>VLOOKUP($B62,Aop!$A$2:$L$403,4,1)</f>
        <v>242</v>
      </c>
      <c r="J62" s="326"/>
      <c r="K62" s="327"/>
      <c r="O62" s="95"/>
    </row>
    <row r="63" spans="2:15" ht="12.75" customHeight="1" x14ac:dyDescent="0.2">
      <c r="B63" s="18">
        <v>174</v>
      </c>
      <c r="C63" s="109">
        <f>VLOOKUP($B63,Aop!$A$2:$L$403,5,1)</f>
        <v>564</v>
      </c>
      <c r="D63" s="434" t="str">
        <f>VLOOKUP($B63,Aop!$A$2:$L$403,6,1)</f>
        <v xml:space="preserve">      5. Ostali finansijski rashodi</v>
      </c>
      <c r="E63" s="434"/>
      <c r="F63" s="434"/>
      <c r="G63" s="434"/>
      <c r="H63" s="434"/>
      <c r="I63" s="110">
        <f>VLOOKUP($B63,Aop!$A$2:$L$403,4,1)</f>
        <v>243</v>
      </c>
      <c r="J63" s="328"/>
      <c r="K63" s="329"/>
      <c r="O63" s="95"/>
    </row>
    <row r="64" spans="2:15" ht="12.75" customHeight="1" x14ac:dyDescent="0.2">
      <c r="B64" s="18">
        <v>175</v>
      </c>
      <c r="C64" s="105">
        <f>VLOOKUP($B64,Aop!$A$2:$L$403,5,1)</f>
        <v>0</v>
      </c>
      <c r="D64" s="436" t="str">
        <f>VLOOKUP($B64,Aop!$A$2:$L$403,6,1)</f>
        <v xml:space="preserve">  D. DOBITAK REDOVNE AKTIVNOSTI (229+231-238) ili (230+231-238)</v>
      </c>
      <c r="E64" s="436"/>
      <c r="F64" s="436"/>
      <c r="G64" s="436"/>
      <c r="H64" s="436"/>
      <c r="I64" s="106">
        <f>VLOOKUP($B64,Aop!$A$2:$L$403,4,1)</f>
        <v>244</v>
      </c>
      <c r="J64" s="107">
        <f>IF(J48-J49+J51-J58&lt;0,0,J48-J49+J51-J58)</f>
        <v>0</v>
      </c>
      <c r="K64" s="108">
        <f>IF(K48-K49+K51-K58&lt;0,0,K48-K49+K51-K58)</f>
        <v>0</v>
      </c>
      <c r="O64" s="95"/>
    </row>
    <row r="65" spans="2:15" ht="12.75" customHeight="1" x14ac:dyDescent="0.2">
      <c r="B65" s="18">
        <v>176</v>
      </c>
      <c r="C65" s="109">
        <f>VLOOKUP($B65,Aop!$A$2:$L$403,5,1)</f>
        <v>0</v>
      </c>
      <c r="D65" s="435" t="str">
        <f>VLOOKUP($B65,Aop!$A$2:$L$403,6,1)</f>
        <v xml:space="preserve">  Đ. GUBITAK REDOVNE AKTIVNOSTI (-229-231+238) ili (230-231+238)</v>
      </c>
      <c r="E65" s="435"/>
      <c r="F65" s="435"/>
      <c r="G65" s="435"/>
      <c r="H65" s="435"/>
      <c r="I65" s="110">
        <f>VLOOKUP($B65,Aop!$A$2:$L$403,4,1)</f>
        <v>245</v>
      </c>
      <c r="J65" s="111">
        <f>IF(J49-J48+J58-J51&lt;0,0,J49-J48+J58-J51)</f>
        <v>21383</v>
      </c>
      <c r="K65" s="112">
        <f>IF(K49-K48+K58-K51&lt;0,0,K49-K48+K58-K51)</f>
        <v>444336</v>
      </c>
      <c r="O65" s="95"/>
    </row>
    <row r="66" spans="2:15" ht="12.75" customHeight="1" x14ac:dyDescent="0.2">
      <c r="B66" s="18">
        <v>177</v>
      </c>
      <c r="C66" s="105">
        <f>VLOOKUP($B66,Aop!$A$2:$L$403,5,1)</f>
        <v>0</v>
      </c>
      <c r="D66" s="436" t="str">
        <f>VLOOKUP($B66,Aop!$A$2:$L$403,6,1)</f>
        <v>E. OSTALI PRIHODI I RASHODI</v>
      </c>
      <c r="E66" s="436"/>
      <c r="F66" s="436"/>
      <c r="G66" s="436"/>
      <c r="H66" s="436"/>
      <c r="I66" s="106">
        <f>VLOOKUP($B66,Aop!$A$2:$L$403,4,1)</f>
        <v>0</v>
      </c>
      <c r="J66" s="299"/>
      <c r="K66" s="301"/>
      <c r="O66" s="95"/>
    </row>
    <row r="67" spans="2:15" ht="12.75" customHeight="1" x14ac:dyDescent="0.2">
      <c r="B67" s="18">
        <v>178</v>
      </c>
      <c r="C67" s="109">
        <f>VLOOKUP($B67,Aop!$A$2:$L$403,5,1)</f>
        <v>67</v>
      </c>
      <c r="D67" s="435" t="str">
        <f>VLOOKUP($B67,Aop!$A$2:$L$403,6,1)</f>
        <v xml:space="preserve">    I  OSTALI PRIHODI (247 do 256)</v>
      </c>
      <c r="E67" s="435"/>
      <c r="F67" s="435"/>
      <c r="G67" s="435"/>
      <c r="H67" s="435"/>
      <c r="I67" s="110">
        <f>VLOOKUP($B67,Aop!$A$2:$L$403,4,1)</f>
        <v>246</v>
      </c>
      <c r="J67" s="111">
        <f>SUM(J68:J77)</f>
        <v>48269</v>
      </c>
      <c r="K67" s="112">
        <f>SUM(K68:K77)</f>
        <v>530247</v>
      </c>
      <c r="O67" s="95"/>
    </row>
    <row r="68" spans="2:15" ht="12.75" customHeight="1" x14ac:dyDescent="0.2">
      <c r="B68" s="18">
        <v>179</v>
      </c>
      <c r="C68" s="105">
        <f>VLOOKUP($B68,Aop!$A$2:$L$403,5,1)</f>
        <v>670</v>
      </c>
      <c r="D68" s="433" t="str">
        <f>VLOOKUP($B68,Aop!$A$2:$L$403,6,1)</f>
        <v xml:space="preserve">      1. Dobici po osnovu prodaje nematerijalnih ulaganja, nekretnina, postrojenja i opreme</v>
      </c>
      <c r="E68" s="433"/>
      <c r="F68" s="433"/>
      <c r="G68" s="433"/>
      <c r="H68" s="433"/>
      <c r="I68" s="106">
        <f>VLOOKUP($B68,Aop!$A$2:$L$403,4,1)</f>
        <v>247</v>
      </c>
      <c r="J68" s="326"/>
      <c r="K68" s="327">
        <v>194621</v>
      </c>
      <c r="O68" s="277" t="s">
        <v>1484</v>
      </c>
    </row>
    <row r="69" spans="2:15" ht="12.75" customHeight="1" x14ac:dyDescent="0.2">
      <c r="B69" s="18">
        <v>180</v>
      </c>
      <c r="C69" s="109">
        <f>VLOOKUP($B69,Aop!$A$2:$L$403,5,1)</f>
        <v>671</v>
      </c>
      <c r="D69" s="434" t="str">
        <f>VLOOKUP($B69,Aop!$A$2:$L$403,6,1)</f>
        <v xml:space="preserve">      2. Dobici po osnovu prodaje investicionih nekretnina</v>
      </c>
      <c r="E69" s="434"/>
      <c r="F69" s="434"/>
      <c r="G69" s="434"/>
      <c r="H69" s="434"/>
      <c r="I69" s="110">
        <f>VLOOKUP($B69,Aop!$A$2:$L$403,4,1)</f>
        <v>248</v>
      </c>
      <c r="J69" s="328"/>
      <c r="K69" s="329"/>
      <c r="O69" s="95"/>
    </row>
    <row r="70" spans="2:15" ht="12.75" customHeight="1" x14ac:dyDescent="0.2">
      <c r="B70" s="18">
        <v>181</v>
      </c>
      <c r="C70" s="105">
        <f>VLOOKUP($B70,Aop!$A$2:$L$403,5,1)</f>
        <v>672</v>
      </c>
      <c r="D70" s="433" t="str">
        <f>VLOOKUP($B70,Aop!$A$2:$L$403,6,1)</f>
        <v xml:space="preserve">      3. Dobici po osnovu prodaje bioloških sredstava</v>
      </c>
      <c r="E70" s="433"/>
      <c r="F70" s="433"/>
      <c r="G70" s="433"/>
      <c r="H70" s="433"/>
      <c r="I70" s="106">
        <f>VLOOKUP($B70,Aop!$A$2:$L$403,4,1)</f>
        <v>249</v>
      </c>
      <c r="J70" s="326"/>
      <c r="K70" s="327"/>
      <c r="O70" s="95"/>
    </row>
    <row r="71" spans="2:15" ht="12.75" customHeight="1" x14ac:dyDescent="0.2">
      <c r="B71" s="18">
        <v>182</v>
      </c>
      <c r="C71" s="109">
        <f>VLOOKUP($B71,Aop!$A$2:$L$403,5,1)</f>
        <v>673</v>
      </c>
      <c r="D71" s="434" t="str">
        <f>VLOOKUP($B71,Aop!$A$2:$L$403,6,1)</f>
        <v xml:space="preserve">      4. Dobici po osnovu prodaje sredstava obustavljenog poslovanja</v>
      </c>
      <c r="E71" s="434"/>
      <c r="F71" s="434"/>
      <c r="G71" s="434"/>
      <c r="H71" s="434"/>
      <c r="I71" s="110">
        <f>VLOOKUP($B71,Aop!$A$2:$L$403,4,1)</f>
        <v>250</v>
      </c>
      <c r="J71" s="328"/>
      <c r="K71" s="329"/>
      <c r="O71" s="95"/>
    </row>
    <row r="72" spans="2:15" ht="12.75" customHeight="1" x14ac:dyDescent="0.2">
      <c r="B72" s="18">
        <v>183</v>
      </c>
      <c r="C72" s="105">
        <f>VLOOKUP($B72,Aop!$A$2:$L$403,5,1)</f>
        <v>674</v>
      </c>
      <c r="D72" s="433" t="str">
        <f>VLOOKUP($B72,Aop!$A$2:$L$403,6,1)</f>
        <v xml:space="preserve">      5. Dobici po osnovu prodaje učešća u kapitalu i dugoročnih HOV</v>
      </c>
      <c r="E72" s="433"/>
      <c r="F72" s="433"/>
      <c r="G72" s="433"/>
      <c r="H72" s="433"/>
      <c r="I72" s="106">
        <f>VLOOKUP($B72,Aop!$A$2:$L$403,4,1)</f>
        <v>251</v>
      </c>
      <c r="J72" s="326"/>
      <c r="K72" s="327"/>
      <c r="O72" s="95"/>
    </row>
    <row r="73" spans="2:15" ht="12.75" customHeight="1" x14ac:dyDescent="0.2">
      <c r="B73" s="18">
        <v>184</v>
      </c>
      <c r="C73" s="109">
        <f>VLOOKUP($B73,Aop!$A$2:$L$403,5,1)</f>
        <v>675</v>
      </c>
      <c r="D73" s="434" t="str">
        <f>VLOOKUP($B73,Aop!$A$2:$L$403,6,1)</f>
        <v xml:space="preserve">      6. Dobici po osnovu prodaje materijala</v>
      </c>
      <c r="E73" s="434"/>
      <c r="F73" s="434"/>
      <c r="G73" s="434"/>
      <c r="H73" s="434"/>
      <c r="I73" s="110">
        <f>VLOOKUP($B73,Aop!$A$2:$L$403,4,1)</f>
        <v>252</v>
      </c>
      <c r="J73" s="328"/>
      <c r="K73" s="329">
        <v>78088</v>
      </c>
      <c r="O73" s="95"/>
    </row>
    <row r="74" spans="2:15" ht="12.75" customHeight="1" x14ac:dyDescent="0.2">
      <c r="B74" s="18">
        <v>185</v>
      </c>
      <c r="C74" s="105">
        <f>VLOOKUP($B74,Aop!$A$2:$L$403,5,1)</f>
        <v>676</v>
      </c>
      <c r="D74" s="433" t="str">
        <f>VLOOKUP($B74,Aop!$A$2:$L$403,6,1)</f>
        <v xml:space="preserve">      7. Viškovi, izuzimajući viškove zaliha učinaka</v>
      </c>
      <c r="E74" s="433"/>
      <c r="F74" s="433"/>
      <c r="G74" s="433"/>
      <c r="H74" s="433"/>
      <c r="I74" s="106">
        <f>VLOOKUP($B74,Aop!$A$2:$L$403,4,1)</f>
        <v>253</v>
      </c>
      <c r="J74" s="326"/>
      <c r="K74" s="327"/>
      <c r="O74" s="95"/>
    </row>
    <row r="75" spans="2:15" ht="12.75" customHeight="1" x14ac:dyDescent="0.2">
      <c r="B75" s="18">
        <v>186</v>
      </c>
      <c r="C75" s="109">
        <f>VLOOKUP($B75,Aop!$A$2:$L$403,5,1)</f>
        <v>677</v>
      </c>
      <c r="D75" s="434" t="str">
        <f>VLOOKUP($B75,Aop!$A$2:$L$403,6,1)</f>
        <v xml:space="preserve">      8. Naplaćena otpisana potraživanja</v>
      </c>
      <c r="E75" s="434"/>
      <c r="F75" s="434"/>
      <c r="G75" s="434"/>
      <c r="H75" s="434"/>
      <c r="I75" s="110">
        <f>VLOOKUP($B75,Aop!$A$2:$L$403,4,1)</f>
        <v>254</v>
      </c>
      <c r="J75" s="328">
        <v>31289</v>
      </c>
      <c r="K75" s="329">
        <v>237240</v>
      </c>
      <c r="O75" s="95"/>
    </row>
    <row r="76" spans="2:15" ht="24.75" customHeight="1" x14ac:dyDescent="0.2">
      <c r="B76" s="18">
        <v>187</v>
      </c>
      <c r="C76" s="105">
        <f>VLOOKUP($B76,Aop!$A$2:$L$403,5,1)</f>
        <v>678</v>
      </c>
      <c r="D76" s="433" t="str">
        <f>VLOOKUP($B76,Aop!$A$2:$L$403,6,1)</f>
        <v xml:space="preserve">      9. Prihodi po osnovu ugovorene zaštite od rizika, koji ne ispunjavaju uslove da se iskažu u okviru revalorizacionih rezervi</v>
      </c>
      <c r="E76" s="433"/>
      <c r="F76" s="433"/>
      <c r="G76" s="433"/>
      <c r="H76" s="433"/>
      <c r="I76" s="106">
        <f>VLOOKUP($B76,Aop!$A$2:$L$403,4,1)</f>
        <v>255</v>
      </c>
      <c r="J76" s="326"/>
      <c r="K76" s="327"/>
      <c r="O76" s="277" t="s">
        <v>1484</v>
      </c>
    </row>
    <row r="77" spans="2:15" ht="25.5" customHeight="1" x14ac:dyDescent="0.2">
      <c r="B77" s="18">
        <v>188</v>
      </c>
      <c r="C77" s="109">
        <f>VLOOKUP($B77,Aop!$A$2:$L$403,5,1)</f>
        <v>679</v>
      </c>
      <c r="D77" s="434" t="str">
        <f>VLOOKUP($B77,Aop!$A$2:$L$403,6,1)</f>
        <v xml:space="preserve">      10. Prihodi od smanjenja obaveza, ukidanja neiskorištenih dugoročnih rezervisanja i ostali nepomenuti prihodi</v>
      </c>
      <c r="E77" s="434"/>
      <c r="F77" s="434"/>
      <c r="G77" s="434"/>
      <c r="H77" s="434"/>
      <c r="I77" s="110">
        <f>VLOOKUP($B77,Aop!$A$2:$L$403,4,1)</f>
        <v>256</v>
      </c>
      <c r="J77" s="328">
        <v>16980</v>
      </c>
      <c r="K77" s="329">
        <v>20298</v>
      </c>
      <c r="O77" s="277" t="s">
        <v>1484</v>
      </c>
    </row>
    <row r="78" spans="2:15" ht="12.75" customHeight="1" x14ac:dyDescent="0.2">
      <c r="B78" s="18">
        <v>189</v>
      </c>
      <c r="C78" s="105">
        <f>VLOOKUP($B78,Aop!$A$2:$L$403,5,1)</f>
        <v>57</v>
      </c>
      <c r="D78" s="436" t="str">
        <f>VLOOKUP($B78,Aop!$A$2:$L$403,6,1)</f>
        <v xml:space="preserve">    II  OSTALI RASHODI (258 do 267)</v>
      </c>
      <c r="E78" s="436"/>
      <c r="F78" s="436"/>
      <c r="G78" s="436"/>
      <c r="H78" s="436"/>
      <c r="I78" s="106">
        <f>VLOOKUP($B78,Aop!$A$2:$L$403,4,1)</f>
        <v>257</v>
      </c>
      <c r="J78" s="107">
        <f>SUM(J79:J88)</f>
        <v>41466</v>
      </c>
      <c r="K78" s="108">
        <f>SUM(K79:K88)</f>
        <v>224456</v>
      </c>
      <c r="O78" s="95"/>
    </row>
    <row r="79" spans="2:15" ht="25.5" customHeight="1" x14ac:dyDescent="0.2">
      <c r="B79" s="18">
        <v>190</v>
      </c>
      <c r="C79" s="109">
        <f>VLOOKUP($B79,Aop!$A$2:$L$403,5,1)</f>
        <v>570</v>
      </c>
      <c r="D79" s="434" t="str">
        <f>VLOOKUP($B79,Aop!$A$2:$L$403,6,1)</f>
        <v xml:space="preserve">      1. Gubici po osnovu prodaje i rashodovanja nematerijalnih ulaganja, nekretnina, postrojenja i opreme</v>
      </c>
      <c r="E79" s="434"/>
      <c r="F79" s="434"/>
      <c r="G79" s="434"/>
      <c r="H79" s="434"/>
      <c r="I79" s="110">
        <f>VLOOKUP($B79,Aop!$A$2:$L$403,4,1)</f>
        <v>258</v>
      </c>
      <c r="J79" s="328">
        <v>13167</v>
      </c>
      <c r="K79" s="329">
        <v>64511</v>
      </c>
      <c r="O79" s="277" t="s">
        <v>1484</v>
      </c>
    </row>
    <row r="80" spans="2:15" ht="12.75" customHeight="1" x14ac:dyDescent="0.2">
      <c r="B80" s="18">
        <v>191</v>
      </c>
      <c r="C80" s="105">
        <f>VLOOKUP($B80,Aop!$A$2:$L$403,5,1)</f>
        <v>571</v>
      </c>
      <c r="D80" s="433" t="str">
        <f>VLOOKUP($B80,Aop!$A$2:$L$403,6,1)</f>
        <v xml:space="preserve">      2. Gubici po osnovu prodaje i rashodovanja investicionih nekretnina</v>
      </c>
      <c r="E80" s="433"/>
      <c r="F80" s="433"/>
      <c r="G80" s="433"/>
      <c r="H80" s="433"/>
      <c r="I80" s="106">
        <f>VLOOKUP($B80,Aop!$A$2:$L$403,4,1)</f>
        <v>259</v>
      </c>
      <c r="J80" s="326"/>
      <c r="K80" s="327"/>
      <c r="O80" s="95"/>
    </row>
    <row r="81" spans="2:15" ht="12.75" customHeight="1" x14ac:dyDescent="0.2">
      <c r="B81" s="18">
        <v>192</v>
      </c>
      <c r="C81" s="109">
        <f>VLOOKUP($B81,Aop!$A$2:$L$403,5,1)</f>
        <v>572</v>
      </c>
      <c r="D81" s="434" t="str">
        <f>VLOOKUP($B81,Aop!$A$2:$L$403,6,1)</f>
        <v xml:space="preserve">      3. Gubici po osnovu prodaje i rashodovanja bioloških sredstava</v>
      </c>
      <c r="E81" s="434"/>
      <c r="F81" s="434"/>
      <c r="G81" s="434"/>
      <c r="H81" s="434"/>
      <c r="I81" s="110">
        <f>VLOOKUP($B81,Aop!$A$2:$L$403,4,1)</f>
        <v>260</v>
      </c>
      <c r="J81" s="328"/>
      <c r="K81" s="329"/>
      <c r="O81" s="95"/>
    </row>
    <row r="82" spans="2:15" ht="12.75" customHeight="1" x14ac:dyDescent="0.2">
      <c r="B82" s="18">
        <v>193</v>
      </c>
      <c r="C82" s="105">
        <f>VLOOKUP($B82,Aop!$A$2:$L$403,5,1)</f>
        <v>573</v>
      </c>
      <c r="D82" s="433" t="str">
        <f>VLOOKUP($B82,Aop!$A$2:$L$403,6,1)</f>
        <v xml:space="preserve">      4. Gubici po osnovu prodaje sredstava obustavljenog poslovanja</v>
      </c>
      <c r="E82" s="433"/>
      <c r="F82" s="433"/>
      <c r="G82" s="433"/>
      <c r="H82" s="433"/>
      <c r="I82" s="106">
        <f>VLOOKUP($B82,Aop!$A$2:$L$403,4,1)</f>
        <v>261</v>
      </c>
      <c r="J82" s="326"/>
      <c r="K82" s="327"/>
      <c r="O82" s="95"/>
    </row>
    <row r="83" spans="2:15" ht="12.75" customHeight="1" x14ac:dyDescent="0.2">
      <c r="B83" s="18">
        <v>194</v>
      </c>
      <c r="C83" s="109">
        <f>VLOOKUP($B83,Aop!$A$2:$L$403,5,1)</f>
        <v>574</v>
      </c>
      <c r="D83" s="434" t="str">
        <f>VLOOKUP($B83,Aop!$A$2:$L$403,6,1)</f>
        <v xml:space="preserve">      5. Gubici po osnovu prodaje učešća u kapitalu i dugoročnih HOV</v>
      </c>
      <c r="E83" s="434"/>
      <c r="F83" s="434"/>
      <c r="G83" s="434"/>
      <c r="H83" s="434"/>
      <c r="I83" s="110">
        <f>VLOOKUP($B83,Aop!$A$2:$L$403,4,1)</f>
        <v>262</v>
      </c>
      <c r="J83" s="328"/>
      <c r="K83" s="329"/>
      <c r="O83" s="95"/>
    </row>
    <row r="84" spans="2:15" ht="12.75" customHeight="1" x14ac:dyDescent="0.2">
      <c r="B84" s="18">
        <v>195</v>
      </c>
      <c r="C84" s="105">
        <f>VLOOKUP($B84,Aop!$A$2:$L$403,5,1)</f>
        <v>575</v>
      </c>
      <c r="D84" s="433" t="str">
        <f>VLOOKUP($B84,Aop!$A$2:$L$403,6,1)</f>
        <v xml:space="preserve">      6. Gubici po osnovu prodatog materijala</v>
      </c>
      <c r="E84" s="433"/>
      <c r="F84" s="433"/>
      <c r="G84" s="433"/>
      <c r="H84" s="433"/>
      <c r="I84" s="106">
        <f>VLOOKUP($B84,Aop!$A$2:$L$403,4,1)</f>
        <v>263</v>
      </c>
      <c r="J84" s="326"/>
      <c r="K84" s="327"/>
      <c r="O84" s="95"/>
    </row>
    <row r="85" spans="2:15" ht="12.75" customHeight="1" x14ac:dyDescent="0.2">
      <c r="B85" s="18">
        <v>196</v>
      </c>
      <c r="C85" s="109">
        <f>VLOOKUP($B85,Aop!$A$2:$L$403,5,1)</f>
        <v>576</v>
      </c>
      <c r="D85" s="434" t="str">
        <f>VLOOKUP($B85,Aop!$A$2:$L$403,6,1)</f>
        <v xml:space="preserve">      7. Manjkovi, izuzimajući manjkove zaliha učinaka</v>
      </c>
      <c r="E85" s="434"/>
      <c r="F85" s="434"/>
      <c r="G85" s="434"/>
      <c r="H85" s="434"/>
      <c r="I85" s="110">
        <f>VLOOKUP($B85,Aop!$A$2:$L$403,4,1)</f>
        <v>264</v>
      </c>
      <c r="J85" s="328">
        <v>32</v>
      </c>
      <c r="K85" s="329">
        <v>1681</v>
      </c>
      <c r="O85" s="95"/>
    </row>
    <row r="86" spans="2:15" ht="12.75" customHeight="1" x14ac:dyDescent="0.2">
      <c r="B86" s="18">
        <v>197</v>
      </c>
      <c r="C86" s="105">
        <f>VLOOKUP($B86,Aop!$A$2:$L$403,5,1)</f>
        <v>577</v>
      </c>
      <c r="D86" s="433" t="str">
        <f>VLOOKUP($B86,Aop!$A$2:$L$403,6,1)</f>
        <v xml:space="preserve">      8. Rashodi po osnovu zaštite od rizika</v>
      </c>
      <c r="E86" s="433"/>
      <c r="F86" s="433"/>
      <c r="G86" s="433"/>
      <c r="H86" s="433"/>
      <c r="I86" s="106">
        <f>VLOOKUP($B86,Aop!$A$2:$L$403,4,1)</f>
        <v>265</v>
      </c>
      <c r="J86" s="326"/>
      <c r="K86" s="327"/>
      <c r="O86" s="95"/>
    </row>
    <row r="87" spans="2:15" ht="12.75" customHeight="1" x14ac:dyDescent="0.2">
      <c r="B87" s="18">
        <v>198</v>
      </c>
      <c r="C87" s="109">
        <f>VLOOKUP($B87,Aop!$A$2:$L$403,5,1)</f>
        <v>578</v>
      </c>
      <c r="D87" s="434" t="str">
        <f>VLOOKUP($B87,Aop!$A$2:$L$403,6,1)</f>
        <v xml:space="preserve">      9. Rashodi po osnovu ispravke vrijednosti i otpisa potraživanja</v>
      </c>
      <c r="E87" s="434"/>
      <c r="F87" s="434"/>
      <c r="G87" s="434"/>
      <c r="H87" s="434"/>
      <c r="I87" s="110">
        <f>VLOOKUP($B87,Aop!$A$2:$L$403,4,1)</f>
        <v>266</v>
      </c>
      <c r="J87" s="328"/>
      <c r="K87" s="329">
        <v>136460</v>
      </c>
      <c r="O87" s="95"/>
    </row>
    <row r="88" spans="2:15" ht="12.75" customHeight="1" x14ac:dyDescent="0.2">
      <c r="B88" s="18">
        <v>199</v>
      </c>
      <c r="C88" s="105">
        <f>VLOOKUP($B88,Aop!$A$2:$L$403,5,1)</f>
        <v>579</v>
      </c>
      <c r="D88" s="433" t="str">
        <f>VLOOKUP($B88,Aop!$A$2:$L$403,6,1)</f>
        <v xml:space="preserve">      10. Rashodi po osnovu rashodovanja zaliha materijala i robe i ostali rashodi</v>
      </c>
      <c r="E88" s="433"/>
      <c r="F88" s="433"/>
      <c r="G88" s="433"/>
      <c r="H88" s="433"/>
      <c r="I88" s="106">
        <f>VLOOKUP($B88,Aop!$A$2:$L$403,4,1)</f>
        <v>267</v>
      </c>
      <c r="J88" s="326">
        <v>28267</v>
      </c>
      <c r="K88" s="327">
        <v>21804</v>
      </c>
      <c r="O88" s="95"/>
    </row>
    <row r="89" spans="2:15" ht="12.75" customHeight="1" x14ac:dyDescent="0.2">
      <c r="B89" s="18">
        <v>200</v>
      </c>
      <c r="C89" s="109">
        <f>VLOOKUP($B89,Aop!$A$2:$L$403,5,1)</f>
        <v>0</v>
      </c>
      <c r="D89" s="435" t="str">
        <f>VLOOKUP($B89,Aop!$A$2:$L$403,6,1)</f>
        <v xml:space="preserve">  Ž. DOBITAK PO OSNOVU OSTALIH PRIHODA I RASHODA (246-257)</v>
      </c>
      <c r="E89" s="435"/>
      <c r="F89" s="435"/>
      <c r="G89" s="435"/>
      <c r="H89" s="435"/>
      <c r="I89" s="110">
        <f>VLOOKUP($B89,Aop!$A$2:$L$403,4,1)</f>
        <v>268</v>
      </c>
      <c r="J89" s="111">
        <f>IF(J67-J78&lt;0,0,J67-J78)</f>
        <v>6803</v>
      </c>
      <c r="K89" s="112">
        <f>IF(K67-K78&lt;0,0,K67-K78)</f>
        <v>305791</v>
      </c>
      <c r="O89" s="95"/>
    </row>
    <row r="90" spans="2:15" ht="12.75" customHeight="1" x14ac:dyDescent="0.2">
      <c r="B90" s="18">
        <v>201</v>
      </c>
      <c r="C90" s="105">
        <f>VLOOKUP($B90,Aop!$A$2:$L$403,5,1)</f>
        <v>0</v>
      </c>
      <c r="D90" s="436" t="str">
        <f>VLOOKUP($B90,Aop!$A$2:$L$403,6,1)</f>
        <v xml:space="preserve">  Z. GUBITAK PO OSNOVU OSTALIH PRIHODA I RASHODA (257-246)</v>
      </c>
      <c r="E90" s="436"/>
      <c r="F90" s="436"/>
      <c r="G90" s="436"/>
      <c r="H90" s="436"/>
      <c r="I90" s="106">
        <f>VLOOKUP($B90,Aop!$A$2:$L$403,4,1)</f>
        <v>269</v>
      </c>
      <c r="J90" s="107">
        <f>IF(J78-J67&lt;0,0,J78-J67)</f>
        <v>0</v>
      </c>
      <c r="K90" s="108">
        <f>IF(K78-K67&lt;0,0,K78-K67)</f>
        <v>0</v>
      </c>
      <c r="O90" s="95"/>
    </row>
    <row r="91" spans="2:15" ht="12.75" customHeight="1" x14ac:dyDescent="0.2">
      <c r="B91" s="18">
        <v>202</v>
      </c>
      <c r="C91" s="109">
        <f>VLOOKUP($B91,Aop!$A$2:$L$403,5,1)</f>
        <v>0</v>
      </c>
      <c r="D91" s="435" t="str">
        <f>VLOOKUP($B91,Aop!$A$2:$L$403,6,1)</f>
        <v>I. PRIHODI I RASHODI OD USKLAĐIVANJA VRIJEDNOSTI IMOVINE</v>
      </c>
      <c r="E91" s="435"/>
      <c r="F91" s="435"/>
      <c r="G91" s="435"/>
      <c r="H91" s="435"/>
      <c r="I91" s="110">
        <f>VLOOKUP($B91,Aop!$A$2:$L$403,4,1)</f>
        <v>0</v>
      </c>
      <c r="J91" s="340"/>
      <c r="K91" s="341"/>
      <c r="O91" s="95"/>
    </row>
    <row r="92" spans="2:15" ht="12.75" customHeight="1" x14ac:dyDescent="0.2">
      <c r="B92" s="18">
        <v>203</v>
      </c>
      <c r="C92" s="105">
        <f>VLOOKUP($B92,Aop!$A$2:$L$403,5,1)</f>
        <v>68</v>
      </c>
      <c r="D92" s="436" t="str">
        <f>VLOOKUP($B92,Aop!$A$2:$L$403,6,1)</f>
        <v xml:space="preserve">    I  PRIHODI OD USKLAĐIVANJA VRIJEDNOSTI IMOVINE (271 do 279)</v>
      </c>
      <c r="E92" s="436"/>
      <c r="F92" s="436"/>
      <c r="G92" s="436"/>
      <c r="H92" s="436"/>
      <c r="I92" s="106">
        <f>VLOOKUP($B92,Aop!$A$2:$L$403,4,1)</f>
        <v>270</v>
      </c>
      <c r="J92" s="107">
        <f>SUM(J93:J101)</f>
        <v>0</v>
      </c>
      <c r="K92" s="108">
        <f>SUM(K93:K101)</f>
        <v>5711</v>
      </c>
      <c r="O92" s="95"/>
    </row>
    <row r="93" spans="2:15" ht="12.75" customHeight="1" x14ac:dyDescent="0.2">
      <c r="B93" s="18">
        <v>204</v>
      </c>
      <c r="C93" s="109">
        <f>VLOOKUP($B93,Aop!$A$2:$L$403,5,1)</f>
        <v>680</v>
      </c>
      <c r="D93" s="434" t="str">
        <f>VLOOKUP($B93,Aop!$A$2:$L$403,6,1)</f>
        <v xml:space="preserve">      1. Prihodi od usklađivanja vrijednosti nematerijalnih ulaganja</v>
      </c>
      <c r="E93" s="434"/>
      <c r="F93" s="434"/>
      <c r="G93" s="434"/>
      <c r="H93" s="434"/>
      <c r="I93" s="110">
        <f>VLOOKUP($B93,Aop!$A$2:$L$403,4,1)</f>
        <v>271</v>
      </c>
      <c r="J93" s="328"/>
      <c r="K93" s="329"/>
      <c r="O93" s="95"/>
    </row>
    <row r="94" spans="2:15" ht="12.75" customHeight="1" x14ac:dyDescent="0.2">
      <c r="B94" s="18">
        <v>205</v>
      </c>
      <c r="C94" s="105">
        <f>VLOOKUP($B94,Aop!$A$2:$L$403,5,1)</f>
        <v>681</v>
      </c>
      <c r="D94" s="433" t="str">
        <f>VLOOKUP($B94,Aop!$A$2:$L$403,6,1)</f>
        <v xml:space="preserve">      2. Prihodi od usklađivanja vrijednosti nekretnina, postrojenja i opreme</v>
      </c>
      <c r="E94" s="433"/>
      <c r="F94" s="433"/>
      <c r="G94" s="433"/>
      <c r="H94" s="433"/>
      <c r="I94" s="106">
        <f>VLOOKUP($B94,Aop!$A$2:$L$403,4,1)</f>
        <v>272</v>
      </c>
      <c r="J94" s="326"/>
      <c r="K94" s="327"/>
      <c r="O94" s="95"/>
    </row>
    <row r="95" spans="2:15" ht="25.5" customHeight="1" x14ac:dyDescent="0.2">
      <c r="B95" s="18">
        <v>206</v>
      </c>
      <c r="C95" s="109">
        <f>VLOOKUP($B95,Aop!$A$2:$L$403,5,1)</f>
        <v>682</v>
      </c>
      <c r="D95" s="434" t="str">
        <f>VLOOKUP($B95,Aop!$A$2:$L$403,6,1)</f>
        <v xml:space="preserve">      3. Prihodi od usklađivanja vrijednosti investicionih nekretnina za koje se obračunava amortizacija</v>
      </c>
      <c r="E95" s="434"/>
      <c r="F95" s="434"/>
      <c r="G95" s="434"/>
      <c r="H95" s="434"/>
      <c r="I95" s="110">
        <f>VLOOKUP($B95,Aop!$A$2:$L$403,4,1)</f>
        <v>273</v>
      </c>
      <c r="J95" s="328"/>
      <c r="K95" s="329"/>
      <c r="O95" s="277" t="s">
        <v>1484</v>
      </c>
    </row>
    <row r="96" spans="2:15" ht="25.5" customHeight="1" x14ac:dyDescent="0.2">
      <c r="B96" s="18">
        <v>207</v>
      </c>
      <c r="C96" s="105">
        <f>VLOOKUP($B96,Aop!$A$2:$L$403,5,1)</f>
        <v>683</v>
      </c>
      <c r="D96" s="433" t="str">
        <f>VLOOKUP($B96,Aop!$A$2:$L$403,6,1)</f>
        <v xml:space="preserve">      4. Prihodi od usklađivanja vrijednosti bioloških sredstva za koje se obračunava amortizacija</v>
      </c>
      <c r="E96" s="433"/>
      <c r="F96" s="433"/>
      <c r="G96" s="433"/>
      <c r="H96" s="433"/>
      <c r="I96" s="106">
        <f>VLOOKUP($B96,Aop!$A$2:$L$403,4,1)</f>
        <v>274</v>
      </c>
      <c r="J96" s="326"/>
      <c r="K96" s="327"/>
      <c r="O96" s="277" t="s">
        <v>1484</v>
      </c>
    </row>
    <row r="97" spans="2:15" ht="25.5" customHeight="1" x14ac:dyDescent="0.2">
      <c r="B97" s="18">
        <v>208</v>
      </c>
      <c r="C97" s="109">
        <f>VLOOKUP($B97,Aop!$A$2:$L$403,5,1)</f>
        <v>684</v>
      </c>
      <c r="D97" s="434" t="str">
        <f>VLOOKUP($B97,Aop!$A$2:$L$403,6,1)</f>
        <v xml:space="preserve">      5. Prihodi od usklađivanja vrijednosti dugoročnih finansijskih plasmana i fin. sredstava raspoloživih za prodaju</v>
      </c>
      <c r="E97" s="434"/>
      <c r="F97" s="434"/>
      <c r="G97" s="434"/>
      <c r="H97" s="434"/>
      <c r="I97" s="110">
        <f>VLOOKUP($B97,Aop!$A$2:$L$403,4,1)</f>
        <v>275</v>
      </c>
      <c r="J97" s="328"/>
      <c r="K97" s="329"/>
      <c r="O97" s="277" t="s">
        <v>1484</v>
      </c>
    </row>
    <row r="98" spans="2:15" ht="12.75" customHeight="1" x14ac:dyDescent="0.2">
      <c r="B98" s="18">
        <v>209</v>
      </c>
      <c r="C98" s="105">
        <f>VLOOKUP($B98,Aop!$A$2:$L$403,5,1)</f>
        <v>685</v>
      </c>
      <c r="D98" s="433" t="str">
        <f>VLOOKUP($B98,Aop!$A$2:$L$403,6,1)</f>
        <v xml:space="preserve">      6. Prihodi od usklađivanja vrijednosti zaliha materijala i robe</v>
      </c>
      <c r="E98" s="433"/>
      <c r="F98" s="433"/>
      <c r="G98" s="433"/>
      <c r="H98" s="433"/>
      <c r="I98" s="106">
        <f>VLOOKUP($B98,Aop!$A$2:$L$403,4,1)</f>
        <v>276</v>
      </c>
      <c r="J98" s="326"/>
      <c r="K98" s="327">
        <v>5711</v>
      </c>
      <c r="O98" s="95"/>
    </row>
    <row r="99" spans="2:15" ht="12.75" customHeight="1" x14ac:dyDescent="0.2">
      <c r="B99" s="18">
        <v>210</v>
      </c>
      <c r="C99" s="109">
        <f>VLOOKUP($B99,Aop!$A$2:$L$403,5,1)</f>
        <v>686</v>
      </c>
      <c r="D99" s="434" t="str">
        <f>VLOOKUP($B99,Aop!$A$2:$L$403,6,1)</f>
        <v xml:space="preserve">      7. Prihodi od usklađivanja vrijednosti kratkoročnih finansijskih plasmana</v>
      </c>
      <c r="E99" s="434"/>
      <c r="F99" s="434"/>
      <c r="G99" s="434"/>
      <c r="H99" s="434"/>
      <c r="I99" s="110">
        <f>VLOOKUP($B99,Aop!$A$2:$L$403,4,1)</f>
        <v>277</v>
      </c>
      <c r="J99" s="328"/>
      <c r="K99" s="329"/>
      <c r="O99" s="95"/>
    </row>
    <row r="100" spans="2:15" ht="12.75" customHeight="1" x14ac:dyDescent="0.2">
      <c r="B100" s="18">
        <v>211</v>
      </c>
      <c r="C100" s="105">
        <f>VLOOKUP($B100,Aop!$A$2:$L$403,5,1)</f>
        <v>687</v>
      </c>
      <c r="D100" s="433" t="str">
        <f>VLOOKUP($B100,Aop!$A$2:$L$403,6,1)</f>
        <v xml:space="preserve">      8. Prihodi od usklađivanja vrijednosti kapitala</v>
      </c>
      <c r="E100" s="433"/>
      <c r="F100" s="433"/>
      <c r="G100" s="433"/>
      <c r="H100" s="433"/>
      <c r="I100" s="106">
        <f>VLOOKUP($B100,Aop!$A$2:$L$403,4,1)</f>
        <v>278</v>
      </c>
      <c r="J100" s="326"/>
      <c r="K100" s="327"/>
      <c r="O100" s="95"/>
    </row>
    <row r="101" spans="2:15" ht="12.75" customHeight="1" x14ac:dyDescent="0.2">
      <c r="B101" s="18">
        <v>212</v>
      </c>
      <c r="C101" s="109">
        <f>VLOOKUP($B101,Aop!$A$2:$L$403,5,1)</f>
        <v>689</v>
      </c>
      <c r="D101" s="434" t="str">
        <f>VLOOKUP($B101,Aop!$A$2:$L$403,6,1)</f>
        <v xml:space="preserve">      9. Prihodi od usklađivanja vrijednosti ostale imovine</v>
      </c>
      <c r="E101" s="434"/>
      <c r="F101" s="434"/>
      <c r="G101" s="434"/>
      <c r="H101" s="434"/>
      <c r="I101" s="110">
        <f>VLOOKUP($B101,Aop!$A$2:$L$403,4,1)</f>
        <v>279</v>
      </c>
      <c r="J101" s="328"/>
      <c r="K101" s="329"/>
      <c r="O101" s="95"/>
    </row>
    <row r="102" spans="2:15" ht="12.75" customHeight="1" x14ac:dyDescent="0.2">
      <c r="B102" s="18">
        <v>213</v>
      </c>
      <c r="C102" s="105">
        <f>VLOOKUP($B102,Aop!$A$2:$L$403,5,1)</f>
        <v>58</v>
      </c>
      <c r="D102" s="436" t="str">
        <f>VLOOKUP($B102,Aop!$A$2:$L$403,6,1)</f>
        <v xml:space="preserve">    II  RASHODI OD USKLAĐIVANJA VRIJEDNOSTI IMOVINE (281 do 288)</v>
      </c>
      <c r="E102" s="436"/>
      <c r="F102" s="436"/>
      <c r="G102" s="436"/>
      <c r="H102" s="436"/>
      <c r="I102" s="106">
        <f>VLOOKUP($B102,Aop!$A$2:$L$403,4,1)</f>
        <v>280</v>
      </c>
      <c r="J102" s="107">
        <f>SUM(J103:J110)</f>
        <v>0</v>
      </c>
      <c r="K102" s="108">
        <f>SUM(K103:K110)</f>
        <v>0</v>
      </c>
      <c r="O102" s="95"/>
    </row>
    <row r="103" spans="2:15" ht="12.75" customHeight="1" x14ac:dyDescent="0.2">
      <c r="B103" s="18">
        <v>214</v>
      </c>
      <c r="C103" s="109">
        <f>VLOOKUP($B103,Aop!$A$2:$L$403,5,1)</f>
        <v>580</v>
      </c>
      <c r="D103" s="434" t="str">
        <f>VLOOKUP($B103,Aop!$A$2:$L$403,6,1)</f>
        <v xml:space="preserve">      1. Obezvrjeđenje nematerijalnih ulaganja</v>
      </c>
      <c r="E103" s="434"/>
      <c r="F103" s="434"/>
      <c r="G103" s="434"/>
      <c r="H103" s="434"/>
      <c r="I103" s="110">
        <f>VLOOKUP($B103,Aop!$A$2:$L$403,4,1)</f>
        <v>281</v>
      </c>
      <c r="J103" s="328"/>
      <c r="K103" s="329"/>
      <c r="O103" s="95"/>
    </row>
    <row r="104" spans="2:15" ht="12.75" customHeight="1" x14ac:dyDescent="0.2">
      <c r="B104" s="18">
        <v>215</v>
      </c>
      <c r="C104" s="105">
        <f>VLOOKUP($B104,Aop!$A$2:$L$403,5,1)</f>
        <v>581</v>
      </c>
      <c r="D104" s="433" t="str">
        <f>VLOOKUP($B104,Aop!$A$2:$L$403,6,1)</f>
        <v xml:space="preserve">      2. Obezvrjeđenje nekretnina, postrojenja i opreme</v>
      </c>
      <c r="E104" s="433"/>
      <c r="F104" s="433"/>
      <c r="G104" s="433"/>
      <c r="H104" s="433"/>
      <c r="I104" s="106">
        <f>VLOOKUP($B104,Aop!$A$2:$L$403,4,1)</f>
        <v>282</v>
      </c>
      <c r="J104" s="326"/>
      <c r="K104" s="327"/>
      <c r="O104" s="95"/>
    </row>
    <row r="105" spans="2:15" ht="12.75" customHeight="1" x14ac:dyDescent="0.2">
      <c r="B105" s="18">
        <v>216</v>
      </c>
      <c r="C105" s="109">
        <f>VLOOKUP($B105,Aop!$A$2:$L$403,5,1)</f>
        <v>582</v>
      </c>
      <c r="D105" s="434" t="str">
        <f>VLOOKUP($B105,Aop!$A$2:$L$403,6,1)</f>
        <v xml:space="preserve">      3. Obezvrjeđenje investicionih nekretnina za koje se obračunava amortizacija</v>
      </c>
      <c r="E105" s="434"/>
      <c r="F105" s="434"/>
      <c r="G105" s="434"/>
      <c r="H105" s="434"/>
      <c r="I105" s="110">
        <f>VLOOKUP($B105,Aop!$A$2:$L$403,4,1)</f>
        <v>283</v>
      </c>
      <c r="J105" s="328"/>
      <c r="K105" s="329"/>
      <c r="O105" s="95"/>
    </row>
    <row r="106" spans="2:15" ht="12.75" customHeight="1" x14ac:dyDescent="0.2">
      <c r="B106" s="18">
        <v>217</v>
      </c>
      <c r="C106" s="105">
        <f>VLOOKUP($B106,Aop!$A$2:$L$403,5,1)</f>
        <v>583</v>
      </c>
      <c r="D106" s="433" t="str">
        <f>VLOOKUP($B106,Aop!$A$2:$L$403,6,1)</f>
        <v xml:space="preserve">      4. Obezvrjeđenje bioloških sredstva za koja se obračunava amortizacija</v>
      </c>
      <c r="E106" s="433"/>
      <c r="F106" s="433"/>
      <c r="G106" s="433"/>
      <c r="H106" s="433"/>
      <c r="I106" s="106">
        <f>VLOOKUP($B106,Aop!$A$2:$L$403,4,1)</f>
        <v>284</v>
      </c>
      <c r="J106" s="326"/>
      <c r="K106" s="327"/>
      <c r="O106" s="95"/>
    </row>
    <row r="107" spans="2:15" ht="25.5" customHeight="1" x14ac:dyDescent="0.2">
      <c r="B107" s="18">
        <v>218</v>
      </c>
      <c r="C107" s="109">
        <f>VLOOKUP($B107,Aop!$A$2:$L$403,5,1)</f>
        <v>584</v>
      </c>
      <c r="D107" s="434" t="str">
        <f>VLOOKUP($B107,Aop!$A$2:$L$403,6,1)</f>
        <v xml:space="preserve">      5. Obezvrjeđenje dugoročnih finansijskih plasmana i finansijskih sredstava raspoloživih za prodaju</v>
      </c>
      <c r="E107" s="434"/>
      <c r="F107" s="434"/>
      <c r="G107" s="434"/>
      <c r="H107" s="434"/>
      <c r="I107" s="110">
        <f>VLOOKUP($B107,Aop!$A$2:$L$403,4,1)</f>
        <v>285</v>
      </c>
      <c r="J107" s="328"/>
      <c r="K107" s="329"/>
      <c r="O107" s="277" t="s">
        <v>1484</v>
      </c>
    </row>
    <row r="108" spans="2:15" ht="12.75" customHeight="1" x14ac:dyDescent="0.2">
      <c r="B108" s="18">
        <v>219</v>
      </c>
      <c r="C108" s="105">
        <f>VLOOKUP($B108,Aop!$A$2:$L$403,5,1)</f>
        <v>585</v>
      </c>
      <c r="D108" s="433" t="str">
        <f>VLOOKUP($B108,Aop!$A$2:$L$403,6,1)</f>
        <v xml:space="preserve">      6. Obezvrjeđenje zaliha materijala i robe</v>
      </c>
      <c r="E108" s="433"/>
      <c r="F108" s="433"/>
      <c r="G108" s="433"/>
      <c r="H108" s="433"/>
      <c r="I108" s="106">
        <f>VLOOKUP($B108,Aop!$A$2:$L$403,4,1)</f>
        <v>286</v>
      </c>
      <c r="J108" s="326"/>
      <c r="K108" s="327"/>
      <c r="O108" s="95"/>
    </row>
    <row r="109" spans="2:15" ht="12.75" customHeight="1" x14ac:dyDescent="0.2">
      <c r="B109" s="18">
        <v>220</v>
      </c>
      <c r="C109" s="109">
        <f>VLOOKUP($B109,Aop!$A$2:$L$403,5,1)</f>
        <v>586</v>
      </c>
      <c r="D109" s="434" t="str">
        <f>VLOOKUP($B109,Aop!$A$2:$L$403,6,1)</f>
        <v xml:space="preserve">      7. Obezvrjeđenje kratkoročnih finansijskih plasmana</v>
      </c>
      <c r="E109" s="434"/>
      <c r="F109" s="434"/>
      <c r="G109" s="434"/>
      <c r="H109" s="434"/>
      <c r="I109" s="110">
        <f>VLOOKUP($B109,Aop!$A$2:$L$403,4,1)</f>
        <v>287</v>
      </c>
      <c r="J109" s="328"/>
      <c r="K109" s="329"/>
      <c r="O109" s="95"/>
    </row>
    <row r="110" spans="2:15" ht="12.75" customHeight="1" x14ac:dyDescent="0.2">
      <c r="B110" s="18">
        <v>221</v>
      </c>
      <c r="C110" s="105">
        <f>VLOOKUP($B110,Aop!$A$2:$L$403,5,1)</f>
        <v>589</v>
      </c>
      <c r="D110" s="433" t="str">
        <f>VLOOKUP($B110,Aop!$A$2:$L$403,6,1)</f>
        <v xml:space="preserve">      8. Obezvrjeđenje ostale imovine</v>
      </c>
      <c r="E110" s="433"/>
      <c r="F110" s="433"/>
      <c r="G110" s="433"/>
      <c r="H110" s="433"/>
      <c r="I110" s="106">
        <f>VLOOKUP($B110,Aop!$A$2:$L$403,4,1)</f>
        <v>288</v>
      </c>
      <c r="J110" s="326"/>
      <c r="K110" s="327"/>
      <c r="O110" s="95"/>
    </row>
    <row r="111" spans="2:15" ht="12.75" customHeight="1" x14ac:dyDescent="0.2">
      <c r="B111" s="18">
        <v>222</v>
      </c>
      <c r="C111" s="109">
        <f>VLOOKUP($B111,Aop!$A$2:$L$403,5,1)</f>
        <v>0</v>
      </c>
      <c r="D111" s="435" t="str">
        <f>VLOOKUP($B111,Aop!$A$2:$L$403,6,1)</f>
        <v xml:space="preserve">  J. DOBITAK PO OSNOVU USKLAĐIVANJA VRIJEDNOSTI IMOVINE (270-280)</v>
      </c>
      <c r="E111" s="435"/>
      <c r="F111" s="435"/>
      <c r="G111" s="435"/>
      <c r="H111" s="435"/>
      <c r="I111" s="110">
        <f>VLOOKUP($B111,Aop!$A$2:$L$403,4,1)</f>
        <v>289</v>
      </c>
      <c r="J111" s="111">
        <f>IF(J92-J102&lt;0,0,J92-J102)</f>
        <v>0</v>
      </c>
      <c r="K111" s="112">
        <f>IF(K92-K102&lt;0,0,K92-K102)</f>
        <v>5711</v>
      </c>
      <c r="O111" s="95"/>
    </row>
    <row r="112" spans="2:15" ht="12.75" customHeight="1" x14ac:dyDescent="0.2">
      <c r="B112" s="18">
        <v>223</v>
      </c>
      <c r="C112" s="105">
        <f>VLOOKUP($B112,Aop!$A$2:$L$403,5,1)</f>
        <v>0</v>
      </c>
      <c r="D112" s="436" t="str">
        <f>VLOOKUP($B112,Aop!$A$2:$L$403,6,1)</f>
        <v xml:space="preserve">  K. GUBITAK PO OSNOVU USKLAĐIVANJA VRIJEDNOSTI IMOVINE (280-270)</v>
      </c>
      <c r="E112" s="436"/>
      <c r="F112" s="436"/>
      <c r="G112" s="436"/>
      <c r="H112" s="436"/>
      <c r="I112" s="106">
        <f>VLOOKUP($B112,Aop!$A$2:$L$403,4,1)</f>
        <v>290</v>
      </c>
      <c r="J112" s="107">
        <f>IF(J102-J92&lt;0,0,J102-J92)</f>
        <v>0</v>
      </c>
      <c r="K112" s="108">
        <f>IF(K102-K92&lt;0,0,K102-K92)</f>
        <v>0</v>
      </c>
      <c r="O112" s="95"/>
    </row>
    <row r="113" spans="2:15" ht="25.5" customHeight="1" x14ac:dyDescent="0.2">
      <c r="B113" s="18">
        <v>224</v>
      </c>
      <c r="C113" s="109" t="str">
        <f>VLOOKUP($B113,Aop!$A$2:$L$403,5,1)</f>
        <v>690 i 691</v>
      </c>
      <c r="D113" s="435" t="str">
        <f>VLOOKUP($B113,Aop!$A$2:$L$403,6,1)</f>
        <v xml:space="preserve">  L. PRIHODI PO OSNOVU PROMJENE RAČUNOVODSTVENIH POLITIKA I ISPRAVKE GREŠAKA IZ RANIJIH GODINA</v>
      </c>
      <c r="E113" s="435"/>
      <c r="F113" s="435"/>
      <c r="G113" s="435"/>
      <c r="H113" s="435"/>
      <c r="I113" s="110">
        <f>VLOOKUP($B113,Aop!$A$2:$L$403,4,1)</f>
        <v>291</v>
      </c>
      <c r="J113" s="170"/>
      <c r="K113" s="171"/>
      <c r="O113" s="277" t="s">
        <v>1484</v>
      </c>
    </row>
    <row r="114" spans="2:15" ht="25.5" customHeight="1" x14ac:dyDescent="0.2">
      <c r="B114" s="18">
        <v>225</v>
      </c>
      <c r="C114" s="105" t="str">
        <f>VLOOKUP($B114,Aop!$A$2:$L$403,5,1)</f>
        <v>590 i 591</v>
      </c>
      <c r="D114" s="436" t="str">
        <f>VLOOKUP($B114,Aop!$A$2:$L$403,6,1)</f>
        <v xml:space="preserve">  LJ. RASHODI PO OSNOVU PROMJENE RAČUNOVODSTVENIH POLITIKA I ISPRAVKE GREŠAKA IZ RANIJIH GODINA</v>
      </c>
      <c r="E114" s="436"/>
      <c r="F114" s="436"/>
      <c r="G114" s="436"/>
      <c r="H114" s="436"/>
      <c r="I114" s="106">
        <f>VLOOKUP($B114,Aop!$A$2:$L$403,4,1)</f>
        <v>292</v>
      </c>
      <c r="J114" s="168"/>
      <c r="K114" s="169"/>
      <c r="O114" s="277" t="s">
        <v>1484</v>
      </c>
    </row>
    <row r="115" spans="2:15" ht="12.75" customHeight="1" x14ac:dyDescent="0.2">
      <c r="B115" s="18">
        <v>226</v>
      </c>
      <c r="C115" s="109">
        <f>VLOOKUP($B115,Aop!$A$2:$L$403,5,1)</f>
        <v>0</v>
      </c>
      <c r="D115" s="435" t="str">
        <f>VLOOKUP($B115,Aop!$A$2:$L$403,6,1)</f>
        <v>M. DOBITAK I GUBITAK PRIJE OPOREZIVANJA</v>
      </c>
      <c r="E115" s="435"/>
      <c r="F115" s="435"/>
      <c r="G115" s="435"/>
      <c r="H115" s="435"/>
      <c r="I115" s="110">
        <f>VLOOKUP($B115,Aop!$A$2:$L$403,4,1)</f>
        <v>0</v>
      </c>
      <c r="J115" s="300"/>
      <c r="K115" s="302"/>
      <c r="O115" s="95"/>
    </row>
    <row r="116" spans="2:15" ht="12.75" customHeight="1" x14ac:dyDescent="0.2">
      <c r="B116" s="18">
        <v>227</v>
      </c>
      <c r="C116" s="105">
        <f>VLOOKUP($B116,Aop!$A$2:$L$403,5,1)</f>
        <v>0</v>
      </c>
      <c r="D116" s="433" t="str">
        <f>VLOOKUP($B116,Aop!$A$2:$L$403,6,1)</f>
        <v xml:space="preserve">    1. Dobitak prije oporezivanja (244+268+289+291-245-269-290-292)</v>
      </c>
      <c r="E116" s="433"/>
      <c r="F116" s="433"/>
      <c r="G116" s="433"/>
      <c r="H116" s="433"/>
      <c r="I116" s="106">
        <f>VLOOKUP($B116,Aop!$A$2:$L$403,4,1)</f>
        <v>293</v>
      </c>
      <c r="J116" s="299">
        <f>IF(J64-J65+J89-J90+J111-J112+J113-J114&lt;0,0,J64-J65+J89-J90+J111-J112+J113-J114)</f>
        <v>0</v>
      </c>
      <c r="K116" s="301">
        <f>IF(K64-K65+K89-K90+K111-K112+K113-K114&lt;0,0,K64-K65+K89-K90+K111-K112+K113-K114)</f>
        <v>0</v>
      </c>
      <c r="O116" s="95"/>
    </row>
    <row r="117" spans="2:15" ht="12.75" customHeight="1" x14ac:dyDescent="0.2">
      <c r="B117" s="18">
        <v>228</v>
      </c>
      <c r="C117" s="117">
        <f>VLOOKUP($B117,Aop!$A$2:$L$403,5,1)</f>
        <v>0</v>
      </c>
      <c r="D117" s="434" t="str">
        <f>VLOOKUP($B117,Aop!$A$2:$L$403,6,1)</f>
        <v xml:space="preserve">    2. Gubitak prije oporezivanja (245+269+290+292-244-268-289-291)</v>
      </c>
      <c r="E117" s="434"/>
      <c r="F117" s="434"/>
      <c r="G117" s="434"/>
      <c r="H117" s="434"/>
      <c r="I117" s="110">
        <f>VLOOKUP($B117,Aop!$A$2:$L$403,4,1)</f>
        <v>294</v>
      </c>
      <c r="J117" s="330">
        <f>IF(J65-J64+J90-J89+J112-J111+J114-J113&lt;0,0,J65-J64+J90-J89+J112-J111+J114-J113)</f>
        <v>14580</v>
      </c>
      <c r="K117" s="331">
        <f>IF(K65-K64+K90-K89+K112-K111+K114-K113&lt;0,0,K65-K64+K90-K89+K112-K111+K114-K113)</f>
        <v>132834</v>
      </c>
      <c r="O117" s="95"/>
    </row>
    <row r="118" spans="2:15" ht="12.75" customHeight="1" x14ac:dyDescent="0.2">
      <c r="B118" s="18">
        <v>229</v>
      </c>
      <c r="C118" s="105">
        <f>VLOOKUP($B118,Aop!$A$2:$L$403,5,1)</f>
        <v>0</v>
      </c>
      <c r="D118" s="436" t="str">
        <f>VLOOKUP($B118,Aop!$A$2:$L$403,6,1)</f>
        <v>N. TEKUĆI I ODLOŽENI POREZ NA DOBIT</v>
      </c>
      <c r="E118" s="436"/>
      <c r="F118" s="436"/>
      <c r="G118" s="436"/>
      <c r="H118" s="436"/>
      <c r="I118" s="106">
        <f>VLOOKUP($B118,Aop!$A$2:$L$403,4,1)</f>
        <v>0</v>
      </c>
      <c r="J118" s="299"/>
      <c r="K118" s="301"/>
      <c r="O118" s="95"/>
    </row>
    <row r="119" spans="2:15" ht="12.75" customHeight="1" x14ac:dyDescent="0.2">
      <c r="B119" s="18">
        <v>230</v>
      </c>
      <c r="C119" s="117">
        <f>VLOOKUP($B119,Aop!$A$2:$L$403,5,1)</f>
        <v>721</v>
      </c>
      <c r="D119" s="434" t="str">
        <f>VLOOKUP($B119,Aop!$A$2:$L$403,6,1)</f>
        <v xml:space="preserve">    1. Poreski rashodi perioda</v>
      </c>
      <c r="E119" s="434"/>
      <c r="F119" s="434"/>
      <c r="G119" s="434"/>
      <c r="H119" s="434"/>
      <c r="I119" s="110">
        <f>VLOOKUP($B119,Aop!$A$2:$L$403,4,1)</f>
        <v>295</v>
      </c>
      <c r="J119" s="332"/>
      <c r="K119" s="333"/>
      <c r="O119" s="95"/>
    </row>
    <row r="120" spans="2:15" ht="12.75" customHeight="1" x14ac:dyDescent="0.2">
      <c r="B120" s="18">
        <v>231</v>
      </c>
      <c r="C120" s="105" t="str">
        <f>VLOOKUP($B120,Aop!$A$2:$L$403,5,1)</f>
        <v>dio 722</v>
      </c>
      <c r="D120" s="433" t="str">
        <f>VLOOKUP($B120,Aop!$A$2:$L$403,6,1)</f>
        <v xml:space="preserve">    2. Odloženi poreski rashodi perioda</v>
      </c>
      <c r="E120" s="433"/>
      <c r="F120" s="433"/>
      <c r="G120" s="433"/>
      <c r="H120" s="433"/>
      <c r="I120" s="106">
        <f>VLOOKUP($B120,Aop!$A$2:$L$403,4,1)</f>
        <v>296</v>
      </c>
      <c r="J120" s="326"/>
      <c r="K120" s="327"/>
      <c r="O120" s="95"/>
    </row>
    <row r="121" spans="2:15" ht="12.75" customHeight="1" x14ac:dyDescent="0.2">
      <c r="B121" s="18">
        <v>232</v>
      </c>
      <c r="C121" s="117" t="str">
        <f>VLOOKUP($B121,Aop!$A$2:$L$403,5,1)</f>
        <v>dio 722</v>
      </c>
      <c r="D121" s="434" t="str">
        <f>VLOOKUP($B121,Aop!$A$2:$L$403,6,1)</f>
        <v xml:space="preserve">    3. Odloženi poreski prihodi perioda</v>
      </c>
      <c r="E121" s="434"/>
      <c r="F121" s="434"/>
      <c r="G121" s="434"/>
      <c r="H121" s="434"/>
      <c r="I121" s="110">
        <f>VLOOKUP($B121,Aop!$A$2:$L$403,4,1)</f>
        <v>297</v>
      </c>
      <c r="J121" s="332"/>
      <c r="K121" s="333"/>
      <c r="O121" s="95"/>
    </row>
    <row r="122" spans="2:15" ht="12.75" customHeight="1" x14ac:dyDescent="0.2">
      <c r="B122" s="18">
        <v>233</v>
      </c>
      <c r="C122" s="105">
        <f>VLOOKUP($B122,Aop!$A$2:$L$403,5,1)</f>
        <v>0</v>
      </c>
      <c r="D122" s="436" t="str">
        <f>VLOOKUP($B122,Aop!$A$2:$L$403,6,1)</f>
        <v>NJ. NETO DOBITAK I NETO GUBITAK PERIODA</v>
      </c>
      <c r="E122" s="436"/>
      <c r="F122" s="436"/>
      <c r="G122" s="436"/>
      <c r="H122" s="436"/>
      <c r="I122" s="106">
        <f>VLOOKUP($B122,Aop!$A$2:$L$403,4,1)</f>
        <v>0</v>
      </c>
      <c r="J122" s="299"/>
      <c r="K122" s="301"/>
      <c r="O122" s="95"/>
    </row>
    <row r="123" spans="2:15" ht="12.75" customHeight="1" x14ac:dyDescent="0.2">
      <c r="B123" s="18">
        <v>234</v>
      </c>
      <c r="C123" s="117">
        <f>VLOOKUP($B123,Aop!$A$2:$L$403,5,1)</f>
        <v>0</v>
      </c>
      <c r="D123" s="434" t="str">
        <f>VLOOKUP($B123,Aop!$A$2:$L$403,6,1)</f>
        <v xml:space="preserve">    1. Neto dobitak tekuće godine (293-294-295-296+297)</v>
      </c>
      <c r="E123" s="434"/>
      <c r="F123" s="434"/>
      <c r="G123" s="434"/>
      <c r="H123" s="434"/>
      <c r="I123" s="110">
        <f>VLOOKUP($B123,Aop!$A$2:$L$403,4,1)</f>
        <v>298</v>
      </c>
      <c r="J123" s="330">
        <f>IF(J116-J117-J119-J120+J121&lt;0,0,J116-J117-J119-J120+J121)</f>
        <v>0</v>
      </c>
      <c r="K123" s="331">
        <f>IF(K116-K117-K119-K120+K121&lt;0,0,K116-K117-K119-K120+K121)</f>
        <v>0</v>
      </c>
      <c r="O123" s="95"/>
    </row>
    <row r="124" spans="2:15" ht="12.75" customHeight="1" x14ac:dyDescent="0.2">
      <c r="B124" s="18">
        <v>235</v>
      </c>
      <c r="C124" s="105">
        <f>VLOOKUP($B124,Aop!$A$2:$L$403,5,1)</f>
        <v>0</v>
      </c>
      <c r="D124" s="433" t="str">
        <f>VLOOKUP($B124,Aop!$A$2:$L$403,6,1)</f>
        <v xml:space="preserve">    2. Neto gubitak tekuće godine (294-293+295+296-297)</v>
      </c>
      <c r="E124" s="433"/>
      <c r="F124" s="433"/>
      <c r="G124" s="433"/>
      <c r="H124" s="433"/>
      <c r="I124" s="106">
        <f>VLOOKUP($B124,Aop!$A$2:$L$403,4,1)</f>
        <v>299</v>
      </c>
      <c r="J124" s="299">
        <f>IF(J117-J116+J119+J120-J121&lt;0,0,J117-J116+J119+J120-J121)</f>
        <v>14580</v>
      </c>
      <c r="K124" s="301">
        <f>IF(K117-K116+K119+K120-K121&lt;0,0,K117-K116+K119+K120-K121)</f>
        <v>132834</v>
      </c>
      <c r="O124" s="95"/>
    </row>
    <row r="125" spans="2:15" ht="12.75" customHeight="1" x14ac:dyDescent="0.2">
      <c r="B125" s="18">
        <v>236</v>
      </c>
      <c r="C125" s="117">
        <f>VLOOKUP($B125,Aop!$A$2:$L$403,5,1)</f>
        <v>0</v>
      </c>
      <c r="D125" s="435" t="str">
        <f>VLOOKUP($B125,Aop!$A$2:$L$403,6,1)</f>
        <v>UKUPNI PRIHODI (201+231+246+270+291)</v>
      </c>
      <c r="E125" s="435"/>
      <c r="F125" s="435"/>
      <c r="G125" s="435"/>
      <c r="H125" s="435"/>
      <c r="I125" s="110">
        <f>VLOOKUP($B125,Aop!$A$2:$L$403,4,1)</f>
        <v>300</v>
      </c>
      <c r="J125" s="118">
        <f>SUM(J20,J51,J67,J92,J113)</f>
        <v>4347198</v>
      </c>
      <c r="K125" s="119">
        <f>SUM(K20,K51,K67,K92,K113)</f>
        <v>3386837</v>
      </c>
      <c r="O125" s="95"/>
    </row>
    <row r="126" spans="2:15" ht="12.75" customHeight="1" x14ac:dyDescent="0.2">
      <c r="B126" s="18">
        <v>237</v>
      </c>
      <c r="C126" s="105">
        <f>VLOOKUP($B126,Aop!$A$2:$L$403,5,1)</f>
        <v>0</v>
      </c>
      <c r="D126" s="436" t="str">
        <f>VLOOKUP($B126,Aop!$A$2:$L$403,6,1)</f>
        <v>UKUPNI RASHODI (216+238+257+280+292)</v>
      </c>
      <c r="E126" s="436"/>
      <c r="F126" s="436"/>
      <c r="G126" s="436"/>
      <c r="H126" s="436"/>
      <c r="I126" s="106">
        <f>VLOOKUP($B126,Aop!$A$2:$L$403,4,1)</f>
        <v>301</v>
      </c>
      <c r="J126" s="107">
        <f>SUM(J35,J58,J78,J102,J114)</f>
        <v>4361778</v>
      </c>
      <c r="K126" s="108">
        <f>SUM(K35,K58,K78,K102,K114)</f>
        <v>3519671</v>
      </c>
      <c r="O126" s="95"/>
    </row>
    <row r="127" spans="2:15" ht="25.5" customHeight="1" x14ac:dyDescent="0.2">
      <c r="B127" s="18">
        <v>238</v>
      </c>
      <c r="C127" s="117">
        <f>VLOOKUP($B127,Aop!$A$2:$L$403,5,1)</f>
        <v>723</v>
      </c>
      <c r="D127" s="435" t="str">
        <f>VLOOKUP($B127,Aop!$A$2:$L$403,6,1)</f>
        <v xml:space="preserve">  O. MEĐUDIVIDENDE I DRUGI VIDOVI RASPODJELE DOBITKA U TOKU PERIODA</v>
      </c>
      <c r="E127" s="435"/>
      <c r="F127" s="435"/>
      <c r="G127" s="435"/>
      <c r="H127" s="435"/>
      <c r="I127" s="110">
        <f>VLOOKUP($B127,Aop!$A$2:$L$403,4,1)</f>
        <v>302</v>
      </c>
      <c r="J127" s="342"/>
      <c r="K127" s="343"/>
      <c r="O127" s="277" t="s">
        <v>1484</v>
      </c>
    </row>
    <row r="128" spans="2:15" ht="12.75" customHeight="1" x14ac:dyDescent="0.2">
      <c r="B128" s="18">
        <v>239</v>
      </c>
      <c r="C128" s="105">
        <f>VLOOKUP($B128,Aop!$A$2:$L$403,5,1)</f>
        <v>0</v>
      </c>
      <c r="D128" s="433" t="str">
        <f>VLOOKUP($B128,Aop!$A$2:$L$403,6,1)</f>
        <v>Dio neto dobitka/gubitka koji pripada većinskim vlasnicima</v>
      </c>
      <c r="E128" s="433"/>
      <c r="F128" s="433"/>
      <c r="G128" s="433"/>
      <c r="H128" s="433"/>
      <c r="I128" s="106">
        <f>VLOOKUP($B128,Aop!$A$2:$L$403,4,1)</f>
        <v>303</v>
      </c>
      <c r="J128" s="334"/>
      <c r="K128" s="335"/>
      <c r="O128" s="95"/>
    </row>
    <row r="129" spans="2:15" ht="12.75" customHeight="1" x14ac:dyDescent="0.2">
      <c r="B129" s="18">
        <v>240</v>
      </c>
      <c r="C129" s="117">
        <f>VLOOKUP($B129,Aop!$A$2:$L$403,5,1)</f>
        <v>0</v>
      </c>
      <c r="D129" s="434" t="str">
        <f>VLOOKUP($B129,Aop!$A$2:$L$403,6,1)</f>
        <v>Dio neto dobitka/gubitka koji pripada manjinskim vlasnicima</v>
      </c>
      <c r="E129" s="434"/>
      <c r="F129" s="434"/>
      <c r="G129" s="434"/>
      <c r="H129" s="434"/>
      <c r="I129" s="110">
        <f>VLOOKUP($B129,Aop!$A$2:$L$403,4,1)</f>
        <v>304</v>
      </c>
      <c r="J129" s="336"/>
      <c r="K129" s="337"/>
      <c r="O129" s="95"/>
    </row>
    <row r="130" spans="2:15" ht="12.75" customHeight="1" x14ac:dyDescent="0.2">
      <c r="B130" s="18">
        <v>241</v>
      </c>
      <c r="C130" s="105">
        <f>VLOOKUP($B130,Aop!$A$2:$L$403,5,1)</f>
        <v>0</v>
      </c>
      <c r="D130" s="433" t="str">
        <f>VLOOKUP($B130,Aop!$A$2:$L$403,6,1)</f>
        <v>Obična zarada po akciji</v>
      </c>
      <c r="E130" s="433"/>
      <c r="F130" s="433"/>
      <c r="G130" s="433"/>
      <c r="H130" s="433"/>
      <c r="I130" s="106">
        <f>VLOOKUP($B130,Aop!$A$2:$L$403,4,1)</f>
        <v>305</v>
      </c>
      <c r="J130" s="334"/>
      <c r="K130" s="335"/>
      <c r="O130" s="95"/>
    </row>
    <row r="131" spans="2:15" ht="12.75" customHeight="1" x14ac:dyDescent="0.2">
      <c r="B131" s="18">
        <v>242</v>
      </c>
      <c r="C131" s="117">
        <f>VLOOKUP($B131,Aop!$A$2:$L$403,5,1)</f>
        <v>0</v>
      </c>
      <c r="D131" s="434" t="str">
        <f>VLOOKUP($B131,Aop!$A$2:$L$403,6,1)</f>
        <v>Razrijeđena zarada po akciji</v>
      </c>
      <c r="E131" s="434"/>
      <c r="F131" s="434"/>
      <c r="G131" s="434"/>
      <c r="H131" s="434"/>
      <c r="I131" s="110">
        <f>VLOOKUP($B131,Aop!$A$2:$L$403,4,1)</f>
        <v>306</v>
      </c>
      <c r="J131" s="336"/>
      <c r="K131" s="337"/>
      <c r="O131" s="95"/>
    </row>
    <row r="132" spans="2:15" ht="12.75" customHeight="1" x14ac:dyDescent="0.2">
      <c r="B132" s="18">
        <v>243</v>
      </c>
      <c r="C132" s="105">
        <f>VLOOKUP($B132,Aop!$A$2:$L$403,5,1)</f>
        <v>0</v>
      </c>
      <c r="D132" s="433" t="str">
        <f>VLOOKUP($B132,Aop!$A$2:$L$403,6,1)</f>
        <v>Prosječan broj zaposlenih po osnovu časova rada</v>
      </c>
      <c r="E132" s="433"/>
      <c r="F132" s="433"/>
      <c r="G132" s="433"/>
      <c r="H132" s="433"/>
      <c r="I132" s="106">
        <f>VLOOKUP($B132,Aop!$A$2:$L$403,4,1)</f>
        <v>307</v>
      </c>
      <c r="J132" s="334">
        <v>25.68</v>
      </c>
      <c r="K132" s="335">
        <v>25.12</v>
      </c>
      <c r="O132" s="95"/>
    </row>
    <row r="133" spans="2:15" ht="12.75" customHeight="1" x14ac:dyDescent="0.2">
      <c r="B133" s="18">
        <v>244</v>
      </c>
      <c r="C133" s="120">
        <f>VLOOKUP($B133,Aop!$A$2:$L$403,5,1)</f>
        <v>0</v>
      </c>
      <c r="D133" s="428" t="str">
        <f>VLOOKUP($B133,Aop!$A$2:$L$403,6,1)</f>
        <v>Prosječan broj zaposlenih po osnovu stanja na kraju mjeseca</v>
      </c>
      <c r="E133" s="428"/>
      <c r="F133" s="428"/>
      <c r="G133" s="428"/>
      <c r="H133" s="428"/>
      <c r="I133" s="121">
        <f>VLOOKUP($B133,Aop!$A$2:$L$403,4,1)</f>
        <v>308</v>
      </c>
      <c r="J133" s="338">
        <v>23.67</v>
      </c>
      <c r="K133" s="339">
        <v>25.17</v>
      </c>
      <c r="O133" s="95"/>
    </row>
    <row r="134" spans="2:15" ht="12.75" customHeight="1" x14ac:dyDescent="0.2">
      <c r="B134" s="18"/>
      <c r="C134" s="54"/>
      <c r="D134" s="60"/>
      <c r="E134" s="60"/>
      <c r="F134" s="60"/>
      <c r="G134" s="60"/>
      <c r="H134" s="60"/>
      <c r="I134" s="62"/>
      <c r="J134" s="54"/>
      <c r="K134" s="54"/>
    </row>
    <row r="135" spans="2:15" ht="12.75" customHeight="1" x14ac:dyDescent="0.2">
      <c r="B135" s="18"/>
      <c r="C135" s="60"/>
      <c r="E135" s="59"/>
      <c r="G135" s="9"/>
      <c r="H135" s="54" t="str">
        <f>Podnozje_U</f>
        <v>U</v>
      </c>
      <c r="I135" s="75" t="str">
        <f>Podatak_U</f>
        <v>DOBOJ</v>
      </c>
      <c r="J135" s="55"/>
      <c r="K135" s="55"/>
    </row>
    <row r="136" spans="2:15" ht="12.75" customHeight="1" x14ac:dyDescent="0.2">
      <c r="B136" s="18"/>
      <c r="C136" s="68"/>
      <c r="E136" s="60"/>
      <c r="F136" s="56" t="str">
        <f>Podnozje_MP</f>
        <v>(M.P.)</v>
      </c>
      <c r="H136" s="54" t="str">
        <f>Podnozje_Dana</f>
        <v>Dana,</v>
      </c>
      <c r="I136" s="76" t="str">
        <f>Podatak_Dana</f>
        <v>27.02.2015.</v>
      </c>
      <c r="J136" s="58"/>
      <c r="K136" s="58"/>
    </row>
    <row r="137" spans="2:15" ht="12.75" customHeight="1" x14ac:dyDescent="0.2">
      <c r="B137" s="18"/>
      <c r="C137" s="68"/>
      <c r="D137" s="69"/>
      <c r="E137" s="60"/>
      <c r="F137" s="56"/>
      <c r="G137" s="56"/>
      <c r="H137" s="54" t="str">
        <f>Podnozje_Lice_sa_licencom</f>
        <v>Lice sa licencom:</v>
      </c>
      <c r="I137" s="76" t="str">
        <f>Podatak_Lice_sa_licencom</f>
        <v>Edina Hadžikadunić</v>
      </c>
      <c r="J137" s="58"/>
      <c r="K137" s="58"/>
    </row>
    <row r="138" spans="2:15" ht="12.75" customHeight="1" x14ac:dyDescent="0.2">
      <c r="B138" s="18"/>
      <c r="D138" s="9"/>
      <c r="E138" s="60"/>
      <c r="G138" s="59"/>
      <c r="H138" s="54" t="str">
        <f>Podnozje_Direktor</f>
        <v>Direktor:</v>
      </c>
      <c r="I138" s="76" t="str">
        <f>Podatak_Direktor</f>
        <v>Peterne Marosy Katalin</v>
      </c>
      <c r="J138" s="55"/>
      <c r="K138" s="55"/>
    </row>
    <row r="139" spans="2:15" ht="12.75" customHeight="1" x14ac:dyDescent="0.2">
      <c r="B139" s="18"/>
      <c r="C139" s="70"/>
      <c r="D139" s="60"/>
      <c r="E139" s="60"/>
      <c r="F139" s="60"/>
      <c r="G139" s="60"/>
      <c r="H139" s="60"/>
      <c r="I139" s="9"/>
      <c r="J139" s="54"/>
      <c r="K139" s="54"/>
    </row>
    <row r="140" spans="2:15" hidden="1" x14ac:dyDescent="0.2">
      <c r="H140" s="71"/>
      <c r="I140" s="72"/>
    </row>
    <row r="141" spans="2:15" hidden="1" x14ac:dyDescent="0.2"/>
    <row r="142" spans="2:15" hidden="1" x14ac:dyDescent="0.2"/>
  </sheetData>
  <sheetProtection password="FE56" sheet="1" objects="1" scenarios="1"/>
  <mergeCells count="135"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0:H20"/>
    <mergeCell ref="D21:H21"/>
    <mergeCell ref="C16:C17"/>
    <mergeCell ref="C12:K12"/>
    <mergeCell ref="C13:K13"/>
    <mergeCell ref="C14:K14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52:H52"/>
    <mergeCell ref="D53:H53"/>
    <mergeCell ref="D54:H54"/>
    <mergeCell ref="D55:H55"/>
    <mergeCell ref="D56:H56"/>
    <mergeCell ref="D57:H57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67:H67"/>
    <mergeCell ref="D68:H68"/>
    <mergeCell ref="D69:H69"/>
    <mergeCell ref="D70:H70"/>
    <mergeCell ref="D71:H71"/>
    <mergeCell ref="D72:H72"/>
    <mergeCell ref="D73:H73"/>
    <mergeCell ref="D74:H74"/>
    <mergeCell ref="D75:H75"/>
    <mergeCell ref="D76:H76"/>
    <mergeCell ref="D77:H77"/>
    <mergeCell ref="D78:H78"/>
    <mergeCell ref="D91:H91"/>
    <mergeCell ref="D92:H92"/>
    <mergeCell ref="D93:H93"/>
    <mergeCell ref="D94:H94"/>
    <mergeCell ref="D95:H95"/>
    <mergeCell ref="D96:H96"/>
    <mergeCell ref="D79:H79"/>
    <mergeCell ref="D80:H80"/>
    <mergeCell ref="D81:H81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32:H132"/>
    <mergeCell ref="D123:H123"/>
    <mergeCell ref="D112:H112"/>
    <mergeCell ref="D113:H113"/>
    <mergeCell ref="D114:H114"/>
    <mergeCell ref="D115:H115"/>
    <mergeCell ref="D116:H116"/>
    <mergeCell ref="D117:H117"/>
    <mergeCell ref="D126:H126"/>
    <mergeCell ref="D127:H127"/>
    <mergeCell ref="D106:H106"/>
    <mergeCell ref="D107:H107"/>
    <mergeCell ref="D108:H108"/>
    <mergeCell ref="D109:H109"/>
    <mergeCell ref="D110:H110"/>
    <mergeCell ref="D111:H111"/>
    <mergeCell ref="D133:H133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0:H120"/>
    <mergeCell ref="D121:H121"/>
    <mergeCell ref="D122:H122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88:H88"/>
    <mergeCell ref="D89:H89"/>
    <mergeCell ref="D90:H90"/>
  </mergeCells>
  <phoneticPr fontId="0" type="noConversion"/>
  <dataValidations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27:K127 J118:K122 J113:K115 J103:K110 J93:K101 J91:K91 J79:K88 J68:K77 J66:K66 J59:K63 J52:K57 J50:K50 J43:K47 J39:K41 J36:K37 J26:K34 J19:K19 J22:K24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J25:K25 J35:K35 J38:K38 J42:K42 J48:K49 J51:K51 J58:K58 J64:K65 J67:K67 J78:K78 J89:K90 J92:K92 J102:K102 J111:K112 J116:K117 J123:K126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125" orientation="landscape" r:id="rId1"/>
  <headerFooter alignWithMargins="0">
    <oddFooter>&amp;R&amp;"Tahoma,Regular"Strana &amp;P od &amp;N</oddFooter>
  </headerFooter>
  <rowBreaks count="1" manualBreakCount="1">
    <brk id="77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10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topLeftCell="C1" zoomScaleNormal="100" zoomScaleSheetLayoutView="100" workbookViewId="0">
      <pane ySplit="4" topLeftCell="A14" activePane="bottomLeft" state="frozen"/>
      <selection activeCell="D54" sqref="D54:H54"/>
      <selection pane="bottomLeft" activeCell="D1" sqref="D1"/>
    </sheetView>
  </sheetViews>
  <sheetFormatPr defaultColWidth="0" defaultRowHeight="12.75" zeroHeight="1" x14ac:dyDescent="0.2"/>
  <cols>
    <col min="1" max="1" width="5.7109375" style="8" customWidth="1"/>
    <col min="2" max="2" width="14.28515625" style="8" hidden="1" customWidth="1"/>
    <col min="3" max="8" width="14.285156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1"/>
      <c r="D1" s="21"/>
      <c r="E1" s="21"/>
      <c r="F1" s="21"/>
      <c r="G1" s="21"/>
      <c r="H1" s="21"/>
      <c r="I1" s="21"/>
      <c r="J1" s="21"/>
      <c r="K1" s="21"/>
    </row>
    <row r="2" spans="2:11" ht="12.75" customHeight="1" x14ac:dyDescent="0.2">
      <c r="C2" s="21"/>
      <c r="D2" s="21"/>
      <c r="E2" s="21"/>
      <c r="F2" s="21"/>
      <c r="G2" s="21"/>
      <c r="H2" s="21"/>
      <c r="I2" s="21"/>
      <c r="J2" s="21"/>
      <c r="K2" s="21"/>
    </row>
    <row r="3" spans="2:11" ht="12.75" customHeight="1" x14ac:dyDescent="0.2">
      <c r="C3" s="21"/>
      <c r="D3" s="21"/>
      <c r="E3" s="21"/>
      <c r="F3" s="21"/>
      <c r="G3" s="21"/>
      <c r="H3" s="21"/>
      <c r="I3" s="21"/>
      <c r="J3" s="21"/>
      <c r="K3" s="21"/>
    </row>
    <row r="4" spans="2:11" ht="12.75" customHeight="1" x14ac:dyDescent="0.2">
      <c r="C4" s="282"/>
      <c r="D4" s="282"/>
      <c r="E4" s="282"/>
      <c r="F4" s="282"/>
      <c r="G4" s="282"/>
      <c r="H4" s="282"/>
      <c r="I4" s="282"/>
      <c r="J4" s="282"/>
      <c r="K4" s="282"/>
    </row>
    <row r="5" spans="2:11" ht="12.75" customHeight="1" x14ac:dyDescent="0.2">
      <c r="B5" s="18"/>
      <c r="C5" s="17" t="str">
        <f>Zaglavlje_MB</f>
        <v>Matični broj:</v>
      </c>
      <c r="D5" s="441" t="str">
        <f>Podatak_MB</f>
        <v>11029752</v>
      </c>
      <c r="E5" s="441"/>
      <c r="I5" s="18" t="str">
        <f>Zaglavlje_Ziro_racun</f>
        <v>Žiro računi:</v>
      </c>
      <c r="J5" s="437" t="str">
        <f>Podatak_Ziro_racun_1</f>
        <v>161-000-01178100-03</v>
      </c>
      <c r="K5" s="437"/>
    </row>
    <row r="6" spans="2:11" ht="12.75" customHeight="1" x14ac:dyDescent="0.2">
      <c r="B6" s="18"/>
      <c r="C6" s="17" t="str">
        <f>Zaglavlje_Sifra_djelatnosti</f>
        <v>Šifra djelatnosti:</v>
      </c>
      <c r="D6" s="441" t="str">
        <f>Podatak_Sifra_djelatnosti</f>
        <v>08.11</v>
      </c>
      <c r="E6" s="441"/>
      <c r="F6" s="9"/>
      <c r="J6" s="437" t="str">
        <f>Podatak_Ziro_racun_2</f>
        <v>562-005-80690000-55</v>
      </c>
      <c r="K6" s="437"/>
    </row>
    <row r="7" spans="2:11" ht="12.75" customHeight="1" x14ac:dyDescent="0.2">
      <c r="B7" s="18"/>
      <c r="C7" s="442" t="str">
        <f>Zaglavlje_Naziv_preduzeca</f>
        <v>Naziv privrednog društva, zadruge, drugog pravnog lica ili preduzetnika:</v>
      </c>
      <c r="D7" s="442"/>
      <c r="E7" s="442"/>
      <c r="F7" s="20"/>
      <c r="J7" s="437" t="str">
        <f>Podatak_Ziro_racun_3</f>
        <v/>
      </c>
      <c r="K7" s="437"/>
    </row>
    <row r="8" spans="2:11" ht="12.75" customHeight="1" x14ac:dyDescent="0.2">
      <c r="B8" s="18"/>
      <c r="C8" s="442"/>
      <c r="D8" s="442"/>
      <c r="E8" s="442"/>
      <c r="F8" s="20"/>
      <c r="J8" s="437" t="str">
        <f>Podatak_Ziro_racun_4</f>
        <v/>
      </c>
      <c r="K8" s="437"/>
    </row>
    <row r="9" spans="2:11" ht="12.75" customHeight="1" x14ac:dyDescent="0.2">
      <c r="B9" s="18"/>
      <c r="C9" s="444" t="str">
        <f>Podatak_Naziv_preduzeca</f>
        <v>RUDNIK KREČNJAKA CARMEUSE A.D. DOBOJ</v>
      </c>
      <c r="D9" s="444"/>
      <c r="E9" s="444"/>
      <c r="F9" s="444"/>
      <c r="J9" s="437" t="str">
        <f>Podatak_Ziro_racun_5</f>
        <v/>
      </c>
      <c r="K9" s="437"/>
    </row>
    <row r="10" spans="2:11" ht="12.75" customHeight="1" x14ac:dyDescent="0.2">
      <c r="B10" s="18"/>
      <c r="C10" s="17" t="str">
        <f>Zaglavlje_Sjediste</f>
        <v>Sjedište:</v>
      </c>
      <c r="D10" s="441" t="str">
        <f>Podatak_Sjediste</f>
        <v>Ševarlije 322</v>
      </c>
      <c r="E10" s="441"/>
      <c r="F10" s="17"/>
      <c r="J10" s="437" t="str">
        <f>Podatak_Ziro_racun_6</f>
        <v/>
      </c>
      <c r="K10" s="437"/>
    </row>
    <row r="11" spans="2:11" ht="12.75" customHeight="1" x14ac:dyDescent="0.2">
      <c r="B11" s="18"/>
      <c r="C11" s="17" t="str">
        <f>Zaglavlje_JIB</f>
        <v>JIB:</v>
      </c>
      <c r="D11" s="441" t="str">
        <f>Podatak_JIB</f>
        <v>4402748120004</v>
      </c>
      <c r="E11" s="441"/>
      <c r="F11" s="21"/>
      <c r="G11" s="21"/>
      <c r="H11" s="21"/>
      <c r="I11" s="21"/>
      <c r="J11"/>
      <c r="K11"/>
    </row>
    <row r="12" spans="2:11" ht="15.75" customHeight="1" x14ac:dyDescent="0.2">
      <c r="B12" s="18"/>
      <c r="C12" s="426" t="str">
        <f>Nazivi_bilansa_BUb</f>
        <v>Izvještaj</v>
      </c>
      <c r="D12" s="426"/>
      <c r="E12" s="426"/>
      <c r="F12" s="426"/>
      <c r="G12" s="426"/>
      <c r="H12" s="426"/>
      <c r="I12" s="426"/>
      <c r="J12" s="426"/>
      <c r="K12" s="426"/>
    </row>
    <row r="13" spans="2:11" ht="15" customHeight="1" x14ac:dyDescent="0.2">
      <c r="B13" s="18"/>
      <c r="C13" s="450" t="str">
        <f>Nazivi_bilansa_BUb1</f>
        <v>o ostalim dobicima i gubicima perioda</v>
      </c>
      <c r="D13" s="450"/>
      <c r="E13" s="450"/>
      <c r="F13" s="450"/>
      <c r="G13" s="450"/>
      <c r="H13" s="450"/>
      <c r="I13" s="450"/>
      <c r="J13" s="450"/>
      <c r="K13" s="450"/>
    </row>
    <row r="14" spans="2:11" ht="12.75" customHeight="1" x14ac:dyDescent="0.2">
      <c r="B14" s="18"/>
      <c r="C14" s="440" t="str">
        <f>Datumi_Datum_BU</f>
        <v>za period od 01.01. do 31.12.2014. godine</v>
      </c>
      <c r="D14" s="440"/>
      <c r="E14" s="440"/>
      <c r="F14" s="440"/>
      <c r="G14" s="440"/>
      <c r="H14" s="440"/>
      <c r="I14" s="440"/>
      <c r="J14" s="440"/>
      <c r="K14" s="440"/>
    </row>
    <row r="15" spans="2:11" ht="12.75" customHeight="1" x14ac:dyDescent="0.2">
      <c r="B15" s="18"/>
      <c r="C15" s="63"/>
      <c r="D15" s="63"/>
      <c r="E15" s="63"/>
      <c r="F15" s="63"/>
      <c r="G15" s="63"/>
      <c r="H15" s="63"/>
      <c r="I15" s="63"/>
      <c r="J15" s="63"/>
      <c r="K15" s="24" t="str">
        <f>Tabele_zaglavlje_Valuta</f>
        <v>- u konvertibilnim markama -</v>
      </c>
    </row>
    <row r="16" spans="2:11" ht="12.75" customHeight="1" x14ac:dyDescent="0.2">
      <c r="B16" s="18"/>
      <c r="C16" s="438" t="str">
        <f>Tabele_zaglavlje_Grupa_racuna</f>
        <v>Grupa računa, račun</v>
      </c>
      <c r="D16" s="431" t="str">
        <f>Tabele_zaglavlje_Pozicija</f>
        <v>Pozicija</v>
      </c>
      <c r="E16" s="431"/>
      <c r="F16" s="431"/>
      <c r="G16" s="431"/>
      <c r="H16" s="431"/>
      <c r="I16" s="429" t="str">
        <f>Tabele_zaglavlje_Oznaka_aop</f>
        <v>Oznaka za AOP</v>
      </c>
      <c r="J16" s="431" t="str">
        <f>Tabele_zaglavlje_Iznos</f>
        <v>Iznos</v>
      </c>
      <c r="K16" s="432"/>
    </row>
    <row r="17" spans="2:15" ht="25.5" customHeight="1" x14ac:dyDescent="0.2">
      <c r="B17" s="18"/>
      <c r="C17" s="439"/>
      <c r="D17" s="443"/>
      <c r="E17" s="443"/>
      <c r="F17" s="443"/>
      <c r="G17" s="443"/>
      <c r="H17" s="443"/>
      <c r="I17" s="430"/>
      <c r="J17" s="65" t="str">
        <f>Tabele_zaglavlje_Tekuca_godina</f>
        <v>Tekuća godina</v>
      </c>
      <c r="K17" s="66" t="str">
        <f>Tabele_zaglavlje_Prethodna_godina</f>
        <v>Prethodna godina</v>
      </c>
      <c r="O17" s="278" t="s">
        <v>1862</v>
      </c>
    </row>
    <row r="18" spans="2:15" ht="12.75" customHeight="1" x14ac:dyDescent="0.2">
      <c r="B18" s="15" t="s">
        <v>810</v>
      </c>
      <c r="C18" s="122">
        <v>1</v>
      </c>
      <c r="D18" s="445">
        <v>2</v>
      </c>
      <c r="E18" s="445"/>
      <c r="F18" s="445"/>
      <c r="G18" s="445"/>
      <c r="H18" s="445"/>
      <c r="I18" s="123">
        <v>3</v>
      </c>
      <c r="J18" s="123">
        <v>4</v>
      </c>
      <c r="K18" s="124">
        <v>5</v>
      </c>
    </row>
    <row r="19" spans="2:15" ht="12.75" customHeight="1" x14ac:dyDescent="0.2">
      <c r="B19" s="18">
        <v>245</v>
      </c>
      <c r="C19" s="129">
        <f>VLOOKUP($B19,Aop!$A$2:$L$403,5,1)</f>
        <v>0</v>
      </c>
      <c r="D19" s="447" t="str">
        <f>VLOOKUP($B19,Aop!$A$2:$L$403,6,1)</f>
        <v>A. NETO DOBITAK ILI GUBITAK PERIODA (298 ili 299)</v>
      </c>
      <c r="E19" s="447"/>
      <c r="F19" s="447"/>
      <c r="G19" s="447"/>
      <c r="H19" s="447"/>
      <c r="I19" s="130">
        <f>VLOOKUP($B19,Aop!$A$2:$L$403,4,1)</f>
        <v>400</v>
      </c>
      <c r="J19" s="131">
        <f>'02a'!J123-'02a'!J124</f>
        <v>-14580</v>
      </c>
      <c r="K19" s="132">
        <f>'02a'!K123-'02a'!K124</f>
        <v>-132834</v>
      </c>
      <c r="O19" s="30"/>
    </row>
    <row r="20" spans="2:15" ht="12.75" customHeight="1" x14ac:dyDescent="0.2">
      <c r="B20" s="18">
        <v>246</v>
      </c>
      <c r="C20" s="117">
        <f>VLOOKUP($B20,Aop!$A$2:$L$403,5,1)</f>
        <v>0</v>
      </c>
      <c r="D20" s="448" t="str">
        <f>VLOOKUP($B20,Aop!$A$2:$L$403,6,1)</f>
        <v xml:space="preserve">  I  DOBICI UTVRĐENI DIREKTNO U KAPITALU (402 do 407)</v>
      </c>
      <c r="E20" s="448"/>
      <c r="F20" s="448"/>
      <c r="G20" s="448"/>
      <c r="H20" s="448"/>
      <c r="I20" s="110">
        <f>VLOOKUP($B20,Aop!$A$2:$L$403,4,1)</f>
        <v>401</v>
      </c>
      <c r="J20" s="133">
        <f>SUM(J21:J26)</f>
        <v>0</v>
      </c>
      <c r="K20" s="134">
        <f>SUM(K21:K26)</f>
        <v>0</v>
      </c>
      <c r="O20" s="30"/>
    </row>
    <row r="21" spans="2:15" ht="25.5" customHeight="1" x14ac:dyDescent="0.2">
      <c r="B21" s="18">
        <v>247</v>
      </c>
      <c r="C21" s="105">
        <f>VLOOKUP($B21,Aop!$A$2:$L$403,5,1)</f>
        <v>0</v>
      </c>
      <c r="D21" s="433" t="str">
        <f>VLOOKUP($B21,Aop!$A$2:$L$403,6,1)</f>
        <v xml:space="preserve">    1. Dobici po osnovu smanjenja revalorizacionih rezervi na stalnim sredstvima, osim HOV raspoloživih za prodaju</v>
      </c>
      <c r="E21" s="433"/>
      <c r="F21" s="433"/>
      <c r="G21" s="433"/>
      <c r="H21" s="433"/>
      <c r="I21" s="106">
        <f>VLOOKUP($B21,Aop!$A$2:$L$403,4,1)</f>
        <v>402</v>
      </c>
      <c r="J21" s="344"/>
      <c r="K21" s="345"/>
      <c r="O21" s="277" t="s">
        <v>1484</v>
      </c>
    </row>
    <row r="22" spans="2:15" ht="25.5" x14ac:dyDescent="0.2">
      <c r="B22" s="18">
        <v>248</v>
      </c>
      <c r="C22" s="117">
        <f>VLOOKUP($B22,Aop!$A$2:$L$403,5,1)</f>
        <v>0</v>
      </c>
      <c r="D22" s="449" t="str">
        <f>VLOOKUP($B22,Aop!$A$2:$L$403,6,1)</f>
        <v xml:space="preserve">    2. Dobici po osnovu promjene fer vrijednosti HOV raspoloživih za prodaju</v>
      </c>
      <c r="E22" s="449"/>
      <c r="F22" s="449"/>
      <c r="G22" s="449"/>
      <c r="H22" s="449"/>
      <c r="I22" s="110">
        <f>VLOOKUP($B22,Aop!$A$2:$L$403,4,1)</f>
        <v>403</v>
      </c>
      <c r="J22" s="346"/>
      <c r="K22" s="347"/>
      <c r="O22" s="277" t="s">
        <v>1484</v>
      </c>
    </row>
    <row r="23" spans="2:15" ht="25.5" x14ac:dyDescent="0.2">
      <c r="B23" s="18">
        <v>249</v>
      </c>
      <c r="C23" s="105">
        <f>VLOOKUP($B23,Aop!$A$2:$L$403,5,1)</f>
        <v>0</v>
      </c>
      <c r="D23" s="433" t="str">
        <f>VLOOKUP($B23,Aop!$A$2:$L$403,6,1)</f>
        <v xml:space="preserve">    3. Dobici po osnovu prevođenja finansijskih izvještaja inostranog poslovanja</v>
      </c>
      <c r="E23" s="433"/>
      <c r="F23" s="433"/>
      <c r="G23" s="433"/>
      <c r="H23" s="433"/>
      <c r="I23" s="106">
        <f>VLOOKUP($B23,Aop!$A$2:$L$403,4,1)</f>
        <v>404</v>
      </c>
      <c r="J23" s="344"/>
      <c r="K23" s="345"/>
      <c r="O23" s="277" t="s">
        <v>1484</v>
      </c>
    </row>
    <row r="24" spans="2:15" ht="12.75" customHeight="1" x14ac:dyDescent="0.2">
      <c r="B24" s="18">
        <v>250</v>
      </c>
      <c r="C24" s="117">
        <f>VLOOKUP($B24,Aop!$A$2:$L$403,5,1)</f>
        <v>0</v>
      </c>
      <c r="D24" s="449" t="str">
        <f>VLOOKUP($B24,Aop!$A$2:$L$403,6,1)</f>
        <v xml:space="preserve">    4. Aktuarski dobici od planova definisanih primanja</v>
      </c>
      <c r="E24" s="449"/>
      <c r="F24" s="449"/>
      <c r="G24" s="449"/>
      <c r="H24" s="449"/>
      <c r="I24" s="110">
        <f>VLOOKUP($B24,Aop!$A$2:$L$403,4,1)</f>
        <v>405</v>
      </c>
      <c r="J24" s="346"/>
      <c r="K24" s="347"/>
      <c r="O24" s="30"/>
    </row>
    <row r="25" spans="2:15" ht="12.75" customHeight="1" x14ac:dyDescent="0.2">
      <c r="B25" s="18">
        <v>251</v>
      </c>
      <c r="C25" s="105">
        <f>VLOOKUP($B25,Aop!$A$2:$L$403,5,1)</f>
        <v>0</v>
      </c>
      <c r="D25" s="433" t="str">
        <f>VLOOKUP($B25,Aop!$A$2:$L$403,6,1)</f>
        <v xml:space="preserve">    5. Efektivni dio dobitaka po osnovu zaštite od rizika gotovinskih tokova</v>
      </c>
      <c r="E25" s="433"/>
      <c r="F25" s="433"/>
      <c r="G25" s="433"/>
      <c r="H25" s="433"/>
      <c r="I25" s="106">
        <f>VLOOKUP($B25,Aop!$A$2:$L$403,4,1)</f>
        <v>406</v>
      </c>
      <c r="J25" s="344"/>
      <c r="K25" s="345"/>
      <c r="O25" s="30"/>
    </row>
    <row r="26" spans="2:15" ht="12.75" customHeight="1" x14ac:dyDescent="0.2">
      <c r="B26" s="18">
        <v>252</v>
      </c>
      <c r="C26" s="117">
        <f>VLOOKUP($B26,Aop!$A$2:$L$403,5,1)</f>
        <v>0</v>
      </c>
      <c r="D26" s="449" t="str">
        <f>VLOOKUP($B26,Aop!$A$2:$L$403,6,1)</f>
        <v xml:space="preserve">    6. Ostali dobici utvrđeni direktno u kapitalu</v>
      </c>
      <c r="E26" s="449"/>
      <c r="F26" s="449"/>
      <c r="G26" s="449"/>
      <c r="H26" s="449"/>
      <c r="I26" s="110">
        <f>VLOOKUP($B26,Aop!$A$2:$L$403,4,1)</f>
        <v>407</v>
      </c>
      <c r="J26" s="346"/>
      <c r="K26" s="347"/>
      <c r="O26" s="30"/>
    </row>
    <row r="27" spans="2:15" ht="12.75" customHeight="1" x14ac:dyDescent="0.2">
      <c r="B27" s="18">
        <v>253</v>
      </c>
      <c r="C27" s="105">
        <f>VLOOKUP($B27,Aop!$A$2:$L$403,5,1)</f>
        <v>0</v>
      </c>
      <c r="D27" s="436" t="str">
        <f>VLOOKUP($B27,Aop!$A$2:$L$403,6,1)</f>
        <v xml:space="preserve">  II  GUBICI UTVRĐENI DIREKTNO U KAPITALU (409 do 413)</v>
      </c>
      <c r="E27" s="436"/>
      <c r="F27" s="436"/>
      <c r="G27" s="436"/>
      <c r="H27" s="436"/>
      <c r="I27" s="106">
        <f>VLOOKUP($B27,Aop!$A$2:$L$403,4,1)</f>
        <v>408</v>
      </c>
      <c r="J27" s="135">
        <f>SUM(J28:J32)</f>
        <v>0</v>
      </c>
      <c r="K27" s="136">
        <f>SUM(K28:K32)</f>
        <v>0</v>
      </c>
      <c r="O27" s="30"/>
    </row>
    <row r="28" spans="2:15" ht="25.5" x14ac:dyDescent="0.2">
      <c r="B28" s="18">
        <v>254</v>
      </c>
      <c r="C28" s="117">
        <f>VLOOKUP($B28,Aop!$A$2:$L$403,5,1)</f>
        <v>0</v>
      </c>
      <c r="D28" s="449" t="str">
        <f>VLOOKUP($B28,Aop!$A$2:$L$403,6,1)</f>
        <v xml:space="preserve">    1. Gubici po osnovu promjene fer vrijednosti HOV raspoloživih za prodaju</v>
      </c>
      <c r="E28" s="449"/>
      <c r="F28" s="449"/>
      <c r="G28" s="449"/>
      <c r="H28" s="449"/>
      <c r="I28" s="110">
        <f>VLOOKUP($B28,Aop!$A$2:$L$403,4,1)</f>
        <v>409</v>
      </c>
      <c r="J28" s="346"/>
      <c r="K28" s="347"/>
      <c r="O28" s="277" t="s">
        <v>1484</v>
      </c>
    </row>
    <row r="29" spans="2:15" ht="25.5" x14ac:dyDescent="0.2">
      <c r="B29" s="18">
        <v>255</v>
      </c>
      <c r="C29" s="105">
        <f>VLOOKUP($B29,Aop!$A$2:$L$403,5,1)</f>
        <v>0</v>
      </c>
      <c r="D29" s="433" t="str">
        <f>VLOOKUP($B29,Aop!$A$2:$L$403,6,1)</f>
        <v xml:space="preserve">    2. Gubici po osnovu prevođenja finansijskih izvještaja inostranog poslovanja</v>
      </c>
      <c r="E29" s="433"/>
      <c r="F29" s="433"/>
      <c r="G29" s="433"/>
      <c r="H29" s="433"/>
      <c r="I29" s="106">
        <f>VLOOKUP($B29,Aop!$A$2:$L$403,4,1)</f>
        <v>410</v>
      </c>
      <c r="J29" s="344"/>
      <c r="K29" s="345"/>
      <c r="O29" s="277" t="s">
        <v>1484</v>
      </c>
    </row>
    <row r="30" spans="2:15" ht="12.75" customHeight="1" x14ac:dyDescent="0.2">
      <c r="B30" s="18">
        <v>256</v>
      </c>
      <c r="C30" s="117">
        <f>VLOOKUP($B30,Aop!$A$2:$L$403,5,1)</f>
        <v>0</v>
      </c>
      <c r="D30" s="449" t="str">
        <f>VLOOKUP($B30,Aop!$A$2:$L$403,6,1)</f>
        <v xml:space="preserve">    3. Aktuarski gubici od planova definisanih primanja</v>
      </c>
      <c r="E30" s="449"/>
      <c r="F30" s="449"/>
      <c r="G30" s="449"/>
      <c r="H30" s="449"/>
      <c r="I30" s="110">
        <f>VLOOKUP($B30,Aop!$A$2:$L$403,4,1)</f>
        <v>411</v>
      </c>
      <c r="J30" s="346"/>
      <c r="K30" s="347"/>
      <c r="O30" s="30"/>
    </row>
    <row r="31" spans="2:15" ht="12.75" customHeight="1" x14ac:dyDescent="0.2">
      <c r="B31" s="18">
        <v>257</v>
      </c>
      <c r="C31" s="105">
        <f>VLOOKUP($B31,Aop!$A$2:$L$403,5,1)</f>
        <v>0</v>
      </c>
      <c r="D31" s="433" t="str">
        <f>VLOOKUP($B31,Aop!$A$2:$L$403,6,1)</f>
        <v xml:space="preserve">    4. Efektivni dio gubitaka po osnovu zaštite od rizika gotovinskih tokova</v>
      </c>
      <c r="E31" s="433"/>
      <c r="F31" s="433"/>
      <c r="G31" s="433"/>
      <c r="H31" s="433"/>
      <c r="I31" s="106">
        <f>VLOOKUP($B31,Aop!$A$2:$L$403,4,1)</f>
        <v>412</v>
      </c>
      <c r="J31" s="344"/>
      <c r="K31" s="345"/>
      <c r="O31" s="30"/>
    </row>
    <row r="32" spans="2:15" ht="12.75" customHeight="1" x14ac:dyDescent="0.2">
      <c r="B32" s="18">
        <v>258</v>
      </c>
      <c r="C32" s="117">
        <f>VLOOKUP($B32,Aop!$A$2:$L$403,5,1)</f>
        <v>0</v>
      </c>
      <c r="D32" s="449" t="str">
        <f>VLOOKUP($B32,Aop!$A$2:$L$403,6,1)</f>
        <v xml:space="preserve">    5. Ostali gubici utvrđeni direktno u kapitalu</v>
      </c>
      <c r="E32" s="449"/>
      <c r="F32" s="449"/>
      <c r="G32" s="449"/>
      <c r="H32" s="449"/>
      <c r="I32" s="110">
        <f>VLOOKUP($B32,Aop!$A$2:$L$403,4,1)</f>
        <v>413</v>
      </c>
      <c r="J32" s="346"/>
      <c r="K32" s="347"/>
      <c r="O32" s="30"/>
    </row>
    <row r="33" spans="2:15" ht="12.75" customHeight="1" x14ac:dyDescent="0.2">
      <c r="B33" s="18">
        <v>259</v>
      </c>
      <c r="C33" s="105">
        <f>VLOOKUP($B33,Aop!$A$2:$L$403,5,1)</f>
        <v>0</v>
      </c>
      <c r="D33" s="436" t="str">
        <f>VLOOKUP($B33,Aop!$A$2:$L$403,6,1)</f>
        <v>B. OSTALI DOBICI ILI GUBICI U PERIODU (401-408) ili (408-401)</v>
      </c>
      <c r="E33" s="436"/>
      <c r="F33" s="436"/>
      <c r="G33" s="436"/>
      <c r="H33" s="436"/>
      <c r="I33" s="106">
        <f>VLOOKUP($B33,Aop!$A$2:$L$403,4,1)</f>
        <v>414</v>
      </c>
      <c r="J33" s="135">
        <f>J20-J27</f>
        <v>0</v>
      </c>
      <c r="K33" s="136">
        <f>K20-K27</f>
        <v>0</v>
      </c>
      <c r="O33" s="30"/>
    </row>
    <row r="34" spans="2:15" ht="12.75" customHeight="1" x14ac:dyDescent="0.2">
      <c r="B34" s="18">
        <v>260</v>
      </c>
      <c r="C34" s="117">
        <f>VLOOKUP($B34,Aop!$A$2:$L$403,5,1)</f>
        <v>0</v>
      </c>
      <c r="D34" s="448" t="str">
        <f>VLOOKUP($B34,Aop!$A$2:$L$403,6,1)</f>
        <v>V. POREZ NA DOBITAK KOJI SE ODNOSI NA OSTALE DOBITKE I GUBITKE</v>
      </c>
      <c r="E34" s="448"/>
      <c r="F34" s="448"/>
      <c r="G34" s="448"/>
      <c r="H34" s="448"/>
      <c r="I34" s="110">
        <f>VLOOKUP($B34,Aop!$A$2:$L$403,4,1)</f>
        <v>415</v>
      </c>
      <c r="J34" s="348"/>
      <c r="K34" s="349"/>
      <c r="O34" s="30"/>
    </row>
    <row r="35" spans="2:15" ht="25.5" x14ac:dyDescent="0.2">
      <c r="B35" s="18">
        <v>261</v>
      </c>
      <c r="C35" s="105">
        <f>VLOOKUP($B35,Aop!$A$2:$L$403,5,1)</f>
        <v>0</v>
      </c>
      <c r="D35" s="436" t="str">
        <f>VLOOKUP($B35,Aop!$A$2:$L$403,6,1)</f>
        <v>G. NETO REZULTAT PO OSNOVU OSTALIH DOBITAKA I GUBITAKA U PERIODU (414±415)</v>
      </c>
      <c r="E35" s="436"/>
      <c r="F35" s="436"/>
      <c r="G35" s="436"/>
      <c r="H35" s="436"/>
      <c r="I35" s="106">
        <f>VLOOKUP($B35,Aop!$A$2:$L$403,4,1)</f>
        <v>416</v>
      </c>
      <c r="J35" s="135">
        <f>J33-J34</f>
        <v>0</v>
      </c>
      <c r="K35" s="136">
        <f>K33-K34</f>
        <v>0</v>
      </c>
      <c r="O35" s="277" t="s">
        <v>1484</v>
      </c>
    </row>
    <row r="36" spans="2:15" ht="12.75" customHeight="1" x14ac:dyDescent="0.2">
      <c r="B36" s="18">
        <v>262</v>
      </c>
      <c r="C36" s="117">
        <f>VLOOKUP($B36,Aop!$A$2:$L$403,5,1)</f>
        <v>0</v>
      </c>
      <c r="D36" s="448" t="str">
        <f>VLOOKUP($B36,Aop!$A$2:$L$403,6,1)</f>
        <v>D. UKUPAN NETO REZULTAT U OBRAČUNSKOM PERIODU</v>
      </c>
      <c r="E36" s="448"/>
      <c r="F36" s="448"/>
      <c r="G36" s="448"/>
      <c r="H36" s="448"/>
      <c r="I36" s="110">
        <f>VLOOKUP($B36,Aop!$A$2:$L$403,4,1)</f>
        <v>0</v>
      </c>
      <c r="J36" s="133"/>
      <c r="K36" s="134"/>
      <c r="O36" s="30"/>
    </row>
    <row r="37" spans="2:15" ht="12.75" customHeight="1" x14ac:dyDescent="0.2">
      <c r="B37" s="18">
        <v>263</v>
      </c>
      <c r="C37" s="105">
        <f>VLOOKUP($B37,Aop!$A$2:$L$403,5,1)</f>
        <v>0</v>
      </c>
      <c r="D37" s="436" t="str">
        <f>VLOOKUP($B37,Aop!$A$2:$L$403,6,1)</f>
        <v xml:space="preserve">  I  UKUPAN NETO DOBITAK U OBRAČUNSKOM PERIODU (400±416)</v>
      </c>
      <c r="E37" s="436"/>
      <c r="F37" s="436"/>
      <c r="G37" s="436"/>
      <c r="H37" s="436"/>
      <c r="I37" s="106">
        <f>VLOOKUP($B37,Aop!$A$2:$L$403,4,1)</f>
        <v>417</v>
      </c>
      <c r="J37" s="135">
        <f>IF(J19+J35&lt;0,0,J19+J35)</f>
        <v>0</v>
      </c>
      <c r="K37" s="136">
        <f>IF(K19+K35&lt;0,0,K19+K35)</f>
        <v>0</v>
      </c>
      <c r="O37" s="30"/>
    </row>
    <row r="38" spans="2:15" ht="12.75" customHeight="1" x14ac:dyDescent="0.2">
      <c r="B38" s="18">
        <v>264</v>
      </c>
      <c r="C38" s="120">
        <f>VLOOKUP($B38,Aop!$A$2:$L$403,5,1)</f>
        <v>0</v>
      </c>
      <c r="D38" s="451" t="str">
        <f>VLOOKUP($B38,Aop!$A$2:$L$403,6,1)</f>
        <v xml:space="preserve">  II  UKUPAN NETO GUBITAK U OBRAČUNSKOM PERIODU (400±416)</v>
      </c>
      <c r="E38" s="451"/>
      <c r="F38" s="451"/>
      <c r="G38" s="451"/>
      <c r="H38" s="451"/>
      <c r="I38" s="121">
        <f>VLOOKUP($B38,Aop!$A$2:$L$403,4,1)</f>
        <v>418</v>
      </c>
      <c r="J38" s="137">
        <f>IF(-J19-J35&lt;0,0,-J19-J35)</f>
        <v>14580</v>
      </c>
      <c r="K38" s="138">
        <f>IF(-K19-K35&lt;0,0,-K19-K35)</f>
        <v>132834</v>
      </c>
      <c r="O38" s="30"/>
    </row>
    <row r="39" spans="2:15" ht="12.75" customHeight="1" x14ac:dyDescent="0.2"/>
    <row r="40" spans="2:15" ht="12.75" customHeight="1" x14ac:dyDescent="0.2">
      <c r="G40" s="9"/>
      <c r="H40" s="54" t="str">
        <f>Podnozje_U</f>
        <v>U</v>
      </c>
      <c r="I40" s="75" t="str">
        <f>Podatak_U</f>
        <v>DOBOJ</v>
      </c>
      <c r="J40" s="55"/>
      <c r="K40" s="55"/>
    </row>
    <row r="41" spans="2:15" ht="12.75" customHeight="1" x14ac:dyDescent="0.2">
      <c r="F41" s="56" t="str">
        <f>Podnozje_MP</f>
        <v>(M.P.)</v>
      </c>
      <c r="H41" s="54" t="str">
        <f>Podnozje_Dana</f>
        <v>Dana,</v>
      </c>
      <c r="I41" s="76" t="str">
        <f>Podatak_Dana</f>
        <v>27.02.2015.</v>
      </c>
      <c r="J41" s="58"/>
      <c r="K41" s="58"/>
    </row>
    <row r="42" spans="2:15" ht="12.75" customHeight="1" x14ac:dyDescent="0.2">
      <c r="C42" s="68"/>
      <c r="F42" s="56"/>
      <c r="G42" s="56"/>
      <c r="H42" s="54" t="str">
        <f>Podnozje_Lice_sa_licencom</f>
        <v>Lice sa licencom:</v>
      </c>
      <c r="I42" s="76" t="str">
        <f>Podatak_Lice_sa_licencom</f>
        <v>Edina Hadžikadunić</v>
      </c>
      <c r="J42" s="58"/>
      <c r="K42" s="58"/>
    </row>
    <row r="43" spans="2:15" ht="12.75" customHeight="1" x14ac:dyDescent="0.2">
      <c r="C43" s="68"/>
      <c r="G43" s="59"/>
      <c r="H43" s="54" t="str">
        <f>Podnozje_Direktor</f>
        <v>Direktor:</v>
      </c>
      <c r="I43" s="76" t="str">
        <f>Podatak_Direktor</f>
        <v>Peterne Marosy Katalin</v>
      </c>
      <c r="J43" s="55"/>
      <c r="K43" s="55"/>
    </row>
    <row r="44" spans="2:15" ht="12.75" customHeight="1" x14ac:dyDescent="0.2">
      <c r="F44" s="60"/>
      <c r="G44" s="60"/>
      <c r="H44" s="60"/>
      <c r="I44" s="9"/>
      <c r="J44" s="54"/>
      <c r="K44" s="54"/>
    </row>
    <row r="45" spans="2:15" ht="12.75" customHeight="1" x14ac:dyDescent="0.2"/>
  </sheetData>
  <sheetProtection password="FE56" sheet="1" objects="1" scenarios="1"/>
  <mergeCells count="40">
    <mergeCell ref="D38:H38"/>
    <mergeCell ref="D30:H30"/>
    <mergeCell ref="D31:H31"/>
    <mergeCell ref="D32:H32"/>
    <mergeCell ref="D33:H33"/>
    <mergeCell ref="D35:H35"/>
    <mergeCell ref="D36:H36"/>
    <mergeCell ref="D37:H37"/>
    <mergeCell ref="D34:H34"/>
    <mergeCell ref="D22:H22"/>
    <mergeCell ref="D23:H23"/>
    <mergeCell ref="D24:H24"/>
    <mergeCell ref="D25:H25"/>
    <mergeCell ref="D26:H26"/>
    <mergeCell ref="D27:H27"/>
    <mergeCell ref="D28:H28"/>
    <mergeCell ref="D29:H29"/>
    <mergeCell ref="J9:K9"/>
    <mergeCell ref="D21:H21"/>
    <mergeCell ref="C12:K12"/>
    <mergeCell ref="C13:K13"/>
    <mergeCell ref="C14:K14"/>
    <mergeCell ref="C16:C17"/>
    <mergeCell ref="D16:H17"/>
    <mergeCell ref="I16:I17"/>
    <mergeCell ref="J16:K16"/>
    <mergeCell ref="J10:K10"/>
    <mergeCell ref="D11:E11"/>
    <mergeCell ref="D10:E10"/>
    <mergeCell ref="C9:F9"/>
    <mergeCell ref="D18:H18"/>
    <mergeCell ref="D19:H19"/>
    <mergeCell ref="D20:H20"/>
    <mergeCell ref="D5:E5"/>
    <mergeCell ref="J5:K5"/>
    <mergeCell ref="D6:E6"/>
    <mergeCell ref="J6:K6"/>
    <mergeCell ref="C7:E8"/>
    <mergeCell ref="J7:K7"/>
    <mergeCell ref="J8:K8"/>
  </mergeCells>
  <dataValidations count="2">
    <dataValidation type="whole" operator="greaterThanOrEqual" allowBlank="1" showInputMessage="1" showErrorMessage="1" errorTitle="Greška" error="Unose se vrijednosti u konvertibilnim markama, bez decimalnih mjesta. Nije dozvoljen unos negativnih brojeva." sqref="J34:K34 J36:K36 J28:K32 J21:K26">
      <formula1>0</formula1>
    </dataValidation>
    <dataValidation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9:K20 J27:K27 J33:K33 J35:K35 J37:K38"/>
  </dataValidations>
  <pageMargins left="0.39370078740157483" right="0.39370078740157483" top="0.39370078740157483" bottom="0.39370078740157483" header="0.31496062992125984" footer="0.23622047244094491"/>
  <pageSetup paperSize="9" scale="125" orientation="landscape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10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topLeftCell="C1" zoomScaleNormal="100" zoomScaleSheetLayoutView="100" workbookViewId="0">
      <pane ySplit="4" topLeftCell="A32" activePane="bottomLeft" state="frozen"/>
      <selection activeCell="D54" sqref="D54:H54"/>
      <selection pane="bottomLeft" activeCell="D40" sqref="D40:H40"/>
    </sheetView>
  </sheetViews>
  <sheetFormatPr defaultColWidth="0" defaultRowHeight="12.75" zeroHeight="1" x14ac:dyDescent="0.2"/>
  <cols>
    <col min="1" max="1" width="5.7109375" style="8" customWidth="1"/>
    <col min="2" max="2" width="10" style="8" hidden="1" customWidth="1"/>
    <col min="3" max="8" width="14.285156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1"/>
      <c r="D1" s="21"/>
      <c r="E1" s="21"/>
      <c r="F1" s="21"/>
      <c r="G1" s="21"/>
      <c r="H1" s="21"/>
      <c r="I1" s="21"/>
      <c r="J1" s="21"/>
      <c r="K1" s="21"/>
    </row>
    <row r="2" spans="3:13" x14ac:dyDescent="0.2">
      <c r="C2" s="21"/>
      <c r="D2" s="21"/>
      <c r="E2" s="21"/>
      <c r="F2" s="21"/>
      <c r="G2" s="21"/>
      <c r="H2" s="21"/>
      <c r="I2" s="21"/>
      <c r="J2" s="21"/>
      <c r="K2" s="21"/>
    </row>
    <row r="3" spans="3:13" x14ac:dyDescent="0.2">
      <c r="C3" s="21"/>
      <c r="D3" s="21"/>
      <c r="E3" s="21"/>
      <c r="F3" s="21"/>
      <c r="G3" s="21"/>
      <c r="H3" s="21"/>
      <c r="I3" s="21"/>
      <c r="J3" s="21"/>
      <c r="K3" s="21"/>
    </row>
    <row r="4" spans="3:13" x14ac:dyDescent="0.2">
      <c r="C4" s="21"/>
      <c r="D4" s="21"/>
      <c r="E4" s="21"/>
      <c r="F4" s="21"/>
      <c r="G4" s="21"/>
      <c r="H4" s="21"/>
      <c r="I4" s="21"/>
      <c r="J4" s="21"/>
      <c r="K4" s="21"/>
    </row>
    <row r="5" spans="3:13" x14ac:dyDescent="0.2">
      <c r="C5" s="17" t="str">
        <f>Zaglavlje_MB</f>
        <v>Matični broj:</v>
      </c>
      <c r="D5" s="441" t="str">
        <f>Podatak_MB</f>
        <v>11029752</v>
      </c>
      <c r="E5" s="441"/>
      <c r="I5" s="18" t="str">
        <f>Zaglavlje_Ziro_racun</f>
        <v>Žiro računi:</v>
      </c>
      <c r="J5" s="437" t="str">
        <f>Podatak_Ziro_racun_1</f>
        <v>161-000-01178100-03</v>
      </c>
      <c r="K5" s="437"/>
    </row>
    <row r="6" spans="3:13" x14ac:dyDescent="0.2">
      <c r="C6" s="17" t="str">
        <f>Zaglavlje_Sifra_djelatnosti</f>
        <v>Šifra djelatnosti:</v>
      </c>
      <c r="D6" s="441" t="str">
        <f>Podatak_Sifra_djelatnosti</f>
        <v>08.11</v>
      </c>
      <c r="E6" s="441"/>
      <c r="F6" s="9"/>
      <c r="J6" s="437" t="str">
        <f>Podatak_Ziro_racun_2</f>
        <v>562-005-80690000-55</v>
      </c>
      <c r="K6" s="437"/>
    </row>
    <row r="7" spans="3:13" x14ac:dyDescent="0.2">
      <c r="C7" s="442" t="str">
        <f>Zaglavlje_Naziv_preduzeca</f>
        <v>Naziv privrednog društva, zadruge, drugog pravnog lica ili preduzetnika:</v>
      </c>
      <c r="D7" s="442"/>
      <c r="E7" s="442"/>
      <c r="F7" s="20"/>
      <c r="J7" s="437" t="str">
        <f>Podatak_Ziro_racun_3</f>
        <v/>
      </c>
      <c r="K7" s="437"/>
    </row>
    <row r="8" spans="3:13" x14ac:dyDescent="0.2">
      <c r="C8" s="442"/>
      <c r="D8" s="442"/>
      <c r="E8" s="442"/>
      <c r="F8" s="20"/>
      <c r="J8" s="437" t="str">
        <f>Podatak_Ziro_racun_4</f>
        <v/>
      </c>
      <c r="K8" s="437"/>
    </row>
    <row r="9" spans="3:13" x14ac:dyDescent="0.2">
      <c r="C9" s="444" t="str">
        <f>Podatak_Naziv_preduzeca</f>
        <v>RUDNIK KREČNJAKA CARMEUSE A.D. DOBOJ</v>
      </c>
      <c r="D9" s="444"/>
      <c r="E9" s="444"/>
      <c r="F9" s="444"/>
      <c r="J9" s="437" t="str">
        <f>Podatak_Ziro_racun_5</f>
        <v/>
      </c>
      <c r="K9" s="437"/>
    </row>
    <row r="10" spans="3:13" x14ac:dyDescent="0.2">
      <c r="C10" s="17" t="str">
        <f>Zaglavlje_Sjediste</f>
        <v>Sjedište:</v>
      </c>
      <c r="D10" s="441" t="str">
        <f>Podatak_Sjediste</f>
        <v>Ševarlije 322</v>
      </c>
      <c r="E10" s="441"/>
      <c r="F10" s="17"/>
      <c r="J10" s="437" t="str">
        <f>Podatak_Ziro_racun_6</f>
        <v/>
      </c>
      <c r="K10" s="437"/>
    </row>
    <row r="11" spans="3:13" x14ac:dyDescent="0.2">
      <c r="C11" s="17" t="str">
        <f>Zaglavlje_JIB</f>
        <v>JIB:</v>
      </c>
      <c r="D11" s="441" t="str">
        <f>Podatak_JIB</f>
        <v>4402748120004</v>
      </c>
      <c r="E11" s="441"/>
      <c r="F11" s="21"/>
      <c r="G11" s="21"/>
      <c r="H11" s="21"/>
      <c r="I11" s="21"/>
      <c r="J11"/>
      <c r="K11"/>
    </row>
    <row r="12" spans="3:13" ht="15.75" x14ac:dyDescent="0.2">
      <c r="C12" s="453" t="str">
        <f>Nazivi_bilansa_BTG</f>
        <v>Bilans tokova gotovine</v>
      </c>
      <c r="D12" s="453"/>
      <c r="E12" s="453"/>
      <c r="F12" s="453"/>
      <c r="G12" s="453"/>
      <c r="H12" s="453"/>
      <c r="I12" s="453"/>
      <c r="J12" s="453"/>
      <c r="K12" s="453"/>
    </row>
    <row r="13" spans="3:13" x14ac:dyDescent="0.2">
      <c r="C13" s="454" t="str">
        <f>Nazivi_bilansa_BTG1</f>
        <v>(Izvještaj o tokovima gotovine)</v>
      </c>
      <c r="D13" s="454"/>
      <c r="E13" s="454"/>
      <c r="F13" s="454"/>
      <c r="G13" s="454"/>
      <c r="H13" s="454"/>
      <c r="I13" s="454"/>
      <c r="J13" s="454"/>
      <c r="K13" s="454"/>
    </row>
    <row r="14" spans="3:13" x14ac:dyDescent="0.2">
      <c r="C14" s="454" t="str">
        <f>Datumi_Datum_BTG</f>
        <v>za period od 01.01. do 31.12.2014.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x14ac:dyDescent="0.2">
      <c r="D15" s="21"/>
      <c r="E15" s="21"/>
      <c r="F15" s="21"/>
      <c r="G15" s="21"/>
      <c r="H15" s="21"/>
      <c r="I15" s="21"/>
      <c r="J15" s="21"/>
      <c r="K15" s="73" t="str">
        <f>Tabele_zaglavlje_Valuta</f>
        <v>- u konvertibilnim markama -</v>
      </c>
    </row>
    <row r="16" spans="3:13" x14ac:dyDescent="0.2">
      <c r="C16" s="438" t="str">
        <f>Tabele_zaglavlje_Redni_broj</f>
        <v>Redni broj</v>
      </c>
      <c r="D16" s="431" t="str">
        <f>Tabele_zaglavlje_Pozicija</f>
        <v>Pozicija</v>
      </c>
      <c r="E16" s="431"/>
      <c r="F16" s="431"/>
      <c r="G16" s="431"/>
      <c r="H16" s="431"/>
      <c r="I16" s="429" t="str">
        <f>Tabele_zaglavlje_Oznaka_aop</f>
        <v>Oznaka za AOP</v>
      </c>
      <c r="J16" s="431" t="str">
        <f>Tabele_zaglavlje_Iznos</f>
        <v>Iznos</v>
      </c>
      <c r="K16" s="432"/>
      <c r="M16" s="64"/>
    </row>
    <row r="17" spans="2:19" ht="25.5" x14ac:dyDescent="0.2">
      <c r="C17" s="439"/>
      <c r="D17" s="443"/>
      <c r="E17" s="443"/>
      <c r="F17" s="443"/>
      <c r="G17" s="443"/>
      <c r="H17" s="443"/>
      <c r="I17" s="430"/>
      <c r="J17" s="65" t="str">
        <f>Tabele_zaglavlje_Tekuca_godina</f>
        <v>Tekuća godina</v>
      </c>
      <c r="K17" s="66" t="str">
        <f>Tabele_zaglavlje_Prethodna_godina</f>
        <v>Prethodna godina</v>
      </c>
      <c r="M17" s="64"/>
      <c r="O17" s="278" t="s">
        <v>1862</v>
      </c>
    </row>
    <row r="18" spans="2:19" x14ac:dyDescent="0.2">
      <c r="B18" s="67" t="s">
        <v>810</v>
      </c>
      <c r="C18" s="122">
        <v>1</v>
      </c>
      <c r="D18" s="445">
        <v>2</v>
      </c>
      <c r="E18" s="445"/>
      <c r="F18" s="445"/>
      <c r="G18" s="445"/>
      <c r="H18" s="445"/>
      <c r="I18" s="123">
        <v>3</v>
      </c>
      <c r="J18" s="123">
        <v>4</v>
      </c>
      <c r="K18" s="124">
        <v>5</v>
      </c>
    </row>
    <row r="19" spans="2:19" x14ac:dyDescent="0.2">
      <c r="B19" s="74">
        <v>265</v>
      </c>
      <c r="C19" s="125">
        <f>VLOOKUP($B19,Aop!$A$2:$L$403,5,1)</f>
        <v>1</v>
      </c>
      <c r="D19" s="446" t="str">
        <f>VLOOKUP($B19,Aop!$A$2:$L$403,6,1)</f>
        <v xml:space="preserve">  A. TOKOVI GOTOVINE IZ POSLOVNIH AKTIVNOSTI</v>
      </c>
      <c r="E19" s="446"/>
      <c r="F19" s="446"/>
      <c r="G19" s="446"/>
      <c r="H19" s="446"/>
      <c r="I19" s="139">
        <f>VLOOKUP($B19,Aop!$A$2:$L$403,4,1)</f>
        <v>0</v>
      </c>
      <c r="J19" s="140"/>
      <c r="K19" s="141"/>
      <c r="O19" s="30"/>
      <c r="P19" s="30"/>
      <c r="Q19" s="30"/>
      <c r="R19" s="30"/>
      <c r="S19" s="30"/>
    </row>
    <row r="20" spans="2:19" x14ac:dyDescent="0.2">
      <c r="B20" s="74">
        <v>266</v>
      </c>
      <c r="C20" s="105">
        <f>VLOOKUP($B20,Aop!$A$2:$L$403,5,1)</f>
        <v>2</v>
      </c>
      <c r="D20" s="436" t="str">
        <f>VLOOKUP($B20,Aop!$A$2:$L$403,6,1)</f>
        <v xml:space="preserve">    I  PRILIVI GOTOVINE IZ POSLOVNIH AKTIVNOSTI (502 do 504)</v>
      </c>
      <c r="E20" s="436"/>
      <c r="F20" s="436"/>
      <c r="G20" s="436"/>
      <c r="H20" s="436"/>
      <c r="I20" s="106">
        <f>VLOOKUP($B20,Aop!$A$2:$L$403,4,1)</f>
        <v>501</v>
      </c>
      <c r="J20" s="107">
        <f>SUM(J21:J23)</f>
        <v>5404240</v>
      </c>
      <c r="K20" s="108">
        <f>SUM(K21:K23)</f>
        <v>3032976</v>
      </c>
      <c r="O20" s="30"/>
      <c r="P20" s="30"/>
      <c r="Q20" s="30"/>
      <c r="R20" s="30"/>
      <c r="S20" s="30"/>
    </row>
    <row r="21" spans="2:19" x14ac:dyDescent="0.2">
      <c r="B21" s="74">
        <v>267</v>
      </c>
      <c r="C21" s="109">
        <f>VLOOKUP($B21,Aop!$A$2:$L$403,5,1)</f>
        <v>3</v>
      </c>
      <c r="D21" s="434" t="str">
        <f>VLOOKUP($B21,Aop!$A$2:$L$403,6,1)</f>
        <v xml:space="preserve">      1. Prilivi od kupaca i primljeni avansi</v>
      </c>
      <c r="E21" s="434"/>
      <c r="F21" s="434"/>
      <c r="G21" s="434"/>
      <c r="H21" s="434"/>
      <c r="I21" s="142">
        <f>VLOOKUP($B21,Aop!$A$2:$L$403,4,1)</f>
        <v>502</v>
      </c>
      <c r="J21" s="328">
        <v>5360139</v>
      </c>
      <c r="K21" s="329">
        <v>3017292</v>
      </c>
      <c r="O21" s="30"/>
      <c r="P21" s="30"/>
      <c r="Q21" s="30"/>
      <c r="R21" s="30"/>
      <c r="S21" s="30"/>
    </row>
    <row r="22" spans="2:19" x14ac:dyDescent="0.2">
      <c r="B22" s="74">
        <v>268</v>
      </c>
      <c r="C22" s="105">
        <f>VLOOKUP($B22,Aop!$A$2:$L$403,5,1)</f>
        <v>4</v>
      </c>
      <c r="D22" s="433" t="str">
        <f>VLOOKUP($B22,Aop!$A$2:$L$403,6,1)</f>
        <v xml:space="preserve">      2. Prilivi od premija, subvencija, dotacija i sl.</v>
      </c>
      <c r="E22" s="433"/>
      <c r="F22" s="433"/>
      <c r="G22" s="433"/>
      <c r="H22" s="433"/>
      <c r="I22" s="106">
        <f>VLOOKUP($B22,Aop!$A$2:$L$403,4,1)</f>
        <v>503</v>
      </c>
      <c r="J22" s="326"/>
      <c r="K22" s="327"/>
      <c r="O22" s="30"/>
      <c r="P22" s="30"/>
      <c r="Q22" s="30"/>
      <c r="R22" s="30"/>
      <c r="S22" s="30"/>
    </row>
    <row r="23" spans="2:19" x14ac:dyDescent="0.2">
      <c r="B23" s="74">
        <v>269</v>
      </c>
      <c r="C23" s="109">
        <f>VLOOKUP($B23,Aop!$A$2:$L$403,5,1)</f>
        <v>5</v>
      </c>
      <c r="D23" s="434" t="str">
        <f>VLOOKUP($B23,Aop!$A$2:$L$403,6,1)</f>
        <v xml:space="preserve">      3. Ostali prilivi iz poslovnih aktivnosti</v>
      </c>
      <c r="E23" s="434"/>
      <c r="F23" s="434"/>
      <c r="G23" s="434"/>
      <c r="H23" s="434"/>
      <c r="I23" s="142">
        <f>VLOOKUP($B23,Aop!$A$2:$L$403,4,1)</f>
        <v>504</v>
      </c>
      <c r="J23" s="332">
        <v>44101</v>
      </c>
      <c r="K23" s="333">
        <v>15684</v>
      </c>
      <c r="O23" s="30"/>
      <c r="P23" s="30"/>
      <c r="Q23" s="30"/>
      <c r="R23" s="30"/>
      <c r="S23" s="30"/>
    </row>
    <row r="24" spans="2:19" x14ac:dyDescent="0.2">
      <c r="B24" s="74">
        <v>270</v>
      </c>
      <c r="C24" s="105">
        <f>VLOOKUP($B24,Aop!$A$2:$L$403,5,1)</f>
        <v>6</v>
      </c>
      <c r="D24" s="436" t="str">
        <f>VLOOKUP($B24,Aop!$A$2:$L$403,6,1)</f>
        <v xml:space="preserve">    II  ODLIVI GOTOVINE IZ POSLOVNIH AKTIVNOSTI (506 do 510)</v>
      </c>
      <c r="E24" s="436"/>
      <c r="F24" s="436"/>
      <c r="G24" s="436"/>
      <c r="H24" s="436"/>
      <c r="I24" s="106">
        <f>VLOOKUP($B24,Aop!$A$2:$L$403,4,1)</f>
        <v>505</v>
      </c>
      <c r="J24" s="107">
        <f>SUM(J25:J29)</f>
        <v>4648940</v>
      </c>
      <c r="K24" s="108">
        <f>SUM(K25:K29)</f>
        <v>2857648</v>
      </c>
      <c r="O24" s="30"/>
      <c r="P24" s="30"/>
      <c r="Q24" s="30"/>
      <c r="R24" s="30"/>
      <c r="S24" s="30"/>
    </row>
    <row r="25" spans="2:19" x14ac:dyDescent="0.2">
      <c r="B25" s="74">
        <v>271</v>
      </c>
      <c r="C25" s="109">
        <f>VLOOKUP($B25,Aop!$A$2:$L$403,5,1)</f>
        <v>7</v>
      </c>
      <c r="D25" s="434" t="str">
        <f>VLOOKUP($B25,Aop!$A$2:$L$403,6,1)</f>
        <v xml:space="preserve">      1. Odlivi po osnovu isplata dobavljačima i dati avansi</v>
      </c>
      <c r="E25" s="434"/>
      <c r="F25" s="434"/>
      <c r="G25" s="434"/>
      <c r="H25" s="434"/>
      <c r="I25" s="142">
        <f>VLOOKUP($B25,Aop!$A$2:$L$403,4,1)</f>
        <v>506</v>
      </c>
      <c r="J25" s="328">
        <v>3365774</v>
      </c>
      <c r="K25" s="329">
        <v>1976383</v>
      </c>
      <c r="O25" s="30"/>
      <c r="P25" s="30"/>
      <c r="Q25" s="30"/>
      <c r="R25" s="30"/>
      <c r="S25" s="30"/>
    </row>
    <row r="26" spans="2:19" x14ac:dyDescent="0.2">
      <c r="B26" s="74">
        <v>272</v>
      </c>
      <c r="C26" s="105">
        <f>VLOOKUP($B26,Aop!$A$2:$L$403,5,1)</f>
        <v>8</v>
      </c>
      <c r="D26" s="433" t="str">
        <f>VLOOKUP($B26,Aop!$A$2:$L$403,6,1)</f>
        <v xml:space="preserve">      2. Odlivi po osnovu isplata zarada, naknada zarada i ostalih ličnih rashoda</v>
      </c>
      <c r="E26" s="433"/>
      <c r="F26" s="433"/>
      <c r="G26" s="433"/>
      <c r="H26" s="433"/>
      <c r="I26" s="106">
        <f>VLOOKUP($B26,Aop!$A$2:$L$403,4,1)</f>
        <v>507</v>
      </c>
      <c r="J26" s="326">
        <v>816718</v>
      </c>
      <c r="K26" s="327">
        <v>600987</v>
      </c>
      <c r="O26" s="30"/>
      <c r="P26" s="30"/>
      <c r="Q26" s="30"/>
      <c r="R26" s="30"/>
      <c r="S26" s="30"/>
    </row>
    <row r="27" spans="2:19" x14ac:dyDescent="0.2">
      <c r="B27" s="74">
        <v>273</v>
      </c>
      <c r="C27" s="109">
        <f>VLOOKUP($B27,Aop!$A$2:$L$403,5,1)</f>
        <v>9</v>
      </c>
      <c r="D27" s="434" t="str">
        <f>VLOOKUP($B27,Aop!$A$2:$L$403,6,1)</f>
        <v xml:space="preserve">      3. Odlivi po osnovu plaćenih kamata</v>
      </c>
      <c r="E27" s="434"/>
      <c r="F27" s="434"/>
      <c r="G27" s="434"/>
      <c r="H27" s="434"/>
      <c r="I27" s="142">
        <f>VLOOKUP($B27,Aop!$A$2:$L$403,4,1)</f>
        <v>508</v>
      </c>
      <c r="J27" s="328"/>
      <c r="K27" s="329"/>
      <c r="O27" s="30"/>
      <c r="P27" s="30"/>
      <c r="Q27" s="30"/>
      <c r="R27" s="30"/>
      <c r="S27" s="30"/>
    </row>
    <row r="28" spans="2:19" x14ac:dyDescent="0.2">
      <c r="B28" s="74">
        <v>274</v>
      </c>
      <c r="C28" s="105">
        <f>VLOOKUP($B28,Aop!$A$2:$L$403,5,1)</f>
        <v>10</v>
      </c>
      <c r="D28" s="433" t="str">
        <f>VLOOKUP($B28,Aop!$A$2:$L$403,6,1)</f>
        <v xml:space="preserve">      4. Odlivi po osnovu poreza na dobit</v>
      </c>
      <c r="E28" s="433"/>
      <c r="F28" s="433"/>
      <c r="G28" s="433"/>
      <c r="H28" s="433"/>
      <c r="I28" s="106">
        <f>VLOOKUP($B28,Aop!$A$2:$L$403,4,1)</f>
        <v>509</v>
      </c>
      <c r="J28" s="326"/>
      <c r="K28" s="327"/>
      <c r="O28" s="30"/>
      <c r="P28" s="30"/>
      <c r="Q28" s="30"/>
      <c r="R28" s="30"/>
      <c r="S28" s="30"/>
    </row>
    <row r="29" spans="2:19" x14ac:dyDescent="0.2">
      <c r="B29" s="74">
        <v>275</v>
      </c>
      <c r="C29" s="109">
        <f>VLOOKUP($B29,Aop!$A$2:$L$403,5,1)</f>
        <v>11</v>
      </c>
      <c r="D29" s="434" t="str">
        <f>VLOOKUP($B29,Aop!$A$2:$L$403,6,1)</f>
        <v xml:space="preserve">      5. Ostali odlivi iz poslovnih aktivnosti</v>
      </c>
      <c r="E29" s="434"/>
      <c r="F29" s="434"/>
      <c r="G29" s="434"/>
      <c r="H29" s="434"/>
      <c r="I29" s="142">
        <f>VLOOKUP($B29,Aop!$A$2:$L$403,4,1)</f>
        <v>510</v>
      </c>
      <c r="J29" s="328">
        <v>466448</v>
      </c>
      <c r="K29" s="329">
        <v>280278</v>
      </c>
      <c r="O29" s="30"/>
      <c r="P29" s="30"/>
      <c r="Q29" s="30"/>
      <c r="R29" s="30"/>
      <c r="S29" s="30"/>
    </row>
    <row r="30" spans="2:19" x14ac:dyDescent="0.2">
      <c r="B30" s="74">
        <v>276</v>
      </c>
      <c r="C30" s="105">
        <f>VLOOKUP($B30,Aop!$A$2:$L$403,5,1)</f>
        <v>12</v>
      </c>
      <c r="D30" s="436" t="str">
        <f>VLOOKUP($B30,Aop!$A$2:$L$403,6,1)</f>
        <v xml:space="preserve">    III  NETO PRILIV GOTOVINE IZ POSLOVNIH AKTIVNOSTI (501-505)</v>
      </c>
      <c r="E30" s="436"/>
      <c r="F30" s="436"/>
      <c r="G30" s="436"/>
      <c r="H30" s="436"/>
      <c r="I30" s="106">
        <f>VLOOKUP($B30,Aop!$A$2:$L$403,4,1)</f>
        <v>511</v>
      </c>
      <c r="J30" s="107">
        <f>IF(J20-J24&lt;0,0,J20-J24)</f>
        <v>755300</v>
      </c>
      <c r="K30" s="108">
        <f>IF(K20-K24&lt;0,0,K20-K24)</f>
        <v>175328</v>
      </c>
      <c r="O30" s="30"/>
      <c r="P30" s="30"/>
      <c r="Q30" s="30"/>
      <c r="R30" s="30"/>
      <c r="S30" s="30"/>
    </row>
    <row r="31" spans="2:19" x14ac:dyDescent="0.2">
      <c r="B31" s="74">
        <v>277</v>
      </c>
      <c r="C31" s="109">
        <f>VLOOKUP($B31,Aop!$A$2:$L$403,5,1)</f>
        <v>13</v>
      </c>
      <c r="D31" s="435" t="str">
        <f>VLOOKUP($B31,Aop!$A$2:$L$403,6,1)</f>
        <v xml:space="preserve">    IV  NETO ODLIV GOTOVINE IZ POSLOVNIH AKTIVNOSTI (505-501)</v>
      </c>
      <c r="E31" s="435"/>
      <c r="F31" s="435"/>
      <c r="G31" s="435"/>
      <c r="H31" s="435"/>
      <c r="I31" s="142">
        <f>VLOOKUP($B31,Aop!$A$2:$L$403,4,1)</f>
        <v>512</v>
      </c>
      <c r="J31" s="118">
        <f>IF(J24-J20&lt;0,0,J24-J20)</f>
        <v>0</v>
      </c>
      <c r="K31" s="119">
        <f>IF(K24-K20&lt;0,0,K24-K20)</f>
        <v>0</v>
      </c>
      <c r="O31" s="30"/>
      <c r="P31" s="30"/>
      <c r="Q31" s="30"/>
      <c r="R31" s="30"/>
      <c r="S31" s="30"/>
    </row>
    <row r="32" spans="2:19" x14ac:dyDescent="0.2">
      <c r="B32" s="74">
        <v>278</v>
      </c>
      <c r="C32" s="105">
        <f>VLOOKUP($B32,Aop!$A$2:$L$403,5,1)</f>
        <v>14</v>
      </c>
      <c r="D32" s="436" t="str">
        <f>VLOOKUP($B32,Aop!$A$2:$L$403,6,1)</f>
        <v xml:space="preserve">  B. TOKOVI GOTOVINE IZ AKTIVNOSTI INVESTIRANJA</v>
      </c>
      <c r="E32" s="436"/>
      <c r="F32" s="436"/>
      <c r="G32" s="436"/>
      <c r="H32" s="436"/>
      <c r="I32" s="106">
        <f>VLOOKUP($B32,Aop!$A$2:$L$403,4,1)</f>
        <v>0</v>
      </c>
      <c r="J32" s="299"/>
      <c r="K32" s="301"/>
      <c r="O32" s="30"/>
      <c r="P32" s="30"/>
      <c r="Q32" s="30"/>
      <c r="R32" s="30"/>
      <c r="S32" s="30"/>
    </row>
    <row r="33" spans="2:19" x14ac:dyDescent="0.2">
      <c r="B33" s="74">
        <v>279</v>
      </c>
      <c r="C33" s="109">
        <f>VLOOKUP($B33,Aop!$A$2:$L$403,5,1)</f>
        <v>15</v>
      </c>
      <c r="D33" s="435" t="str">
        <f>VLOOKUP($B33,Aop!$A$2:$L$403,6,1)</f>
        <v xml:space="preserve">    I  PRILIVI GOTOVINE IZ AKTIVNOSTI INVESTIRANJA (514 do 519)</v>
      </c>
      <c r="E33" s="435"/>
      <c r="F33" s="435"/>
      <c r="G33" s="435"/>
      <c r="H33" s="435"/>
      <c r="I33" s="142">
        <f>VLOOKUP($B33,Aop!$A$2:$L$403,4,1)</f>
        <v>513</v>
      </c>
      <c r="J33" s="118">
        <f>SUM(J34:J39)</f>
        <v>609</v>
      </c>
      <c r="K33" s="119">
        <f>SUM(K34:K39)</f>
        <v>0</v>
      </c>
      <c r="O33" s="30"/>
      <c r="P33" s="30"/>
      <c r="Q33" s="30"/>
      <c r="R33" s="30"/>
      <c r="S33" s="30"/>
    </row>
    <row r="34" spans="2:19" x14ac:dyDescent="0.2">
      <c r="B34" s="74">
        <v>280</v>
      </c>
      <c r="C34" s="105">
        <f>VLOOKUP($B34,Aop!$A$2:$L$403,5,1)</f>
        <v>16</v>
      </c>
      <c r="D34" s="433" t="str">
        <f>VLOOKUP($B34,Aop!$A$2:$L$403,6,1)</f>
        <v xml:space="preserve">      1. Prilivi po osnovu kratkoročnih finansijskih plasmana</v>
      </c>
      <c r="E34" s="433"/>
      <c r="F34" s="433"/>
      <c r="G34" s="433"/>
      <c r="H34" s="433"/>
      <c r="I34" s="106">
        <f>VLOOKUP($B34,Aop!$A$2:$L$403,4,1)</f>
        <v>514</v>
      </c>
      <c r="J34" s="326"/>
      <c r="K34" s="327"/>
      <c r="O34" s="30"/>
      <c r="P34" s="30"/>
      <c r="Q34" s="30"/>
      <c r="R34" s="30"/>
      <c r="S34" s="30"/>
    </row>
    <row r="35" spans="2:19" x14ac:dyDescent="0.2">
      <c r="B35" s="74">
        <v>281</v>
      </c>
      <c r="C35" s="109">
        <f>VLOOKUP($B35,Aop!$A$2:$L$403,5,1)</f>
        <v>17</v>
      </c>
      <c r="D35" s="434" t="str">
        <f>VLOOKUP($B35,Aop!$A$2:$L$403,6,1)</f>
        <v xml:space="preserve">      2. Prilivi po osnovu prodaje akcija i udjela</v>
      </c>
      <c r="E35" s="434"/>
      <c r="F35" s="434"/>
      <c r="G35" s="434"/>
      <c r="H35" s="434"/>
      <c r="I35" s="142">
        <f>VLOOKUP($B35,Aop!$A$2:$L$403,4,1)</f>
        <v>515</v>
      </c>
      <c r="J35" s="332"/>
      <c r="K35" s="333"/>
      <c r="O35" s="30"/>
      <c r="P35" s="30"/>
      <c r="Q35" s="30"/>
      <c r="R35" s="30"/>
      <c r="S35" s="30"/>
    </row>
    <row r="36" spans="2:19" ht="25.5" x14ac:dyDescent="0.2">
      <c r="B36" s="74">
        <v>282</v>
      </c>
      <c r="C36" s="105">
        <f>VLOOKUP($B36,Aop!$A$2:$L$403,5,1)</f>
        <v>18</v>
      </c>
      <c r="D36" s="433" t="str">
        <f>VLOOKUP($B36,Aop!$A$2:$L$403,6,1)</f>
        <v xml:space="preserve">      3. Prilivi po osnovu prodaje nematerijalnih ulaganja, nekretnina, postrojenja, opreme, investicionih nekretnina i bioloških sredstava</v>
      </c>
      <c r="E36" s="433"/>
      <c r="F36" s="433"/>
      <c r="G36" s="433"/>
      <c r="H36" s="433"/>
      <c r="I36" s="106">
        <f>VLOOKUP($B36,Aop!$A$2:$L$403,4,1)</f>
        <v>516</v>
      </c>
      <c r="J36" s="326"/>
      <c r="K36" s="327"/>
      <c r="O36" s="277" t="s">
        <v>1484</v>
      </c>
      <c r="P36" s="30"/>
      <c r="Q36" s="30"/>
      <c r="R36" s="30"/>
      <c r="S36" s="30"/>
    </row>
    <row r="37" spans="2:19" x14ac:dyDescent="0.2">
      <c r="B37" s="74">
        <v>283</v>
      </c>
      <c r="C37" s="109">
        <f>VLOOKUP($B37,Aop!$A$2:$L$403,5,1)</f>
        <v>19</v>
      </c>
      <c r="D37" s="434" t="str">
        <f>VLOOKUP($B37,Aop!$A$2:$L$403,6,1)</f>
        <v xml:space="preserve">      4. Prilivi po osnovu kamata</v>
      </c>
      <c r="E37" s="434"/>
      <c r="F37" s="434"/>
      <c r="G37" s="434"/>
      <c r="H37" s="434"/>
      <c r="I37" s="142">
        <f>VLOOKUP($B37,Aop!$A$2:$L$403,4,1)</f>
        <v>517</v>
      </c>
      <c r="J37" s="332">
        <v>609</v>
      </c>
      <c r="K37" s="333"/>
      <c r="O37" s="30"/>
      <c r="P37" s="30"/>
      <c r="Q37" s="30"/>
      <c r="R37" s="30"/>
      <c r="S37" s="30"/>
    </row>
    <row r="38" spans="2:19" x14ac:dyDescent="0.2">
      <c r="B38" s="74">
        <v>284</v>
      </c>
      <c r="C38" s="105">
        <f>VLOOKUP($B38,Aop!$A$2:$L$403,5,1)</f>
        <v>20</v>
      </c>
      <c r="D38" s="433" t="str">
        <f>VLOOKUP($B38,Aop!$A$2:$L$403,6,1)</f>
        <v xml:space="preserve">      5. Prilivi od dividendi i učešća u dobitku</v>
      </c>
      <c r="E38" s="433"/>
      <c r="F38" s="433"/>
      <c r="G38" s="433"/>
      <c r="H38" s="433"/>
      <c r="I38" s="106">
        <f>VLOOKUP($B38,Aop!$A$2:$L$403,4,1)</f>
        <v>518</v>
      </c>
      <c r="J38" s="326"/>
      <c r="K38" s="327"/>
      <c r="O38" s="30"/>
      <c r="P38" s="30"/>
      <c r="Q38" s="30"/>
      <c r="R38" s="30"/>
      <c r="S38" s="30"/>
    </row>
    <row r="39" spans="2:19" x14ac:dyDescent="0.2">
      <c r="B39" s="74">
        <v>285</v>
      </c>
      <c r="C39" s="109">
        <f>VLOOKUP($B39,Aop!$A$2:$L$403,5,1)</f>
        <v>21</v>
      </c>
      <c r="D39" s="434" t="str">
        <f>VLOOKUP($B39,Aop!$A$2:$L$403,6,1)</f>
        <v xml:space="preserve">      6. Prilivi po osnovu ostalih dugoročnih finansijskih plasmana</v>
      </c>
      <c r="E39" s="434"/>
      <c r="F39" s="434"/>
      <c r="G39" s="434"/>
      <c r="H39" s="434"/>
      <c r="I39" s="142">
        <f>VLOOKUP($B39,Aop!$A$2:$L$403,4,1)</f>
        <v>519</v>
      </c>
      <c r="J39" s="332"/>
      <c r="K39" s="333"/>
      <c r="O39" s="30"/>
      <c r="P39" s="30"/>
      <c r="Q39" s="30"/>
      <c r="R39" s="30"/>
      <c r="S39" s="30"/>
    </row>
    <row r="40" spans="2:19" x14ac:dyDescent="0.2">
      <c r="B40" s="74">
        <v>286</v>
      </c>
      <c r="C40" s="105">
        <f>VLOOKUP($B40,Aop!$A$2:$L$403,5,1)</f>
        <v>22</v>
      </c>
      <c r="D40" s="436" t="str">
        <f>VLOOKUP($B40,Aop!$A$2:$L$403,6,1)</f>
        <v xml:space="preserve">    II  ODLIVI GOTOVINE IZ AKTIVNOSTI INVESTIRANJA (521 do 524)</v>
      </c>
      <c r="E40" s="436"/>
      <c r="F40" s="436"/>
      <c r="G40" s="436"/>
      <c r="H40" s="436"/>
      <c r="I40" s="106">
        <f>VLOOKUP($B40,Aop!$A$2:$L$403,4,1)</f>
        <v>520</v>
      </c>
      <c r="J40" s="107">
        <f>SUM(J41:J44)</f>
        <v>2068</v>
      </c>
      <c r="K40" s="108">
        <f>SUM(K41:K44)</f>
        <v>0</v>
      </c>
      <c r="O40" s="30"/>
      <c r="P40" s="30"/>
      <c r="Q40" s="30"/>
      <c r="R40" s="30"/>
      <c r="S40" s="30"/>
    </row>
    <row r="41" spans="2:19" x14ac:dyDescent="0.2">
      <c r="B41" s="74">
        <v>287</v>
      </c>
      <c r="C41" s="109">
        <f>VLOOKUP($B41,Aop!$A$2:$L$403,5,1)</f>
        <v>23</v>
      </c>
      <c r="D41" s="434" t="str">
        <f>VLOOKUP($B41,Aop!$A$2:$L$403,6,1)</f>
        <v xml:space="preserve">      1. Odlivi po osnovu kratkoročnih finansijskih plasmana</v>
      </c>
      <c r="E41" s="434"/>
      <c r="F41" s="434"/>
      <c r="G41" s="434"/>
      <c r="H41" s="434"/>
      <c r="I41" s="142">
        <f>VLOOKUP($B41,Aop!$A$2:$L$403,4,1)</f>
        <v>521</v>
      </c>
      <c r="J41" s="332"/>
      <c r="K41" s="333"/>
      <c r="O41" s="30"/>
      <c r="P41" s="30"/>
      <c r="Q41" s="30"/>
      <c r="R41" s="30"/>
      <c r="S41" s="30"/>
    </row>
    <row r="42" spans="2:19" x14ac:dyDescent="0.2">
      <c r="B42" s="74">
        <v>288</v>
      </c>
      <c r="C42" s="105">
        <f>VLOOKUP($B42,Aop!$A$2:$L$403,5,1)</f>
        <v>24</v>
      </c>
      <c r="D42" s="433" t="str">
        <f>VLOOKUP($B42,Aop!$A$2:$L$403,6,1)</f>
        <v xml:space="preserve">      2. Odlivi po osnovu kupovine akcija i udjela</v>
      </c>
      <c r="E42" s="433"/>
      <c r="F42" s="433"/>
      <c r="G42" s="433"/>
      <c r="H42" s="433"/>
      <c r="I42" s="106">
        <f>VLOOKUP($B42,Aop!$A$2:$L$403,4,1)</f>
        <v>522</v>
      </c>
      <c r="J42" s="326"/>
      <c r="K42" s="327"/>
      <c r="O42" s="30"/>
      <c r="P42" s="30"/>
      <c r="Q42" s="30"/>
      <c r="R42" s="30"/>
      <c r="S42" s="30"/>
    </row>
    <row r="43" spans="2:19" ht="25.5" x14ac:dyDescent="0.2">
      <c r="B43" s="74">
        <v>289</v>
      </c>
      <c r="C43" s="109">
        <f>VLOOKUP($B43,Aop!$A$2:$L$403,5,1)</f>
        <v>25</v>
      </c>
      <c r="D43" s="434" t="str">
        <f>VLOOKUP($B43,Aop!$A$2:$L$403,6,1)</f>
        <v xml:space="preserve">      3. Odlivi po osnovu kupovine nematerijalnih ulaganja, nekretnina, postrojenja, opreme, investicionih nekretnina i bioloških sredstava</v>
      </c>
      <c r="E43" s="434"/>
      <c r="F43" s="434"/>
      <c r="G43" s="434"/>
      <c r="H43" s="434"/>
      <c r="I43" s="142">
        <f>VLOOKUP($B43,Aop!$A$2:$L$403,4,1)</f>
        <v>523</v>
      </c>
      <c r="J43" s="332">
        <v>2068</v>
      </c>
      <c r="K43" s="333"/>
      <c r="O43" s="30" t="s">
        <v>1484</v>
      </c>
      <c r="P43" s="30"/>
      <c r="Q43" s="30"/>
      <c r="R43" s="30"/>
      <c r="S43" s="30"/>
    </row>
    <row r="44" spans="2:19" x14ac:dyDescent="0.2">
      <c r="B44" s="74">
        <v>290</v>
      </c>
      <c r="C44" s="105">
        <f>VLOOKUP($B44,Aop!$A$2:$L$403,5,1)</f>
        <v>26</v>
      </c>
      <c r="D44" s="433" t="str">
        <f>VLOOKUP($B44,Aop!$A$2:$L$403,6,1)</f>
        <v xml:space="preserve">      4. Odlivi po osnovu ostalih dugoročnih finansijskih plasmana</v>
      </c>
      <c r="E44" s="433"/>
      <c r="F44" s="433"/>
      <c r="G44" s="433"/>
      <c r="H44" s="433"/>
      <c r="I44" s="106">
        <f>VLOOKUP($B44,Aop!$A$2:$L$403,4,1)</f>
        <v>524</v>
      </c>
      <c r="J44" s="326"/>
      <c r="K44" s="327"/>
      <c r="O44" s="30"/>
      <c r="P44" s="30"/>
      <c r="Q44" s="30"/>
      <c r="R44" s="30"/>
      <c r="S44" s="30"/>
    </row>
    <row r="45" spans="2:19" x14ac:dyDescent="0.2">
      <c r="B45" s="74">
        <v>291</v>
      </c>
      <c r="C45" s="109">
        <f>VLOOKUP($B45,Aop!$A$2:$L$403,5,1)</f>
        <v>27</v>
      </c>
      <c r="D45" s="435" t="str">
        <f>VLOOKUP($B45,Aop!$A$2:$L$403,6,1)</f>
        <v xml:space="preserve">    III  NETO PRILIV GOTOVINE IZ AKTIVNOSTI INVESTIRANJA (513-520)</v>
      </c>
      <c r="E45" s="435"/>
      <c r="F45" s="435"/>
      <c r="G45" s="435"/>
      <c r="H45" s="435"/>
      <c r="I45" s="142">
        <f>VLOOKUP($B45,Aop!$A$2:$L$403,4,1)</f>
        <v>525</v>
      </c>
      <c r="J45" s="118">
        <f>IF(J33-J40&lt;0,0,J33-J40)</f>
        <v>0</v>
      </c>
      <c r="K45" s="119">
        <f>IF(K33-K40&lt;0,0,K33-K40)</f>
        <v>0</v>
      </c>
      <c r="O45" s="30"/>
      <c r="P45" s="30"/>
      <c r="Q45" s="30"/>
      <c r="R45" s="30"/>
      <c r="S45" s="30"/>
    </row>
    <row r="46" spans="2:19" x14ac:dyDescent="0.2">
      <c r="B46" s="74">
        <v>292</v>
      </c>
      <c r="C46" s="105">
        <f>VLOOKUP($B46,Aop!$A$2:$L$403,5,1)</f>
        <v>28</v>
      </c>
      <c r="D46" s="436" t="str">
        <f>VLOOKUP($B46,Aop!$A$2:$L$403,6,1)</f>
        <v xml:space="preserve">    IV  NETO ODLIV GOTOVINE IZ AKTIVNOSTI INVESTIRANJA (520-513)</v>
      </c>
      <c r="E46" s="436"/>
      <c r="F46" s="436"/>
      <c r="G46" s="436"/>
      <c r="H46" s="436"/>
      <c r="I46" s="106">
        <f>VLOOKUP($B46,Aop!$A$2:$L$403,4,1)</f>
        <v>526</v>
      </c>
      <c r="J46" s="107">
        <f>IF(J40-J33&lt;0,0,J40-J33)</f>
        <v>1459</v>
      </c>
      <c r="K46" s="108">
        <f>IF(K40-K33&lt;0,0,K40-K33)</f>
        <v>0</v>
      </c>
      <c r="O46" s="30"/>
      <c r="P46" s="30"/>
      <c r="Q46" s="30"/>
      <c r="R46" s="30"/>
      <c r="S46" s="30"/>
    </row>
    <row r="47" spans="2:19" x14ac:dyDescent="0.2">
      <c r="B47" s="74">
        <v>293</v>
      </c>
      <c r="C47" s="109">
        <f>VLOOKUP($B47,Aop!$A$2:$L$403,5,1)</f>
        <v>29</v>
      </c>
      <c r="D47" s="435" t="str">
        <f>VLOOKUP($B47,Aop!$A$2:$L$403,6,1)</f>
        <v xml:space="preserve">  V. TOKOVI GOTOVINE IZ AKTIVNOSTI FINANSIRANJA</v>
      </c>
      <c r="E47" s="435"/>
      <c r="F47" s="435"/>
      <c r="G47" s="435"/>
      <c r="H47" s="435"/>
      <c r="I47" s="142">
        <f>VLOOKUP($B47,Aop!$A$2:$L$403,4,1)</f>
        <v>0</v>
      </c>
      <c r="J47" s="118"/>
      <c r="K47" s="119"/>
      <c r="O47" s="30"/>
      <c r="P47" s="30"/>
      <c r="Q47" s="30"/>
      <c r="R47" s="30"/>
      <c r="S47" s="30"/>
    </row>
    <row r="48" spans="2:19" x14ac:dyDescent="0.2">
      <c r="B48" s="74">
        <v>294</v>
      </c>
      <c r="C48" s="105">
        <f>VLOOKUP($B48,Aop!$A$2:$L$403,5,1)</f>
        <v>30</v>
      </c>
      <c r="D48" s="436" t="str">
        <f>VLOOKUP($B48,Aop!$A$2:$L$403,6,1)</f>
        <v xml:space="preserve">    I  PRILIV GOTOVINE IZ AKTIVNOSTI FINANSIRANJA (528 do 531)</v>
      </c>
      <c r="E48" s="436"/>
      <c r="F48" s="436"/>
      <c r="G48" s="436"/>
      <c r="H48" s="436"/>
      <c r="I48" s="106">
        <f>VLOOKUP($B48,Aop!$A$2:$L$403,4,1)</f>
        <v>527</v>
      </c>
      <c r="J48" s="107">
        <f>SUM(J49:J52)</f>
        <v>0</v>
      </c>
      <c r="K48" s="108">
        <f>SUM(K49:K52)</f>
        <v>0</v>
      </c>
      <c r="O48" s="30"/>
      <c r="P48" s="30"/>
      <c r="Q48" s="30"/>
      <c r="R48" s="30"/>
      <c r="S48" s="30"/>
    </row>
    <row r="49" spans="2:19" x14ac:dyDescent="0.2">
      <c r="B49" s="74">
        <v>295</v>
      </c>
      <c r="C49" s="109">
        <f>VLOOKUP($B49,Aop!$A$2:$L$403,5,1)</f>
        <v>31</v>
      </c>
      <c r="D49" s="434" t="str">
        <f>VLOOKUP($B49,Aop!$A$2:$L$403,6,1)</f>
        <v xml:space="preserve">      1. Prilivi po osnovu povećanja osnovnog kapitala</v>
      </c>
      <c r="E49" s="434"/>
      <c r="F49" s="434"/>
      <c r="G49" s="434"/>
      <c r="H49" s="434"/>
      <c r="I49" s="142">
        <f>VLOOKUP($B49,Aop!$A$2:$L$403,4,1)</f>
        <v>528</v>
      </c>
      <c r="J49" s="332"/>
      <c r="K49" s="333"/>
      <c r="O49" s="30"/>
      <c r="P49" s="30"/>
      <c r="Q49" s="30"/>
      <c r="R49" s="30"/>
      <c r="S49" s="30"/>
    </row>
    <row r="50" spans="2:19" x14ac:dyDescent="0.2">
      <c r="B50" s="74">
        <v>296</v>
      </c>
      <c r="C50" s="105">
        <f>VLOOKUP($B50,Aop!$A$2:$L$403,5,1)</f>
        <v>32</v>
      </c>
      <c r="D50" s="433" t="str">
        <f>VLOOKUP($B50,Aop!$A$2:$L$403,6,1)</f>
        <v xml:space="preserve">      2. Prilivi po osnovu dugoročnih kredita</v>
      </c>
      <c r="E50" s="433"/>
      <c r="F50" s="433"/>
      <c r="G50" s="433"/>
      <c r="H50" s="433"/>
      <c r="I50" s="106">
        <f>VLOOKUP($B50,Aop!$A$2:$L$403,4,1)</f>
        <v>529</v>
      </c>
      <c r="J50" s="326"/>
      <c r="K50" s="327"/>
      <c r="O50" s="30"/>
      <c r="P50" s="30"/>
      <c r="Q50" s="30"/>
      <c r="R50" s="30"/>
      <c r="S50" s="30"/>
    </row>
    <row r="51" spans="2:19" x14ac:dyDescent="0.2">
      <c r="B51" s="74">
        <v>297</v>
      </c>
      <c r="C51" s="109">
        <f>VLOOKUP($B51,Aop!$A$2:$L$403,5,1)</f>
        <v>33</v>
      </c>
      <c r="D51" s="434" t="str">
        <f>VLOOKUP($B51,Aop!$A$2:$L$403,6,1)</f>
        <v xml:space="preserve">      3. Prilivi po osnovu kratkoročnih kredita</v>
      </c>
      <c r="E51" s="434"/>
      <c r="F51" s="434"/>
      <c r="G51" s="434"/>
      <c r="H51" s="434"/>
      <c r="I51" s="142">
        <f>VLOOKUP($B51,Aop!$A$2:$L$403,4,1)</f>
        <v>530</v>
      </c>
      <c r="J51" s="332"/>
      <c r="K51" s="333"/>
      <c r="O51" s="30"/>
      <c r="P51" s="30"/>
      <c r="Q51" s="30"/>
      <c r="R51" s="30"/>
      <c r="S51" s="30"/>
    </row>
    <row r="52" spans="2:19" x14ac:dyDescent="0.2">
      <c r="B52" s="74">
        <v>298</v>
      </c>
      <c r="C52" s="105">
        <f>VLOOKUP($B52,Aop!$A$2:$L$403,5,1)</f>
        <v>34</v>
      </c>
      <c r="D52" s="433" t="str">
        <f>VLOOKUP($B52,Aop!$A$2:$L$403,6,1)</f>
        <v xml:space="preserve">      4. Prilivi po osnovu ostalih dugoročnih i kratkoročnih obaveza</v>
      </c>
      <c r="E52" s="433"/>
      <c r="F52" s="433"/>
      <c r="G52" s="433"/>
      <c r="H52" s="433"/>
      <c r="I52" s="106">
        <f>VLOOKUP($B52,Aop!$A$2:$L$403,4,1)</f>
        <v>531</v>
      </c>
      <c r="J52" s="326"/>
      <c r="K52" s="327"/>
      <c r="O52" s="30"/>
      <c r="P52" s="30"/>
      <c r="Q52" s="30"/>
      <c r="R52" s="30"/>
      <c r="S52" s="30"/>
    </row>
    <row r="53" spans="2:19" x14ac:dyDescent="0.2">
      <c r="B53" s="74">
        <v>299</v>
      </c>
      <c r="C53" s="109">
        <f>VLOOKUP($B53,Aop!$A$2:$L$403,5,1)</f>
        <v>35</v>
      </c>
      <c r="D53" s="435" t="str">
        <f>VLOOKUP($B53,Aop!$A$2:$L$403,6,1)</f>
        <v xml:space="preserve">    II  ODLIVI GOTOVINE IZ AKTIVNOSTI FINANSIRANJA (533 do 538)</v>
      </c>
      <c r="E53" s="435"/>
      <c r="F53" s="435"/>
      <c r="G53" s="435"/>
      <c r="H53" s="435"/>
      <c r="I53" s="142">
        <f>VLOOKUP($B53,Aop!$A$2:$L$403,4,1)</f>
        <v>532</v>
      </c>
      <c r="J53" s="111">
        <f>SUM(J54:J59)</f>
        <v>3521</v>
      </c>
      <c r="K53" s="112">
        <f>SUM(K54:K59)</f>
        <v>205281</v>
      </c>
      <c r="O53" s="30"/>
      <c r="P53" s="30"/>
      <c r="Q53" s="30"/>
      <c r="R53" s="30"/>
      <c r="S53" s="30"/>
    </row>
    <row r="54" spans="2:19" x14ac:dyDescent="0.2">
      <c r="B54" s="74">
        <v>300</v>
      </c>
      <c r="C54" s="105">
        <f>VLOOKUP($B54,Aop!$A$2:$L$403,5,1)</f>
        <v>36</v>
      </c>
      <c r="D54" s="433" t="str">
        <f>VLOOKUP($B54,Aop!$A$2:$L$403,6,1)</f>
        <v xml:space="preserve">      1. Odlivi po osnovu otkupa sopstvenih akcija i udjela</v>
      </c>
      <c r="E54" s="433"/>
      <c r="F54" s="433"/>
      <c r="G54" s="433"/>
      <c r="H54" s="433"/>
      <c r="I54" s="106">
        <f>VLOOKUP($B54,Aop!$A$2:$L$403,4,1)</f>
        <v>533</v>
      </c>
      <c r="J54" s="326"/>
      <c r="K54" s="327"/>
      <c r="O54" s="30"/>
      <c r="P54" s="30"/>
      <c r="Q54" s="30"/>
      <c r="R54" s="30"/>
      <c r="S54" s="30"/>
    </row>
    <row r="55" spans="2:19" x14ac:dyDescent="0.2">
      <c r="B55" s="74">
        <v>301</v>
      </c>
      <c r="C55" s="109">
        <f>VLOOKUP($B55,Aop!$A$2:$L$403,5,1)</f>
        <v>37</v>
      </c>
      <c r="D55" s="434" t="str">
        <f>VLOOKUP($B55,Aop!$A$2:$L$403,6,1)</f>
        <v xml:space="preserve">      2. Odlivi po osnovu dugoročnih kredita</v>
      </c>
      <c r="E55" s="434"/>
      <c r="F55" s="434"/>
      <c r="G55" s="434"/>
      <c r="H55" s="434"/>
      <c r="I55" s="142">
        <f>VLOOKUP($B55,Aop!$A$2:$L$403,4,1)</f>
        <v>534</v>
      </c>
      <c r="J55" s="332"/>
      <c r="K55" s="333"/>
      <c r="O55" s="30"/>
      <c r="P55" s="30"/>
      <c r="Q55" s="30"/>
      <c r="R55" s="30"/>
      <c r="S55" s="30"/>
    </row>
    <row r="56" spans="2:19" x14ac:dyDescent="0.2">
      <c r="B56" s="74">
        <v>302</v>
      </c>
      <c r="C56" s="105">
        <f>VLOOKUP($B56,Aop!$A$2:$L$403,5,1)</f>
        <v>38</v>
      </c>
      <c r="D56" s="433" t="str">
        <f>VLOOKUP($B56,Aop!$A$2:$L$403,6,1)</f>
        <v xml:space="preserve">      3. Odlivi po osnovu kratkoročnih kredita</v>
      </c>
      <c r="E56" s="433"/>
      <c r="F56" s="433"/>
      <c r="G56" s="433"/>
      <c r="H56" s="433"/>
      <c r="I56" s="106">
        <f>VLOOKUP($B56,Aop!$A$2:$L$403,4,1)</f>
        <v>535</v>
      </c>
      <c r="J56" s="326"/>
      <c r="K56" s="327">
        <v>200000</v>
      </c>
      <c r="O56" s="30"/>
      <c r="P56" s="30"/>
      <c r="Q56" s="30"/>
      <c r="R56" s="30"/>
      <c r="S56" s="30"/>
    </row>
    <row r="57" spans="2:19" x14ac:dyDescent="0.2">
      <c r="B57" s="74">
        <v>303</v>
      </c>
      <c r="C57" s="109">
        <f>VLOOKUP($B57,Aop!$A$2:$L$403,5,1)</f>
        <v>39</v>
      </c>
      <c r="D57" s="434" t="str">
        <f>VLOOKUP($B57,Aop!$A$2:$L$403,6,1)</f>
        <v xml:space="preserve">      4. Odlivi po osnovu finansijskog lizinga</v>
      </c>
      <c r="E57" s="434"/>
      <c r="F57" s="434"/>
      <c r="G57" s="434"/>
      <c r="H57" s="434"/>
      <c r="I57" s="142">
        <f>VLOOKUP($B57,Aop!$A$2:$L$403,4,1)</f>
        <v>536</v>
      </c>
      <c r="J57" s="328">
        <v>3521</v>
      </c>
      <c r="K57" s="329">
        <v>5281</v>
      </c>
      <c r="O57" s="30"/>
      <c r="P57" s="30"/>
      <c r="Q57" s="30"/>
      <c r="R57" s="30"/>
      <c r="S57" s="30"/>
    </row>
    <row r="58" spans="2:19" x14ac:dyDescent="0.2">
      <c r="B58" s="74">
        <v>304</v>
      </c>
      <c r="C58" s="105">
        <f>VLOOKUP($B58,Aop!$A$2:$L$403,5,1)</f>
        <v>40</v>
      </c>
      <c r="D58" s="433" t="str">
        <f>VLOOKUP($B58,Aop!$A$2:$L$403,6,1)</f>
        <v xml:space="preserve">      5. Odlivi po osnovu isplaćenih dividendi</v>
      </c>
      <c r="E58" s="433"/>
      <c r="F58" s="433"/>
      <c r="G58" s="433"/>
      <c r="H58" s="433"/>
      <c r="I58" s="106">
        <f>VLOOKUP($B58,Aop!$A$2:$L$403,4,1)</f>
        <v>537</v>
      </c>
      <c r="J58" s="326"/>
      <c r="K58" s="327"/>
      <c r="O58" s="30"/>
      <c r="P58" s="30"/>
      <c r="Q58" s="30"/>
      <c r="R58" s="30"/>
      <c r="S58" s="30"/>
    </row>
    <row r="59" spans="2:19" x14ac:dyDescent="0.2">
      <c r="B59" s="74">
        <v>305</v>
      </c>
      <c r="C59" s="109">
        <f>VLOOKUP($B59,Aop!$A$2:$L$403,5,1)</f>
        <v>41</v>
      </c>
      <c r="D59" s="434" t="str">
        <f>VLOOKUP($B59,Aop!$A$2:$L$403,6,1)</f>
        <v xml:space="preserve">      6. Odlivi po osnovu ostalih dugoročnih i kratkoročnih obaveza</v>
      </c>
      <c r="E59" s="434"/>
      <c r="F59" s="434"/>
      <c r="G59" s="434"/>
      <c r="H59" s="434"/>
      <c r="I59" s="142">
        <f>VLOOKUP($B59,Aop!$A$2:$L$403,4,1)</f>
        <v>538</v>
      </c>
      <c r="J59" s="332"/>
      <c r="K59" s="333"/>
      <c r="O59" s="30"/>
      <c r="P59" s="30"/>
      <c r="Q59" s="30"/>
      <c r="R59" s="30"/>
      <c r="S59" s="30"/>
    </row>
    <row r="60" spans="2:19" x14ac:dyDescent="0.2">
      <c r="B60" s="74">
        <v>306</v>
      </c>
      <c r="C60" s="105">
        <f>VLOOKUP($B60,Aop!$A$2:$L$403,5,1)</f>
        <v>42</v>
      </c>
      <c r="D60" s="436" t="str">
        <f>VLOOKUP($B60,Aop!$A$2:$L$403,6,1)</f>
        <v xml:space="preserve">    III  NETO PRILIV GOTOVINE IZ AKTIVNOST FINANSIRANJA (527-532)</v>
      </c>
      <c r="E60" s="436"/>
      <c r="F60" s="436"/>
      <c r="G60" s="436"/>
      <c r="H60" s="436"/>
      <c r="I60" s="106">
        <f>VLOOKUP($B60,Aop!$A$2:$L$403,4,1)</f>
        <v>539</v>
      </c>
      <c r="J60" s="107">
        <f>IF(J48-J53&lt;0,0,J48-J53)</f>
        <v>0</v>
      </c>
      <c r="K60" s="108">
        <f>IF(K48-K53&lt;0,0,K48-K53)</f>
        <v>0</v>
      </c>
      <c r="O60" s="30"/>
      <c r="P60" s="30"/>
      <c r="Q60" s="30"/>
      <c r="R60" s="30"/>
      <c r="S60" s="30"/>
    </row>
    <row r="61" spans="2:19" x14ac:dyDescent="0.2">
      <c r="B61" s="74">
        <v>307</v>
      </c>
      <c r="C61" s="109">
        <f>VLOOKUP($B61,Aop!$A$2:$L$403,5,1)</f>
        <v>43</v>
      </c>
      <c r="D61" s="435" t="str">
        <f>VLOOKUP($B61,Aop!$A$2:$L$403,6,1)</f>
        <v xml:space="preserve">    IV  NETO ODLIV GOTOVINE IZ AKTIVNOSTI FINANSIRANJA (532-527)</v>
      </c>
      <c r="E61" s="435"/>
      <c r="F61" s="435"/>
      <c r="G61" s="435"/>
      <c r="H61" s="435"/>
      <c r="I61" s="142">
        <f>VLOOKUP($B61,Aop!$A$2:$L$403,4,1)</f>
        <v>540</v>
      </c>
      <c r="J61" s="118">
        <f>IF(J53-J48&lt;0,0,J53-J48)</f>
        <v>3521</v>
      </c>
      <c r="K61" s="119">
        <f>IF(K53-K48&lt;0,0,K53-K48)</f>
        <v>205281</v>
      </c>
      <c r="O61" s="30"/>
      <c r="P61" s="30"/>
      <c r="Q61" s="30"/>
      <c r="R61" s="30"/>
      <c r="S61" s="30"/>
    </row>
    <row r="62" spans="2:19" x14ac:dyDescent="0.2">
      <c r="B62" s="74">
        <v>308</v>
      </c>
      <c r="C62" s="105">
        <f>VLOOKUP($B62,Aop!$A$2:$L$403,5,1)</f>
        <v>44</v>
      </c>
      <c r="D62" s="436" t="str">
        <f>VLOOKUP($B62,Aop!$A$2:$L$403,6,1)</f>
        <v xml:space="preserve">  G. UKUPNI PRILIVI GOTOVINE (501+513+527)</v>
      </c>
      <c r="E62" s="436"/>
      <c r="F62" s="436"/>
      <c r="G62" s="436"/>
      <c r="H62" s="436"/>
      <c r="I62" s="106">
        <f>VLOOKUP($B62,Aop!$A$2:$L$403,4,1)</f>
        <v>541</v>
      </c>
      <c r="J62" s="107">
        <f>J20+J33+J48</f>
        <v>5404849</v>
      </c>
      <c r="K62" s="108">
        <f>K20+K33+K48</f>
        <v>3032976</v>
      </c>
      <c r="O62" s="30"/>
      <c r="P62" s="30"/>
      <c r="Q62" s="30"/>
      <c r="R62" s="30"/>
      <c r="S62" s="30"/>
    </row>
    <row r="63" spans="2:19" x14ac:dyDescent="0.2">
      <c r="B63" s="74">
        <v>309</v>
      </c>
      <c r="C63" s="109">
        <f>VLOOKUP($B63,Aop!$A$2:$L$403,5,1)</f>
        <v>45</v>
      </c>
      <c r="D63" s="435" t="str">
        <f>VLOOKUP($B63,Aop!$A$2:$L$403,6,1)</f>
        <v xml:space="preserve">  D. UKUPNI ODLIVI GOTOVINE (505+520+532)</v>
      </c>
      <c r="E63" s="435"/>
      <c r="F63" s="435"/>
      <c r="G63" s="435"/>
      <c r="H63" s="435"/>
      <c r="I63" s="142">
        <f>VLOOKUP($B63,Aop!$A$2:$L$403,4,1)</f>
        <v>542</v>
      </c>
      <c r="J63" s="118">
        <f>J24+J40+J53</f>
        <v>4654529</v>
      </c>
      <c r="K63" s="119">
        <f>K24+K40+K53</f>
        <v>3062929</v>
      </c>
      <c r="O63" s="30"/>
      <c r="P63" s="30"/>
      <c r="Q63" s="30"/>
      <c r="R63" s="30"/>
      <c r="S63" s="30"/>
    </row>
    <row r="64" spans="2:19" x14ac:dyDescent="0.2">
      <c r="B64" s="74">
        <v>310</v>
      </c>
      <c r="C64" s="105">
        <f>VLOOKUP($B64,Aop!$A$2:$L$403,5,1)</f>
        <v>46</v>
      </c>
      <c r="D64" s="436" t="str">
        <f>VLOOKUP($B64,Aop!$A$2:$L$403,6,1)</f>
        <v xml:space="preserve">  Đ. NETO PRILIV GOTOVINE (541-542)</v>
      </c>
      <c r="E64" s="436"/>
      <c r="F64" s="436"/>
      <c r="G64" s="436"/>
      <c r="H64" s="436"/>
      <c r="I64" s="106">
        <f>VLOOKUP($B64,Aop!$A$2:$L$403,4,1)</f>
        <v>543</v>
      </c>
      <c r="J64" s="107">
        <f>IF(J62-J63&lt;0,0,J62-J63)</f>
        <v>750320</v>
      </c>
      <c r="K64" s="108">
        <f>IF(K62-K63&lt;0,0,K62-K63)</f>
        <v>0</v>
      </c>
      <c r="O64" s="30"/>
      <c r="P64" s="30"/>
      <c r="Q64" s="30"/>
      <c r="R64" s="30"/>
      <c r="S64" s="30"/>
    </row>
    <row r="65" spans="2:19" x14ac:dyDescent="0.2">
      <c r="B65" s="74">
        <v>311</v>
      </c>
      <c r="C65" s="109">
        <f>VLOOKUP($B65,Aop!$A$2:$L$403,5,1)</f>
        <v>47</v>
      </c>
      <c r="D65" s="435" t="str">
        <f>VLOOKUP($B65,Aop!$A$2:$L$403,6,1)</f>
        <v xml:space="preserve">  E. NETO ODLIV GOTOVINE (542-541)</v>
      </c>
      <c r="E65" s="435"/>
      <c r="F65" s="435"/>
      <c r="G65" s="435"/>
      <c r="H65" s="435"/>
      <c r="I65" s="142">
        <f>VLOOKUP($B65,Aop!$A$2:$L$403,4,1)</f>
        <v>544</v>
      </c>
      <c r="J65" s="118">
        <f>IF(J63-J62&lt;0,0,J63-J62)</f>
        <v>0</v>
      </c>
      <c r="K65" s="119">
        <f>IF(K63-K62&lt;0,0,K63-K62)</f>
        <v>29953</v>
      </c>
      <c r="O65" s="30"/>
      <c r="P65" s="30"/>
      <c r="Q65" s="30"/>
      <c r="R65" s="30"/>
      <c r="S65" s="30"/>
    </row>
    <row r="66" spans="2:19" x14ac:dyDescent="0.2">
      <c r="B66" s="74">
        <v>312</v>
      </c>
      <c r="C66" s="105">
        <f>VLOOKUP($B66,Aop!$A$2:$L$403,5,1)</f>
        <v>48</v>
      </c>
      <c r="D66" s="436" t="str">
        <f>VLOOKUP($B66,Aop!$A$2:$L$403,6,1)</f>
        <v xml:space="preserve">  Ž. GOTOVINA NA POČETKU OBRAČUNSKOG PERIODA</v>
      </c>
      <c r="E66" s="436"/>
      <c r="F66" s="436"/>
      <c r="G66" s="436"/>
      <c r="H66" s="436"/>
      <c r="I66" s="106">
        <f>VLOOKUP($B66,Aop!$A$2:$L$403,4,1)</f>
        <v>545</v>
      </c>
      <c r="J66" s="168">
        <v>67138</v>
      </c>
      <c r="K66" s="169">
        <v>97091</v>
      </c>
      <c r="O66" s="30"/>
      <c r="P66" s="30"/>
      <c r="Q66" s="30"/>
      <c r="R66" s="30"/>
      <c r="S66" s="30"/>
    </row>
    <row r="67" spans="2:19" x14ac:dyDescent="0.2">
      <c r="B67" s="74">
        <v>313</v>
      </c>
      <c r="C67" s="109">
        <f>VLOOKUP($B67,Aop!$A$2:$L$403,5,1)</f>
        <v>49</v>
      </c>
      <c r="D67" s="435" t="str">
        <f>VLOOKUP($B67,Aop!$A$2:$L$403,6,1)</f>
        <v xml:space="preserve">  Z. POZITIVNE KURSNE RAZLIKE PO OSNOVU PRERAČUNA GOTOVINE</v>
      </c>
      <c r="E67" s="435"/>
      <c r="F67" s="435"/>
      <c r="G67" s="435"/>
      <c r="H67" s="435"/>
      <c r="I67" s="142">
        <f>VLOOKUP($B67,Aop!$A$2:$L$403,4,1)</f>
        <v>546</v>
      </c>
      <c r="J67" s="342"/>
      <c r="K67" s="343"/>
      <c r="O67" s="30"/>
      <c r="P67" s="30"/>
      <c r="Q67" s="30"/>
      <c r="R67" s="30"/>
      <c r="S67" s="30"/>
    </row>
    <row r="68" spans="2:19" x14ac:dyDescent="0.2">
      <c r="B68" s="74">
        <v>314</v>
      </c>
      <c r="C68" s="105">
        <f>VLOOKUP($B68,Aop!$A$2:$L$403,5,1)</f>
        <v>50</v>
      </c>
      <c r="D68" s="436" t="str">
        <f>VLOOKUP($B68,Aop!$A$2:$L$403,6,1)</f>
        <v xml:space="preserve">  I. NEGATIVNE KURSNE RAZLIKE PO OSNOVU PRERAČUNA GOTOVINE</v>
      </c>
      <c r="E68" s="436"/>
      <c r="F68" s="436"/>
      <c r="G68" s="436"/>
      <c r="H68" s="436"/>
      <c r="I68" s="106">
        <f>VLOOKUP($B68,Aop!$A$2:$L$403,4,1)</f>
        <v>547</v>
      </c>
      <c r="J68" s="168"/>
      <c r="K68" s="169"/>
      <c r="O68" s="30"/>
      <c r="P68" s="30"/>
      <c r="Q68" s="30"/>
      <c r="R68" s="30"/>
      <c r="S68" s="30"/>
    </row>
    <row r="69" spans="2:19" x14ac:dyDescent="0.2">
      <c r="B69" s="74">
        <v>315</v>
      </c>
      <c r="C69" s="143">
        <f>VLOOKUP($B69,Aop!$A$2:$L$403,5,1)</f>
        <v>51</v>
      </c>
      <c r="D69" s="452" t="str">
        <f>VLOOKUP($B69,Aop!$A$2:$L$403,6,1)</f>
        <v xml:space="preserve">  J. GOTOVINA NA KRAJU OBRAČUNSKOG PERIODA (545+543-544+546-547)</v>
      </c>
      <c r="E69" s="452"/>
      <c r="F69" s="452"/>
      <c r="G69" s="452"/>
      <c r="H69" s="452"/>
      <c r="I69" s="144">
        <f>VLOOKUP($B69,Aop!$A$2:$L$403,4,1)</f>
        <v>548</v>
      </c>
      <c r="J69" s="145">
        <f>J66+J64-J65+J67-J68</f>
        <v>817458</v>
      </c>
      <c r="K69" s="146">
        <f>K66+K64-K65+K67-K68</f>
        <v>67138</v>
      </c>
      <c r="O69" s="30"/>
      <c r="P69" s="30"/>
      <c r="Q69" s="30"/>
      <c r="R69" s="30"/>
      <c r="S69" s="30"/>
    </row>
    <row r="70" spans="2:19" x14ac:dyDescent="0.2"/>
    <row r="71" spans="2:19" x14ac:dyDescent="0.2">
      <c r="G71" s="9"/>
      <c r="H71" s="54" t="str">
        <f>Podnozje_U</f>
        <v>U</v>
      </c>
      <c r="I71" s="75" t="str">
        <f>Podatak_U</f>
        <v>DOBOJ</v>
      </c>
      <c r="J71" s="55"/>
      <c r="K71" s="55"/>
    </row>
    <row r="72" spans="2:19" x14ac:dyDescent="0.2">
      <c r="F72" s="56" t="str">
        <f>Podnozje_MP</f>
        <v>(M.P.)</v>
      </c>
      <c r="H72" s="54" t="str">
        <f>Podnozje_Dana</f>
        <v>Dana,</v>
      </c>
      <c r="I72" s="76" t="str">
        <f>Podatak_Dana</f>
        <v>27.02.2015.</v>
      </c>
      <c r="J72" s="58"/>
      <c r="K72" s="58"/>
    </row>
    <row r="73" spans="2:19" x14ac:dyDescent="0.2">
      <c r="F73" s="56"/>
      <c r="G73" s="56"/>
      <c r="H73" s="54" t="str">
        <f>Podnozje_Lice_sa_licencom</f>
        <v>Lice sa licencom:</v>
      </c>
      <c r="I73" s="76" t="str">
        <f>Podatak_Lice_sa_licencom</f>
        <v>Edina Hadžikadunić</v>
      </c>
      <c r="J73" s="58"/>
      <c r="K73" s="58"/>
    </row>
    <row r="74" spans="2:19" x14ac:dyDescent="0.2">
      <c r="G74" s="59"/>
      <c r="H74" s="54" t="str">
        <f>Podnozje_Direktor</f>
        <v>Direktor:</v>
      </c>
      <c r="I74" s="76" t="str">
        <f>Podatak_Direktor</f>
        <v>Peterne Marosy Katalin</v>
      </c>
      <c r="J74" s="55"/>
      <c r="K74" s="55"/>
    </row>
    <row r="75" spans="2:19" x14ac:dyDescent="0.2">
      <c r="F75" s="60"/>
      <c r="G75" s="60"/>
      <c r="H75" s="60"/>
      <c r="I75" s="9"/>
      <c r="J75" s="54"/>
      <c r="K75" s="54"/>
    </row>
  </sheetData>
  <sheetProtection password="FE56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53:H53"/>
    <mergeCell ref="D47:H47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22:H22"/>
    <mergeCell ref="D35:H35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11:E11"/>
    <mergeCell ref="D18:H18"/>
    <mergeCell ref="D19:H19"/>
    <mergeCell ref="D20:H20"/>
    <mergeCell ref="D21:H21"/>
    <mergeCell ref="C7:E8"/>
    <mergeCell ref="D23:H23"/>
    <mergeCell ref="J5:K5"/>
    <mergeCell ref="J6:K6"/>
    <mergeCell ref="J7:K7"/>
    <mergeCell ref="J8:K8"/>
    <mergeCell ref="J9:K9"/>
    <mergeCell ref="C9:F9"/>
    <mergeCell ref="J10:K10"/>
    <mergeCell ref="D5:E5"/>
    <mergeCell ref="C16:C17"/>
    <mergeCell ref="J16:K16"/>
    <mergeCell ref="I16:I17"/>
    <mergeCell ref="D16:H17"/>
    <mergeCell ref="D6:E6"/>
    <mergeCell ref="D10:E10"/>
  </mergeCells>
  <phoneticPr fontId="1" type="noConversion"/>
  <dataValidations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125" orientation="landscape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10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95"/>
  <sheetViews>
    <sheetView showGridLines="0" showRowColHeaders="0" topLeftCell="C1" zoomScaleNormal="100" zoomScaleSheetLayoutView="100" workbookViewId="0">
      <pane ySplit="4" topLeftCell="A5" activePane="bottomLeft" state="frozen"/>
      <selection activeCell="D54" sqref="D54:H54"/>
      <selection pane="bottomLeft" activeCell="J81" sqref="J81"/>
    </sheetView>
  </sheetViews>
  <sheetFormatPr defaultColWidth="0" defaultRowHeight="12.75" zeroHeight="1" x14ac:dyDescent="0.2"/>
  <cols>
    <col min="1" max="1" width="5.7109375" style="8" customWidth="1"/>
    <col min="2" max="2" width="10" style="8" hidden="1" customWidth="1"/>
    <col min="3" max="8" width="14.285156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1"/>
      <c r="D1" s="21"/>
      <c r="E1" s="21"/>
      <c r="F1" s="21"/>
      <c r="G1" s="21"/>
      <c r="H1" s="21"/>
      <c r="I1" s="21"/>
      <c r="J1" s="21"/>
      <c r="K1" s="21"/>
    </row>
    <row r="2" spans="3:13" x14ac:dyDescent="0.2">
      <c r="C2" s="21"/>
      <c r="D2" s="21"/>
      <c r="E2" s="21"/>
      <c r="F2" s="21"/>
      <c r="G2" s="21"/>
      <c r="H2" s="21"/>
      <c r="I2" s="21"/>
      <c r="J2" s="21"/>
      <c r="K2" s="21"/>
    </row>
    <row r="3" spans="3:13" x14ac:dyDescent="0.2">
      <c r="C3" s="21"/>
      <c r="D3" s="21"/>
      <c r="E3" s="21"/>
      <c r="F3" s="21"/>
      <c r="G3" s="21"/>
      <c r="H3" s="21"/>
      <c r="I3" s="21"/>
      <c r="J3" s="21"/>
      <c r="K3" s="21"/>
    </row>
    <row r="4" spans="3:13" x14ac:dyDescent="0.2">
      <c r="C4" s="21"/>
      <c r="D4" s="21"/>
      <c r="E4" s="21"/>
      <c r="F4" s="21"/>
      <c r="G4" s="21"/>
      <c r="H4" s="21"/>
      <c r="I4" s="21"/>
      <c r="J4" s="21"/>
      <c r="K4" s="21"/>
    </row>
    <row r="5" spans="3:13" x14ac:dyDescent="0.2">
      <c r="C5" s="17" t="str">
        <f>Zaglavlje_MB</f>
        <v>Matični broj:</v>
      </c>
      <c r="D5" s="441" t="str">
        <f>Podatak_MB</f>
        <v>11029752</v>
      </c>
      <c r="E5" s="441"/>
      <c r="I5" s="18" t="str">
        <f>Zaglavlje_Ziro_racun</f>
        <v>Žiro računi:</v>
      </c>
      <c r="J5" s="437" t="str">
        <f>Podatak_Ziro_racun_1</f>
        <v>161-000-01178100-03</v>
      </c>
      <c r="K5" s="437"/>
    </row>
    <row r="6" spans="3:13" x14ac:dyDescent="0.2">
      <c r="C6" s="17" t="str">
        <f>Zaglavlje_Sifra_djelatnosti</f>
        <v>Šifra djelatnosti:</v>
      </c>
      <c r="D6" s="441" t="str">
        <f>Podatak_Sifra_djelatnosti</f>
        <v>08.11</v>
      </c>
      <c r="E6" s="441"/>
      <c r="F6" s="9"/>
      <c r="J6" s="437" t="str">
        <f>Podatak_Ziro_racun_2</f>
        <v>562-005-80690000-55</v>
      </c>
      <c r="K6" s="437"/>
    </row>
    <row r="7" spans="3:13" x14ac:dyDescent="0.2">
      <c r="C7" s="442" t="str">
        <f>Zaglavlje_Naziv_preduzeca</f>
        <v>Naziv privrednog društva, zadruge, drugog pravnog lica ili preduzetnika:</v>
      </c>
      <c r="D7" s="442"/>
      <c r="E7" s="442"/>
      <c r="F7" s="20"/>
      <c r="J7" s="437" t="str">
        <f>Podatak_Ziro_racun_3</f>
        <v/>
      </c>
      <c r="K7" s="437"/>
    </row>
    <row r="8" spans="3:13" x14ac:dyDescent="0.2">
      <c r="C8" s="442"/>
      <c r="D8" s="442"/>
      <c r="E8" s="442"/>
      <c r="F8" s="20"/>
      <c r="J8" s="437" t="str">
        <f>Podatak_Ziro_racun_4</f>
        <v/>
      </c>
      <c r="K8" s="437"/>
    </row>
    <row r="9" spans="3:13" x14ac:dyDescent="0.2">
      <c r="C9" s="444" t="str">
        <f>Podatak_Naziv_preduzeca</f>
        <v>RUDNIK KREČNJAKA CARMEUSE A.D. DOBOJ</v>
      </c>
      <c r="D9" s="444"/>
      <c r="E9" s="444"/>
      <c r="F9" s="444"/>
      <c r="J9" s="437" t="str">
        <f>Podatak_Ziro_racun_5</f>
        <v/>
      </c>
      <c r="K9" s="437"/>
    </row>
    <row r="10" spans="3:13" x14ac:dyDescent="0.2">
      <c r="C10" s="17" t="str">
        <f>Zaglavlje_Sjediste</f>
        <v>Sjedište:</v>
      </c>
      <c r="D10" s="441" t="str">
        <f>Podatak_Sjediste</f>
        <v>Ševarlije 322</v>
      </c>
      <c r="E10" s="441"/>
      <c r="F10" s="17"/>
      <c r="J10" s="437" t="str">
        <f>Podatak_Ziro_racun_6</f>
        <v/>
      </c>
      <c r="K10" s="437"/>
    </row>
    <row r="11" spans="3:13" x14ac:dyDescent="0.2">
      <c r="C11" s="17" t="str">
        <f>Zaglavlje_JIB</f>
        <v>JIB:</v>
      </c>
      <c r="D11" s="441" t="str">
        <f>Podatak_JIB</f>
        <v>4402748120004</v>
      </c>
      <c r="E11" s="441"/>
      <c r="F11" s="21"/>
      <c r="G11" s="21"/>
      <c r="H11" s="21"/>
      <c r="I11" s="21"/>
      <c r="J11"/>
      <c r="K11"/>
    </row>
    <row r="12" spans="3:13" ht="15.75" x14ac:dyDescent="0.2">
      <c r="C12" s="453" t="str">
        <f>Nazivi_bilansa_Aneks</f>
        <v>Aneks</v>
      </c>
      <c r="D12" s="453"/>
      <c r="E12" s="453"/>
      <c r="F12" s="453"/>
      <c r="G12" s="453"/>
      <c r="H12" s="453"/>
      <c r="I12" s="453"/>
      <c r="J12" s="453"/>
      <c r="K12" s="453"/>
    </row>
    <row r="13" spans="3:13" x14ac:dyDescent="0.2">
      <c r="C13" s="454" t="str">
        <f>Nazivi_bilansa_Aneks1</f>
        <v>(Dodatni računovodstveni izvještaj)</v>
      </c>
      <c r="D13" s="454"/>
      <c r="E13" s="454"/>
      <c r="F13" s="454"/>
      <c r="G13" s="454"/>
      <c r="H13" s="454"/>
      <c r="I13" s="454"/>
      <c r="J13" s="454"/>
      <c r="K13" s="454"/>
    </row>
    <row r="14" spans="3:13" x14ac:dyDescent="0.2">
      <c r="C14" s="454" t="str">
        <f>Datumi_Datum_Aneks</f>
        <v>za period od 01.01. do 31.12.2014. godine</v>
      </c>
      <c r="D14" s="454"/>
      <c r="E14" s="454"/>
      <c r="F14" s="454"/>
      <c r="G14" s="454"/>
      <c r="H14" s="454"/>
      <c r="I14" s="454"/>
      <c r="J14" s="454"/>
      <c r="K14" s="454"/>
    </row>
    <row r="15" spans="3:13" x14ac:dyDescent="0.2">
      <c r="C15" s="63"/>
      <c r="D15" s="63"/>
      <c r="E15" s="63"/>
      <c r="F15" s="63"/>
      <c r="G15" s="63"/>
      <c r="H15" s="63"/>
      <c r="I15" s="63"/>
      <c r="J15" s="63"/>
      <c r="K15" s="24" t="str">
        <f>Tabele_zaglavlje_Valuta</f>
        <v>- u konvertibilnim markama -</v>
      </c>
    </row>
    <row r="16" spans="3:13" x14ac:dyDescent="0.2">
      <c r="C16" s="438" t="str">
        <f>Tabele_zaglavlje_Grupa_racuna</f>
        <v>Grupa računa, račun</v>
      </c>
      <c r="D16" s="431" t="str">
        <f>Tabele_zaglavlje_Pozicija</f>
        <v>Pozicija</v>
      </c>
      <c r="E16" s="431"/>
      <c r="F16" s="431"/>
      <c r="G16" s="431"/>
      <c r="H16" s="431"/>
      <c r="I16" s="429" t="str">
        <f>Tabele_zaglavlje_Oznaka_aop</f>
        <v>Oznaka za AOP</v>
      </c>
      <c r="J16" s="431" t="str">
        <f>Tabele_zaglavlje_Iznos</f>
        <v>Iznos</v>
      </c>
      <c r="K16" s="432"/>
      <c r="M16" s="64"/>
    </row>
    <row r="17" spans="2:15" ht="25.5" x14ac:dyDescent="0.2">
      <c r="C17" s="439"/>
      <c r="D17" s="443"/>
      <c r="E17" s="443"/>
      <c r="F17" s="443"/>
      <c r="G17" s="443"/>
      <c r="H17" s="443"/>
      <c r="I17" s="430"/>
      <c r="J17" s="65" t="str">
        <f>Tabele_zaglavlje_Tekuca_godina</f>
        <v>Tekuća godina</v>
      </c>
      <c r="K17" s="66" t="str">
        <f>Tabele_zaglavlje_Prethodna_godina</f>
        <v>Prethodna godina</v>
      </c>
      <c r="M17" s="64"/>
      <c r="O17" s="278" t="s">
        <v>1862</v>
      </c>
    </row>
    <row r="18" spans="2:15" x14ac:dyDescent="0.2">
      <c r="B18" s="67" t="s">
        <v>810</v>
      </c>
      <c r="C18" s="122">
        <v>1</v>
      </c>
      <c r="D18" s="445">
        <v>2</v>
      </c>
      <c r="E18" s="445"/>
      <c r="F18" s="445"/>
      <c r="G18" s="445"/>
      <c r="H18" s="445"/>
      <c r="I18" s="123">
        <v>3</v>
      </c>
      <c r="J18" s="147">
        <v>4</v>
      </c>
      <c r="K18" s="148">
        <v>5</v>
      </c>
    </row>
    <row r="19" spans="2:15" x14ac:dyDescent="0.2">
      <c r="B19" s="74">
        <v>316</v>
      </c>
      <c r="C19" s="125">
        <f>VLOOKUP($B19,Aop!$A$2:$L$403,5,1)</f>
        <v>61</v>
      </c>
      <c r="D19" s="462" t="str">
        <f>VLOOKUP($B19,Aop!$A$2:$L$403,6,1)</f>
        <v>PRIHODI OD PRODAJE UČINAKA (602+605)</v>
      </c>
      <c r="E19" s="462"/>
      <c r="F19" s="462"/>
      <c r="G19" s="462"/>
      <c r="H19" s="462"/>
      <c r="I19" s="139">
        <f>VLOOKUP($B19,Aop!$A$2:$L$403,4,1)</f>
        <v>601</v>
      </c>
      <c r="J19" s="172">
        <f>SUM(J20,J23)</f>
        <v>4862397</v>
      </c>
      <c r="K19" s="173">
        <f>SUM(K20,K23)</f>
        <v>2334546</v>
      </c>
      <c r="O19" s="30"/>
    </row>
    <row r="20" spans="2:15" x14ac:dyDescent="0.2">
      <c r="B20" s="74">
        <v>317</v>
      </c>
      <c r="C20" s="105" t="str">
        <f>VLOOKUP($B20,Aop!$A$2:$L$403,5,1)</f>
        <v>dio 61</v>
      </c>
      <c r="D20" s="455" t="str">
        <f>VLOOKUP($B20,Aop!$A$2:$L$403,6,1)</f>
        <v xml:space="preserve">  a) Prihodi od prodaje proizvoda</v>
      </c>
      <c r="E20" s="455"/>
      <c r="F20" s="455"/>
      <c r="G20" s="455"/>
      <c r="H20" s="455"/>
      <c r="I20" s="106">
        <f>VLOOKUP($B20,Aop!$A$2:$L$403,4,1)</f>
        <v>602</v>
      </c>
      <c r="J20" s="326">
        <v>4858797</v>
      </c>
      <c r="K20" s="327">
        <v>2330946</v>
      </c>
      <c r="O20" s="30"/>
    </row>
    <row r="21" spans="2:15" x14ac:dyDescent="0.2">
      <c r="B21" s="74">
        <v>318</v>
      </c>
      <c r="C21" s="109" t="str">
        <f>VLOOKUP($B21,Aop!$A$2:$L$403,5,1)</f>
        <v>dio 612</v>
      </c>
      <c r="D21" s="457" t="str">
        <f>VLOOKUP($B21,Aop!$A$2:$L$403,6,1)</f>
        <v xml:space="preserve">    Od toga: prihodi od prodaje proizvoda na inostranom tržištu</v>
      </c>
      <c r="E21" s="457"/>
      <c r="F21" s="457"/>
      <c r="G21" s="457"/>
      <c r="H21" s="457"/>
      <c r="I21" s="142">
        <f>VLOOKUP($B21,Aop!$A$2:$L$403,4,1)</f>
        <v>603</v>
      </c>
      <c r="J21" s="328">
        <v>6303</v>
      </c>
      <c r="K21" s="329">
        <v>469</v>
      </c>
      <c r="O21" s="30"/>
    </row>
    <row r="22" spans="2:15" x14ac:dyDescent="0.2">
      <c r="B22" s="74">
        <v>319</v>
      </c>
      <c r="C22" s="105" t="str">
        <f>VLOOKUP($B22,Aop!$A$2:$L$403,5,1)</f>
        <v>dio 611</v>
      </c>
      <c r="D22" s="455" t="str">
        <f>VLOOKUP($B22,Aop!$A$2:$L$403,6,1)</f>
        <v xml:space="preserve">    Prihodi od prodaje proizvoda u drugom entitetu ili Brčko Distriktu BiH</v>
      </c>
      <c r="E22" s="455"/>
      <c r="F22" s="455"/>
      <c r="G22" s="455"/>
      <c r="H22" s="455"/>
      <c r="I22" s="106">
        <f>VLOOKUP($B22,Aop!$A$2:$L$403,4,1)</f>
        <v>604</v>
      </c>
      <c r="J22" s="326"/>
      <c r="K22" s="327"/>
      <c r="O22" s="30"/>
    </row>
    <row r="23" spans="2:15" x14ac:dyDescent="0.2">
      <c r="B23" s="74">
        <v>320</v>
      </c>
      <c r="C23" s="109" t="str">
        <f>VLOOKUP($B23,Aop!$A$2:$L$403,5,1)</f>
        <v>dio 61</v>
      </c>
      <c r="D23" s="457" t="str">
        <f>VLOOKUP($B23,Aop!$A$2:$L$403,6,1)</f>
        <v xml:space="preserve">  b) Prihodi od prodaje usluga</v>
      </c>
      <c r="E23" s="457"/>
      <c r="F23" s="457"/>
      <c r="G23" s="457"/>
      <c r="H23" s="457"/>
      <c r="I23" s="142">
        <f>VLOOKUP($B23,Aop!$A$2:$L$403,4,1)</f>
        <v>605</v>
      </c>
      <c r="J23" s="328">
        <v>3600</v>
      </c>
      <c r="K23" s="329">
        <v>3600</v>
      </c>
      <c r="O23" s="30"/>
    </row>
    <row r="24" spans="2:15" x14ac:dyDescent="0.2">
      <c r="B24" s="74">
        <v>321</v>
      </c>
      <c r="C24" s="105" t="str">
        <f>VLOOKUP($B24,Aop!$A$2:$L$403,5,1)</f>
        <v>dio 612</v>
      </c>
      <c r="D24" s="455" t="str">
        <f>VLOOKUP($B24,Aop!$A$2:$L$403,6,1)</f>
        <v xml:space="preserve">    Od toga: prihodi od prodaje (pružanja) usluga na inostranom tržištu</v>
      </c>
      <c r="E24" s="455"/>
      <c r="F24" s="455"/>
      <c r="G24" s="455"/>
      <c r="H24" s="455"/>
      <c r="I24" s="106">
        <f>VLOOKUP($B24,Aop!$A$2:$L$403,4,1)</f>
        <v>606</v>
      </c>
      <c r="J24" s="326"/>
      <c r="K24" s="327"/>
      <c r="O24" s="30"/>
    </row>
    <row r="25" spans="2:15" x14ac:dyDescent="0.2">
      <c r="B25" s="74">
        <v>322</v>
      </c>
      <c r="C25" s="109" t="str">
        <f>VLOOKUP($B25,Aop!$A$2:$L$403,5,1)</f>
        <v>dio 611</v>
      </c>
      <c r="D25" s="457" t="str">
        <f>VLOOKUP($B25,Aop!$A$2:$L$403,6,1)</f>
        <v xml:space="preserve">    Prihodi od prodaje (pružanja) usluga u drugom entitetu ili Brčko Distriktu BiH</v>
      </c>
      <c r="E25" s="457"/>
      <c r="F25" s="457"/>
      <c r="G25" s="457"/>
      <c r="H25" s="457"/>
      <c r="I25" s="142">
        <f>VLOOKUP($B25,Aop!$A$2:$L$403,4,1)</f>
        <v>607</v>
      </c>
      <c r="J25" s="328"/>
      <c r="K25" s="329"/>
      <c r="O25" s="30"/>
    </row>
    <row r="26" spans="2:15" x14ac:dyDescent="0.2">
      <c r="B26" s="74">
        <v>323</v>
      </c>
      <c r="C26" s="105">
        <f>VLOOKUP($B26,Aop!$A$2:$L$403,5,1)</f>
        <v>65</v>
      </c>
      <c r="D26" s="463" t="str">
        <f>VLOOKUP($B26,Aop!$A$2:$L$403,6,1)</f>
        <v>OSTALI POSLOVNI PRIHODI (609+612+613+614+ 615+616+617)</v>
      </c>
      <c r="E26" s="463"/>
      <c r="F26" s="463"/>
      <c r="G26" s="463"/>
      <c r="H26" s="463"/>
      <c r="I26" s="106">
        <f>VLOOKUP($B26,Aop!$A$2:$L$403,4,1)</f>
        <v>608</v>
      </c>
      <c r="J26" s="174">
        <f>SUM(J27,J30:J35,)</f>
        <v>41002</v>
      </c>
      <c r="K26" s="175">
        <f>SUM(K27,K30:K35,)</f>
        <v>4439</v>
      </c>
      <c r="O26" s="30"/>
    </row>
    <row r="27" spans="2:15" ht="25.5" x14ac:dyDescent="0.2">
      <c r="B27" s="74">
        <v>324</v>
      </c>
      <c r="C27" s="109">
        <f>VLOOKUP($B27,Aop!$A$2:$L$403,5,1)</f>
        <v>650</v>
      </c>
      <c r="D27" s="457" t="str">
        <f>VLOOKUP($B27,Aop!$A$2:$L$403,6,1)</f>
        <v xml:space="preserve">  a) Prihodi od premija, subvencija, dotacija, regresa, kompenzacija i povraćaja poreskih dažbina</v>
      </c>
      <c r="E27" s="457"/>
      <c r="F27" s="457"/>
      <c r="G27" s="457"/>
      <c r="H27" s="457"/>
      <c r="I27" s="142">
        <f>VLOOKUP($B27,Aop!$A$2:$L$403,4,1)</f>
        <v>609</v>
      </c>
      <c r="J27" s="115"/>
      <c r="K27" s="116"/>
      <c r="O27" s="277" t="s">
        <v>1484</v>
      </c>
    </row>
    <row r="28" spans="2:15" ht="25.5" x14ac:dyDescent="0.2">
      <c r="B28" s="74">
        <v>325</v>
      </c>
      <c r="C28" s="105" t="str">
        <f>VLOOKUP($B28,Aop!$A$2:$L$403,5,1)</f>
        <v>dio 650</v>
      </c>
      <c r="D28" s="455" t="str">
        <f>VLOOKUP($B28,Aop!$A$2:$L$403,6,1)</f>
        <v xml:space="preserve">    Od toga: prihodi po osnovu subvencija na proizvode (subvencije koje se mogu prikazati po jedinici proizvoda, npr. vozna karta, brašno, hljeb, mlijeko i dr.)</v>
      </c>
      <c r="E28" s="455"/>
      <c r="F28" s="455"/>
      <c r="G28" s="455"/>
      <c r="H28" s="455"/>
      <c r="I28" s="106">
        <f>VLOOKUP($B28,Aop!$A$2:$L$403,4,1)</f>
        <v>610</v>
      </c>
      <c r="J28" s="168"/>
      <c r="K28" s="169"/>
      <c r="O28" s="277" t="s">
        <v>1484</v>
      </c>
    </row>
    <row r="29" spans="2:15" ht="25.5" x14ac:dyDescent="0.2">
      <c r="B29" s="74">
        <v>326</v>
      </c>
      <c r="C29" s="109" t="str">
        <f>VLOOKUP($B29,Aop!$A$2:$L$403,5,1)</f>
        <v>dio 650</v>
      </c>
      <c r="D29" s="457" t="str">
        <f>VLOOKUP($B29,Aop!$A$2:$L$403,6,1)</f>
        <v xml:space="preserve">    prihodi po osnovu subvencija na proizvodnju (na zapošljavanje, platu, kamatnu stopu, za smanjenje zagađenja i dr.)</v>
      </c>
      <c r="E29" s="457"/>
      <c r="F29" s="457"/>
      <c r="G29" s="457"/>
      <c r="H29" s="457"/>
      <c r="I29" s="142">
        <f>VLOOKUP($B29,Aop!$A$2:$L$403,4,1)</f>
        <v>611</v>
      </c>
      <c r="J29" s="115"/>
      <c r="K29" s="116"/>
      <c r="O29" s="277" t="s">
        <v>1484</v>
      </c>
    </row>
    <row r="30" spans="2:15" x14ac:dyDescent="0.2">
      <c r="B30" s="74">
        <v>327</v>
      </c>
      <c r="C30" s="105">
        <f>VLOOKUP($B30,Aop!$A$2:$L$403,5,1)</f>
        <v>651</v>
      </c>
      <c r="D30" s="455" t="str">
        <f>VLOOKUP($B30,Aop!$A$2:$L$403,6,1)</f>
        <v xml:space="preserve">  b) Prihod od zakupnina</v>
      </c>
      <c r="E30" s="455"/>
      <c r="F30" s="455"/>
      <c r="G30" s="455"/>
      <c r="H30" s="455"/>
      <c r="I30" s="106">
        <f>VLOOKUP($B30,Aop!$A$2:$L$403,4,1)</f>
        <v>612</v>
      </c>
      <c r="J30" s="113"/>
      <c r="K30" s="114"/>
      <c r="O30" s="30"/>
    </row>
    <row r="31" spans="2:15" x14ac:dyDescent="0.2">
      <c r="B31" s="74">
        <v>328</v>
      </c>
      <c r="C31" s="109">
        <f>VLOOKUP($B31,Aop!$A$2:$L$403,5,1)</f>
        <v>652</v>
      </c>
      <c r="D31" s="457" t="str">
        <f>VLOOKUP($B31,Aop!$A$2:$L$403,6,1)</f>
        <v xml:space="preserve">  c) Prihod od donacija</v>
      </c>
      <c r="E31" s="457"/>
      <c r="F31" s="457"/>
      <c r="G31" s="457"/>
      <c r="H31" s="457"/>
      <c r="I31" s="142">
        <f>VLOOKUP($B31,Aop!$A$2:$L$403,4,1)</f>
        <v>613</v>
      </c>
      <c r="J31" s="115"/>
      <c r="K31" s="116"/>
      <c r="O31" s="30"/>
    </row>
    <row r="32" spans="2:15" x14ac:dyDescent="0.2">
      <c r="B32" s="74">
        <v>329</v>
      </c>
      <c r="C32" s="105">
        <f>VLOOKUP($B32,Aop!$A$2:$L$403,5,1)</f>
        <v>653</v>
      </c>
      <c r="D32" s="455" t="str">
        <f>VLOOKUP($B32,Aop!$A$2:$L$403,6,1)</f>
        <v xml:space="preserve">  d) Prihod od članarina</v>
      </c>
      <c r="E32" s="455"/>
      <c r="F32" s="455"/>
      <c r="G32" s="455"/>
      <c r="H32" s="455"/>
      <c r="I32" s="106">
        <f>VLOOKUP($B32,Aop!$A$2:$L$403,4,1)</f>
        <v>614</v>
      </c>
      <c r="J32" s="113"/>
      <c r="K32" s="114"/>
      <c r="O32" s="30"/>
    </row>
    <row r="33" spans="2:15" x14ac:dyDescent="0.2">
      <c r="B33" s="74">
        <v>330</v>
      </c>
      <c r="C33" s="109">
        <f>VLOOKUP($B33,Aop!$A$2:$L$403,5,1)</f>
        <v>654</v>
      </c>
      <c r="D33" s="457" t="str">
        <f>VLOOKUP($B33,Aop!$A$2:$L$403,6,1)</f>
        <v xml:space="preserve">  e) Prihod od tantijema i licenciranih prava</v>
      </c>
      <c r="E33" s="457"/>
      <c r="F33" s="457"/>
      <c r="G33" s="457"/>
      <c r="H33" s="457"/>
      <c r="I33" s="142">
        <f>VLOOKUP($B33,Aop!$A$2:$L$403,4,1)</f>
        <v>615</v>
      </c>
      <c r="J33" s="115"/>
      <c r="K33" s="116"/>
      <c r="O33" s="30"/>
    </row>
    <row r="34" spans="2:15" x14ac:dyDescent="0.2">
      <c r="B34" s="74">
        <v>331</v>
      </c>
      <c r="C34" s="105">
        <f>VLOOKUP($B34,Aop!$A$2:$L$403,5,1)</f>
        <v>655</v>
      </c>
      <c r="D34" s="455" t="str">
        <f>VLOOKUP($B34,Aop!$A$2:$L$403,6,1)</f>
        <v xml:space="preserve">  f) Prihod iz namjenskih izvora finansiranja (iz budžeta, fondova i dr.)</v>
      </c>
      <c r="E34" s="455"/>
      <c r="F34" s="455"/>
      <c r="G34" s="455"/>
      <c r="H34" s="455"/>
      <c r="I34" s="106">
        <f>VLOOKUP($B34,Aop!$A$2:$L$403,4,1)</f>
        <v>616</v>
      </c>
      <c r="J34" s="113">
        <v>41002</v>
      </c>
      <c r="K34" s="114">
        <v>4439</v>
      </c>
      <c r="O34" s="30"/>
    </row>
    <row r="35" spans="2:15" x14ac:dyDescent="0.2">
      <c r="B35" s="74">
        <v>332</v>
      </c>
      <c r="C35" s="109">
        <f>VLOOKUP($B35,Aop!$A$2:$L$403,5,1)</f>
        <v>659</v>
      </c>
      <c r="D35" s="457" t="str">
        <f>VLOOKUP($B35,Aop!$A$2:$L$403,6,1)</f>
        <v xml:space="preserve">  g) Ostali poslovni prihodi po drugim osnovima</v>
      </c>
      <c r="E35" s="457"/>
      <c r="F35" s="457"/>
      <c r="G35" s="457"/>
      <c r="H35" s="457"/>
      <c r="I35" s="142">
        <f>VLOOKUP($B35,Aop!$A$2:$L$403,4,1)</f>
        <v>617</v>
      </c>
      <c r="J35" s="170"/>
      <c r="K35" s="171"/>
      <c r="O35" s="30"/>
    </row>
    <row r="36" spans="2:15" x14ac:dyDescent="0.2">
      <c r="B36" s="74">
        <v>333</v>
      </c>
      <c r="C36" s="105" t="str">
        <f>VLOOKUP($B36,Aop!$A$2:$L$403,5,1)</f>
        <v>66 i 67</v>
      </c>
      <c r="D36" s="463" t="str">
        <f>VLOOKUP($B36,Aop!$A$2:$L$403,6,1)</f>
        <v>FINANSIJSKI I OSTALI PRIHODI</v>
      </c>
      <c r="E36" s="463"/>
      <c r="F36" s="463"/>
      <c r="G36" s="463"/>
      <c r="H36" s="463"/>
      <c r="I36" s="106">
        <f>VLOOKUP($B36,Aop!$A$2:$L$403,4,1)</f>
        <v>618</v>
      </c>
      <c r="J36" s="168">
        <v>17589</v>
      </c>
      <c r="K36" s="169">
        <v>530258</v>
      </c>
      <c r="O36" s="30"/>
    </row>
    <row r="37" spans="2:15" x14ac:dyDescent="0.2">
      <c r="B37" s="74">
        <v>334</v>
      </c>
      <c r="C37" s="109" t="str">
        <f>VLOOKUP($B37,Aop!$A$2:$L$403,5,1)</f>
        <v>dio 660</v>
      </c>
      <c r="D37" s="457" t="str">
        <f>VLOOKUP($B37,Aop!$A$2:$L$403,6,1)</f>
        <v xml:space="preserve">  Od toga: prihodi od učešća u dobiti (dividendi)</v>
      </c>
      <c r="E37" s="457"/>
      <c r="F37" s="457"/>
      <c r="G37" s="457"/>
      <c r="H37" s="457"/>
      <c r="I37" s="142">
        <f>VLOOKUP($B37,Aop!$A$2:$L$403,4,1)</f>
        <v>619</v>
      </c>
      <c r="J37" s="115"/>
      <c r="K37" s="116"/>
      <c r="O37" s="30"/>
    </row>
    <row r="38" spans="2:15" x14ac:dyDescent="0.2">
      <c r="B38" s="74">
        <v>335</v>
      </c>
      <c r="C38" s="105" t="str">
        <f>VLOOKUP($B38,Aop!$A$2:$L$403,5,1)</f>
        <v>dio 670</v>
      </c>
      <c r="D38" s="455" t="str">
        <f>VLOOKUP($B38,Aop!$A$2:$L$403,6,1)</f>
        <v xml:space="preserve">  Dobici na osnovu prodaje nekretnina, postrojenja i opreme</v>
      </c>
      <c r="E38" s="455"/>
      <c r="F38" s="455"/>
      <c r="G38" s="455"/>
      <c r="H38" s="455"/>
      <c r="I38" s="106">
        <f>VLOOKUP($B38,Aop!$A$2:$L$403,4,1)</f>
        <v>620</v>
      </c>
      <c r="J38" s="113"/>
      <c r="K38" s="114">
        <v>194621</v>
      </c>
      <c r="O38" s="30"/>
    </row>
    <row r="39" spans="2:15" x14ac:dyDescent="0.2">
      <c r="B39" s="74">
        <v>336</v>
      </c>
      <c r="C39" s="109">
        <f>VLOOKUP($B39,Aop!$A$2:$L$403,5,1)</f>
        <v>678</v>
      </c>
      <c r="D39" s="457" t="str">
        <f>VLOOKUP($B39,Aop!$A$2:$L$403,6,1)</f>
        <v xml:space="preserve">  Prihodi na osnovu ugovorene zaštite od rizika</v>
      </c>
      <c r="E39" s="457"/>
      <c r="F39" s="457"/>
      <c r="G39" s="457"/>
      <c r="H39" s="457"/>
      <c r="I39" s="142">
        <f>VLOOKUP($B39,Aop!$A$2:$L$403,4,1)</f>
        <v>621</v>
      </c>
      <c r="J39" s="115"/>
      <c r="K39" s="116"/>
      <c r="O39" s="30"/>
    </row>
    <row r="40" spans="2:15" x14ac:dyDescent="0.2">
      <c r="B40" s="74">
        <v>337</v>
      </c>
      <c r="C40" s="105">
        <f>VLOOKUP($B40,Aop!$A$2:$L$403,5,1)</f>
        <v>51</v>
      </c>
      <c r="D40" s="463" t="str">
        <f>VLOOKUP($B40,Aop!$A$2:$L$403,6,1)</f>
        <v>TROŠKOVI MATERIJALA</v>
      </c>
      <c r="E40" s="463"/>
      <c r="F40" s="463"/>
      <c r="G40" s="463"/>
      <c r="H40" s="463"/>
      <c r="I40" s="106">
        <f>VLOOKUP($B40,Aop!$A$2:$L$403,4,1)</f>
        <v>622</v>
      </c>
      <c r="J40" s="326">
        <v>450928</v>
      </c>
      <c r="K40" s="327">
        <v>364608</v>
      </c>
      <c r="O40" s="30"/>
    </row>
    <row r="41" spans="2:15" x14ac:dyDescent="0.2">
      <c r="B41" s="74">
        <v>338</v>
      </c>
      <c r="C41" s="109">
        <f>VLOOKUP($B41,Aop!$A$2:$L$403,5,1)</f>
        <v>513</v>
      </c>
      <c r="D41" s="457" t="str">
        <f>VLOOKUP($B41,Aop!$A$2:$L$403,6,1)</f>
        <v xml:space="preserve">    Od toga: troškovi goriva i energije</v>
      </c>
      <c r="E41" s="457"/>
      <c r="F41" s="457"/>
      <c r="G41" s="457"/>
      <c r="H41" s="457"/>
      <c r="I41" s="142">
        <f>VLOOKUP($B41,Aop!$A$2:$L$403,4,1)</f>
        <v>623</v>
      </c>
      <c r="J41" s="115">
        <v>383722</v>
      </c>
      <c r="K41" s="116">
        <v>246370</v>
      </c>
      <c r="O41" s="30"/>
    </row>
    <row r="42" spans="2:15" x14ac:dyDescent="0.2">
      <c r="B42" s="74">
        <v>339</v>
      </c>
      <c r="C42" s="105">
        <f>VLOOKUP($B42,Aop!$A$2:$L$403,5,1)</f>
        <v>52</v>
      </c>
      <c r="D42" s="463" t="str">
        <f>VLOOKUP($B42,Aop!$A$2:$L$403,6,1)</f>
        <v>TROŠKOVI ZARADA, NAKNADA ZARADA I OSTALIH LIČNIH RASHODA</v>
      </c>
      <c r="E42" s="463"/>
      <c r="F42" s="463"/>
      <c r="G42" s="463"/>
      <c r="H42" s="463"/>
      <c r="I42" s="106">
        <f>VLOOKUP($B42,Aop!$A$2:$L$403,4,1)</f>
        <v>624</v>
      </c>
      <c r="J42" s="326">
        <v>551320</v>
      </c>
      <c r="K42" s="327">
        <v>576547</v>
      </c>
      <c r="O42" s="30"/>
    </row>
    <row r="43" spans="2:15" ht="25.5" x14ac:dyDescent="0.2">
      <c r="B43" s="74">
        <v>340</v>
      </c>
      <c r="C43" s="109">
        <f>VLOOKUP($B43,Aop!$A$2:$L$403,5,1)</f>
        <v>522</v>
      </c>
      <c r="D43" s="457" t="str">
        <f>VLOOKUP($B43,Aop!$A$2:$L$403,6,1)</f>
        <v xml:space="preserve">  Od toga: troškovi bruto naknada članovima upravnog i nadzornog odbora</v>
      </c>
      <c r="E43" s="457"/>
      <c r="F43" s="457"/>
      <c r="G43" s="457"/>
      <c r="H43" s="457"/>
      <c r="I43" s="142">
        <f>VLOOKUP($B43,Aop!$A$2:$L$403,4,1)</f>
        <v>625</v>
      </c>
      <c r="J43" s="115"/>
      <c r="K43" s="116"/>
      <c r="O43" s="277" t="s">
        <v>1484</v>
      </c>
    </row>
    <row r="44" spans="2:15" x14ac:dyDescent="0.2">
      <c r="B44" s="74">
        <v>341</v>
      </c>
      <c r="C44" s="105" t="str">
        <f>VLOOKUP($B44,Aop!$A$2:$L$403,5,1)</f>
        <v>dio 529</v>
      </c>
      <c r="D44" s="455" t="str">
        <f>VLOOKUP($B44,Aop!$A$2:$L$403,6,1)</f>
        <v xml:space="preserve">  Troškovi dnevnica na službenom putu</v>
      </c>
      <c r="E44" s="455"/>
      <c r="F44" s="455"/>
      <c r="G44" s="455"/>
      <c r="H44" s="455"/>
      <c r="I44" s="106">
        <f>VLOOKUP($B44,Aop!$A$2:$L$403,4,1)</f>
        <v>626</v>
      </c>
      <c r="J44" s="113">
        <v>176</v>
      </c>
      <c r="K44" s="114">
        <v>460</v>
      </c>
      <c r="O44" s="30"/>
    </row>
    <row r="45" spans="2:15" x14ac:dyDescent="0.2">
      <c r="B45" s="74">
        <v>342</v>
      </c>
      <c r="C45" s="109" t="str">
        <f>VLOOKUP($B45,Aop!$A$2:$L$403,5,1)</f>
        <v>dio 529</v>
      </c>
      <c r="D45" s="457" t="str">
        <f>VLOOKUP($B45,Aop!$A$2:$L$403,6,1)</f>
        <v xml:space="preserve">  Troškovi smještaja, ishrane i prevoza na službenom putu</v>
      </c>
      <c r="E45" s="457"/>
      <c r="F45" s="457"/>
      <c r="G45" s="457"/>
      <c r="H45" s="457"/>
      <c r="I45" s="142">
        <f>VLOOKUP($B45,Aop!$A$2:$L$403,4,1)</f>
        <v>627</v>
      </c>
      <c r="J45" s="115">
        <v>155</v>
      </c>
      <c r="K45" s="116">
        <v>1371</v>
      </c>
      <c r="O45" s="96"/>
    </row>
    <row r="46" spans="2:15" x14ac:dyDescent="0.2">
      <c r="B46" s="74">
        <v>343</v>
      </c>
      <c r="C46" s="105">
        <f>VLOOKUP($B46,Aop!$A$2:$L$403,5,1)</f>
        <v>53</v>
      </c>
      <c r="D46" s="463" t="str">
        <f>VLOOKUP($B46,Aop!$A$2:$L$403,6,1)</f>
        <v>TROŠKOVI PROIZVODNIH USLUGA (629+630+631+632+633+634+635+636)</v>
      </c>
      <c r="E46" s="463"/>
      <c r="F46" s="463"/>
      <c r="G46" s="463"/>
      <c r="H46" s="463"/>
      <c r="I46" s="106">
        <f>VLOOKUP($B46,Aop!$A$2:$L$403,4,1)</f>
        <v>628</v>
      </c>
      <c r="J46" s="174">
        <f>SUM(J47:J54)</f>
        <v>2042992</v>
      </c>
      <c r="K46" s="175">
        <f>SUM(K47:K54)</f>
        <v>1049868</v>
      </c>
      <c r="O46" s="30"/>
    </row>
    <row r="47" spans="2:15" x14ac:dyDescent="0.2">
      <c r="B47" s="74">
        <v>344</v>
      </c>
      <c r="C47" s="109">
        <f>VLOOKUP($B47,Aop!$A$2:$L$403,5,1)</f>
        <v>530</v>
      </c>
      <c r="D47" s="457" t="str">
        <f>VLOOKUP($B47,Aop!$A$2:$L$403,6,1)</f>
        <v xml:space="preserve">  a) Troškovi usluga na izradi učinaka</v>
      </c>
      <c r="E47" s="457"/>
      <c r="F47" s="457"/>
      <c r="G47" s="457"/>
      <c r="H47" s="457"/>
      <c r="I47" s="142">
        <f>VLOOKUP($B47,Aop!$A$2:$L$403,4,1)</f>
        <v>629</v>
      </c>
      <c r="J47" s="115">
        <v>801798</v>
      </c>
      <c r="K47" s="116">
        <v>671763</v>
      </c>
      <c r="O47" s="30"/>
    </row>
    <row r="48" spans="2:15" x14ac:dyDescent="0.2">
      <c r="B48" s="74">
        <v>345</v>
      </c>
      <c r="C48" s="105">
        <f>VLOOKUP($B48,Aop!$A$2:$L$403,5,1)</f>
        <v>531</v>
      </c>
      <c r="D48" s="455" t="str">
        <f>VLOOKUP($B48,Aop!$A$2:$L$403,6,1)</f>
        <v xml:space="preserve">  b) Troškovi transportnih usluga</v>
      </c>
      <c r="E48" s="455"/>
      <c r="F48" s="455"/>
      <c r="G48" s="455"/>
      <c r="H48" s="455"/>
      <c r="I48" s="106">
        <f>VLOOKUP($B48,Aop!$A$2:$L$403,4,1)</f>
        <v>630</v>
      </c>
      <c r="J48" s="113">
        <v>997870</v>
      </c>
      <c r="K48" s="114">
        <v>187466</v>
      </c>
      <c r="O48" s="30"/>
    </row>
    <row r="49" spans="2:15" x14ac:dyDescent="0.2">
      <c r="B49" s="74">
        <v>346</v>
      </c>
      <c r="C49" s="109" t="str">
        <f>VLOOKUP($B49,Aop!$A$2:$L$403,5,1)</f>
        <v>dio 532</v>
      </c>
      <c r="D49" s="457" t="str">
        <f>VLOOKUP($B49,Aop!$A$2:$L$403,6,1)</f>
        <v xml:space="preserve">  c) Troškovi za usluge tekućeg održavanja osnovnih sredstava</v>
      </c>
      <c r="E49" s="457"/>
      <c r="F49" s="457"/>
      <c r="G49" s="457"/>
      <c r="H49" s="457"/>
      <c r="I49" s="142">
        <f>VLOOKUP($B49,Aop!$A$2:$L$403,4,1)</f>
        <v>631</v>
      </c>
      <c r="J49" s="115">
        <v>28572</v>
      </c>
      <c r="K49" s="116">
        <v>22778</v>
      </c>
      <c r="O49" s="30"/>
    </row>
    <row r="50" spans="2:15" x14ac:dyDescent="0.2">
      <c r="B50" s="74">
        <v>347</v>
      </c>
      <c r="C50" s="105" t="str">
        <f>VLOOKUP($B50,Aop!$A$2:$L$403,5,1)</f>
        <v>dio 532</v>
      </c>
      <c r="D50" s="455" t="str">
        <f>VLOOKUP($B50,Aop!$A$2:$L$403,6,1)</f>
        <v xml:space="preserve">  d) Troškovi za usluge investicionog održavanja osnovnih sredstava</v>
      </c>
      <c r="E50" s="455"/>
      <c r="F50" s="455"/>
      <c r="G50" s="455"/>
      <c r="H50" s="455"/>
      <c r="I50" s="106">
        <f>VLOOKUP($B50,Aop!$A$2:$L$403,4,1)</f>
        <v>632</v>
      </c>
      <c r="J50" s="113"/>
      <c r="K50" s="114"/>
      <c r="O50" s="30"/>
    </row>
    <row r="51" spans="2:15" x14ac:dyDescent="0.2">
      <c r="B51" s="74">
        <v>348</v>
      </c>
      <c r="C51" s="109">
        <f>VLOOKUP($B51,Aop!$A$2:$L$403,5,1)</f>
        <v>533</v>
      </c>
      <c r="D51" s="457" t="str">
        <f>VLOOKUP($B51,Aop!$A$2:$L$403,6,1)</f>
        <v xml:space="preserve">  e) Troškovi zakupa</v>
      </c>
      <c r="E51" s="457"/>
      <c r="F51" s="457"/>
      <c r="G51" s="457"/>
      <c r="H51" s="457"/>
      <c r="I51" s="142">
        <f>VLOOKUP($B51,Aop!$A$2:$L$403,4,1)</f>
        <v>633</v>
      </c>
      <c r="J51" s="115"/>
      <c r="K51" s="116">
        <v>305</v>
      </c>
      <c r="O51" s="30"/>
    </row>
    <row r="52" spans="2:15" x14ac:dyDescent="0.2">
      <c r="B52" s="74">
        <v>349</v>
      </c>
      <c r="C52" s="105" t="str">
        <f>VLOOKUP($B52,Aop!$A$2:$L$403,5,1)</f>
        <v>534 i 535</v>
      </c>
      <c r="D52" s="455" t="str">
        <f>VLOOKUP($B52,Aop!$A$2:$L$403,6,1)</f>
        <v xml:space="preserve">  f) Troškovi sajmova, reklame i propagande</v>
      </c>
      <c r="E52" s="455"/>
      <c r="F52" s="455"/>
      <c r="G52" s="455"/>
      <c r="H52" s="455"/>
      <c r="I52" s="106">
        <f>VLOOKUP($B52,Aop!$A$2:$L$403,4,1)</f>
        <v>634</v>
      </c>
      <c r="J52" s="113">
        <v>1148</v>
      </c>
      <c r="K52" s="114">
        <v>100</v>
      </c>
      <c r="O52" s="30"/>
    </row>
    <row r="53" spans="2:15" x14ac:dyDescent="0.2">
      <c r="B53" s="74">
        <v>350</v>
      </c>
      <c r="C53" s="109" t="str">
        <f>VLOOKUP($B53,Aop!$A$2:$L$403,5,1)</f>
        <v>536 i 537</v>
      </c>
      <c r="D53" s="457" t="str">
        <f>VLOOKUP($B53,Aop!$A$2:$L$403,6,1)</f>
        <v xml:space="preserve">  g) Troškovi istraživanja i troškovi razvoja koji se ne kapitalizuju</v>
      </c>
      <c r="E53" s="457"/>
      <c r="F53" s="457"/>
      <c r="G53" s="457"/>
      <c r="H53" s="457"/>
      <c r="I53" s="142">
        <f>VLOOKUP($B53,Aop!$A$2:$L$403,4,1)</f>
        <v>635</v>
      </c>
      <c r="J53" s="115">
        <v>202983</v>
      </c>
      <c r="K53" s="116">
        <v>161439</v>
      </c>
      <c r="O53" s="30"/>
    </row>
    <row r="54" spans="2:15" x14ac:dyDescent="0.2">
      <c r="B54" s="74">
        <v>351</v>
      </c>
      <c r="C54" s="105">
        <f>VLOOKUP($B54,Aop!$A$2:$L$403,5,1)</f>
        <v>539</v>
      </c>
      <c r="D54" s="455" t="str">
        <f>VLOOKUP($B54,Aop!$A$2:$L$403,6,1)</f>
        <v xml:space="preserve">  h) Troškovi ostalih usluga</v>
      </c>
      <c r="E54" s="455"/>
      <c r="F54" s="455"/>
      <c r="G54" s="455"/>
      <c r="H54" s="455"/>
      <c r="I54" s="106">
        <f>VLOOKUP($B54,Aop!$A$2:$L$403,4,1)</f>
        <v>636</v>
      </c>
      <c r="J54" s="113">
        <v>10621</v>
      </c>
      <c r="K54" s="114">
        <v>6017</v>
      </c>
      <c r="O54" s="30"/>
    </row>
    <row r="55" spans="2:15" x14ac:dyDescent="0.2">
      <c r="B55" s="74">
        <v>352</v>
      </c>
      <c r="C55" s="109" t="str">
        <f>VLOOKUP($B55,Aop!$A$2:$L$403,5,1)</f>
        <v>dio 539</v>
      </c>
      <c r="D55" s="457" t="str">
        <f>VLOOKUP($B55,Aop!$A$2:$L$403,6,1)</f>
        <v xml:space="preserve">    Od toga: proizvodne usluge po ugovoru o povremenim i privremenim poslovima</v>
      </c>
      <c r="E55" s="457"/>
      <c r="F55" s="457"/>
      <c r="G55" s="457"/>
      <c r="H55" s="457"/>
      <c r="I55" s="142">
        <f>VLOOKUP($B55,Aop!$A$2:$L$403,4,1)</f>
        <v>637</v>
      </c>
      <c r="J55" s="115"/>
      <c r="K55" s="116"/>
      <c r="O55" s="30"/>
    </row>
    <row r="56" spans="2:15" x14ac:dyDescent="0.2">
      <c r="B56" s="74">
        <v>353</v>
      </c>
      <c r="C56" s="105" t="str">
        <f>VLOOKUP($B56,Aop!$A$2:$L$403,5,1)</f>
        <v>dio 539</v>
      </c>
      <c r="D56" s="455" t="str">
        <f>VLOOKUP($B56,Aop!$A$2:$L$403,6,1)</f>
        <v xml:space="preserve">    Naknada za autorska djela koja čine proizvodne usluge</v>
      </c>
      <c r="E56" s="455"/>
      <c r="F56" s="455"/>
      <c r="G56" s="455"/>
      <c r="H56" s="455"/>
      <c r="I56" s="106">
        <f>VLOOKUP($B56,Aop!$A$2:$L$403,4,1)</f>
        <v>638</v>
      </c>
      <c r="J56" s="113"/>
      <c r="K56" s="114"/>
      <c r="O56" s="30"/>
    </row>
    <row r="57" spans="2:15" x14ac:dyDescent="0.2">
      <c r="B57" s="74">
        <v>354</v>
      </c>
      <c r="C57" s="109">
        <f>VLOOKUP($B57,Aop!$A$2:$L$403,5,1)</f>
        <v>55</v>
      </c>
      <c r="D57" s="461" t="str">
        <f>VLOOKUP($B57,Aop!$A$2:$L$403,6,1)</f>
        <v>NEMATERIJALNI TROŠKOVI (640+642+643+644+645+646+647+648)</v>
      </c>
      <c r="E57" s="461"/>
      <c r="F57" s="461"/>
      <c r="G57" s="461"/>
      <c r="H57" s="461"/>
      <c r="I57" s="142">
        <f>VLOOKUP($B57,Aop!$A$2:$L$403,4,1)</f>
        <v>639</v>
      </c>
      <c r="J57" s="176">
        <f>SUM(J58,J60:J66)</f>
        <v>367416</v>
      </c>
      <c r="K57" s="177">
        <f>SUM(K58,K60:K66)</f>
        <v>471175</v>
      </c>
      <c r="O57" s="30"/>
    </row>
    <row r="58" spans="2:15" x14ac:dyDescent="0.2">
      <c r="B58" s="74">
        <v>355</v>
      </c>
      <c r="C58" s="105">
        <f>VLOOKUP($B58,Aop!$A$2:$L$403,5,1)</f>
        <v>550</v>
      </c>
      <c r="D58" s="455" t="str">
        <f>VLOOKUP($B58,Aop!$A$2:$L$403,6,1)</f>
        <v xml:space="preserve">  Troškovi neproizvodnih usluga</v>
      </c>
      <c r="E58" s="455"/>
      <c r="F58" s="455"/>
      <c r="G58" s="455"/>
      <c r="H58" s="455"/>
      <c r="I58" s="106">
        <f>VLOOKUP($B58,Aop!$A$2:$L$403,4,1)</f>
        <v>640</v>
      </c>
      <c r="J58" s="113">
        <v>90789</v>
      </c>
      <c r="K58" s="114">
        <v>119953</v>
      </c>
      <c r="O58" s="30"/>
    </row>
    <row r="59" spans="2:15" x14ac:dyDescent="0.2">
      <c r="B59" s="74">
        <v>356</v>
      </c>
      <c r="C59" s="109" t="str">
        <f>VLOOKUP($B59,Aop!$A$2:$L$403,5,1)</f>
        <v>dio 550</v>
      </c>
      <c r="D59" s="457" t="str">
        <f>VLOOKUP($B59,Aop!$A$2:$L$403,6,1)</f>
        <v xml:space="preserve">    Od toga: troškovi stručnog obrazovanja i usavršavanja zaposlenih</v>
      </c>
      <c r="E59" s="457"/>
      <c r="F59" s="457"/>
      <c r="G59" s="457"/>
      <c r="H59" s="457"/>
      <c r="I59" s="142">
        <f>VLOOKUP($B59,Aop!$A$2:$L$403,4,1)</f>
        <v>641</v>
      </c>
      <c r="J59" s="115">
        <v>1245</v>
      </c>
      <c r="K59" s="116">
        <v>2090</v>
      </c>
      <c r="O59" s="30"/>
    </row>
    <row r="60" spans="2:15" x14ac:dyDescent="0.2">
      <c r="B60" s="74">
        <v>357</v>
      </c>
      <c r="C60" s="105">
        <f>VLOOKUP($B60,Aop!$A$2:$L$403,5,1)</f>
        <v>551</v>
      </c>
      <c r="D60" s="455" t="str">
        <f>VLOOKUP($B60,Aop!$A$2:$L$403,6,1)</f>
        <v xml:space="preserve">  Troškovi reprezentacije</v>
      </c>
      <c r="E60" s="455"/>
      <c r="F60" s="455"/>
      <c r="G60" s="455"/>
      <c r="H60" s="455"/>
      <c r="I60" s="106">
        <f>VLOOKUP($B60,Aop!$A$2:$L$403,4,1)</f>
        <v>642</v>
      </c>
      <c r="J60" s="113">
        <v>6785</v>
      </c>
      <c r="K60" s="114">
        <v>6964</v>
      </c>
      <c r="O60" s="30"/>
    </row>
    <row r="61" spans="2:15" x14ac:dyDescent="0.2">
      <c r="B61" s="74">
        <v>358</v>
      </c>
      <c r="C61" s="109">
        <f>VLOOKUP($B61,Aop!$A$2:$L$403,5,1)</f>
        <v>552</v>
      </c>
      <c r="D61" s="457" t="str">
        <f>VLOOKUP($B61,Aop!$A$2:$L$403,6,1)</f>
        <v xml:space="preserve">  Troškovi premije osiguranja</v>
      </c>
      <c r="E61" s="457"/>
      <c r="F61" s="457"/>
      <c r="G61" s="457"/>
      <c r="H61" s="457"/>
      <c r="I61" s="142">
        <f>VLOOKUP($B61,Aop!$A$2:$L$403,4,1)</f>
        <v>643</v>
      </c>
      <c r="J61" s="115">
        <v>3891</v>
      </c>
      <c r="K61" s="116">
        <v>5378</v>
      </c>
      <c r="O61" s="30"/>
    </row>
    <row r="62" spans="2:15" x14ac:dyDescent="0.2">
      <c r="B62" s="74">
        <v>359</v>
      </c>
      <c r="C62" s="105">
        <f>VLOOKUP($B62,Aop!$A$2:$L$403,5,1)</f>
        <v>553</v>
      </c>
      <c r="D62" s="455" t="str">
        <f>VLOOKUP($B62,Aop!$A$2:$L$403,6,1)</f>
        <v xml:space="preserve">  Troškovi platnog prometa</v>
      </c>
      <c r="E62" s="455"/>
      <c r="F62" s="455"/>
      <c r="G62" s="455"/>
      <c r="H62" s="455"/>
      <c r="I62" s="106">
        <f>VLOOKUP($B62,Aop!$A$2:$L$403,4,1)</f>
        <v>644</v>
      </c>
      <c r="J62" s="113">
        <v>4372</v>
      </c>
      <c r="K62" s="114">
        <v>3713</v>
      </c>
      <c r="O62" s="30"/>
    </row>
    <row r="63" spans="2:15" x14ac:dyDescent="0.2">
      <c r="B63" s="74">
        <v>360</v>
      </c>
      <c r="C63" s="109">
        <f>VLOOKUP($B63,Aop!$A$2:$L$403,5,1)</f>
        <v>554</v>
      </c>
      <c r="D63" s="457" t="str">
        <f>VLOOKUP($B63,Aop!$A$2:$L$403,6,1)</f>
        <v xml:space="preserve">  Troškovi članarina</v>
      </c>
      <c r="E63" s="457"/>
      <c r="F63" s="457"/>
      <c r="G63" s="457"/>
      <c r="H63" s="457"/>
      <c r="I63" s="142">
        <f>VLOOKUP($B63,Aop!$A$2:$L$403,4,1)</f>
        <v>645</v>
      </c>
      <c r="J63" s="115">
        <v>1016</v>
      </c>
      <c r="K63" s="116">
        <v>1068</v>
      </c>
      <c r="O63" s="30"/>
    </row>
    <row r="64" spans="2:15" ht="25.5" x14ac:dyDescent="0.2">
      <c r="B64" s="74">
        <v>361</v>
      </c>
      <c r="C64" s="105" t="str">
        <f>VLOOKUP($B64,Aop!$A$2:$L$403,5,1)</f>
        <v>dio 555</v>
      </c>
      <c r="D64" s="455" t="str">
        <f>VLOOKUP($B64,Aop!$A$2:$L$403,6,1)</f>
        <v xml:space="preserve">  Troškovi poreza na proizvode, carine, boravišne takse, porez na igre na sreću i sl.</v>
      </c>
      <c r="E64" s="455"/>
      <c r="F64" s="455"/>
      <c r="G64" s="455"/>
      <c r="H64" s="455"/>
      <c r="I64" s="106">
        <f>VLOOKUP($B64,Aop!$A$2:$L$403,4,1)</f>
        <v>646</v>
      </c>
      <c r="J64" s="113"/>
      <c r="K64" s="114"/>
      <c r="O64" s="277" t="s">
        <v>1484</v>
      </c>
    </row>
    <row r="65" spans="2:15" ht="25.5" x14ac:dyDescent="0.2">
      <c r="B65" s="74">
        <v>362</v>
      </c>
      <c r="C65" s="109" t="str">
        <f>VLOOKUP($B65,Aop!$A$2:$L$403,5,1)</f>
        <v>dio 555</v>
      </c>
      <c r="D65" s="457" t="str">
        <f>VLOOKUP($B65,Aop!$A$2:$L$403,6,1)</f>
        <v xml:space="preserve">  Troškovi poreza na proizvodnju: na imovinu, na zemljište, za korišćenje voda i šuma, za protivpožarnu zaštitu i sl.</v>
      </c>
      <c r="E65" s="457"/>
      <c r="F65" s="457"/>
      <c r="G65" s="457"/>
      <c r="H65" s="457"/>
      <c r="I65" s="142">
        <f>VLOOKUP($B65,Aop!$A$2:$L$403,4,1)</f>
        <v>647</v>
      </c>
      <c r="J65" s="115">
        <v>12109</v>
      </c>
      <c r="K65" s="116">
        <v>99822</v>
      </c>
      <c r="O65" s="277" t="s">
        <v>1484</v>
      </c>
    </row>
    <row r="66" spans="2:15" x14ac:dyDescent="0.2">
      <c r="B66" s="74">
        <v>363</v>
      </c>
      <c r="C66" s="105">
        <f>VLOOKUP($B66,Aop!$A$2:$L$403,5,1)</f>
        <v>559</v>
      </c>
      <c r="D66" s="455" t="str">
        <f>VLOOKUP($B66,Aop!$A$2:$L$403,6,1)</f>
        <v xml:space="preserve">  Ostali nematerijalni troškovi</v>
      </c>
      <c r="E66" s="455"/>
      <c r="F66" s="455"/>
      <c r="G66" s="455"/>
      <c r="H66" s="455"/>
      <c r="I66" s="106">
        <f>VLOOKUP($B66,Aop!$A$2:$L$403,4,1)</f>
        <v>648</v>
      </c>
      <c r="J66" s="113">
        <v>248454</v>
      </c>
      <c r="K66" s="114">
        <v>234277</v>
      </c>
      <c r="O66" s="30"/>
    </row>
    <row r="67" spans="2:15" x14ac:dyDescent="0.2">
      <c r="B67" s="74">
        <v>364</v>
      </c>
      <c r="C67" s="109">
        <f>VLOOKUP($B67,Aop!$A$2:$L$403,5,1)</f>
        <v>0</v>
      </c>
      <c r="D67" s="461" t="str">
        <f>VLOOKUP($B67,Aop!$A$2:$L$403,6,1)</f>
        <v>OBAVEZE I POTRAŽIVANJA</v>
      </c>
      <c r="E67" s="461"/>
      <c r="F67" s="461"/>
      <c r="G67" s="461"/>
      <c r="H67" s="461"/>
      <c r="I67" s="142">
        <f>VLOOKUP($B67,Aop!$A$2:$L$403,4,1)</f>
        <v>0</v>
      </c>
      <c r="J67" s="178"/>
      <c r="K67" s="179"/>
      <c r="O67" s="30"/>
    </row>
    <row r="68" spans="2:15" x14ac:dyDescent="0.2">
      <c r="B68" s="74">
        <v>365</v>
      </c>
      <c r="C68" s="105" t="str">
        <f>VLOOKUP($B68,Aop!$A$2:$L$403,5,1)</f>
        <v>47, osim 479</v>
      </c>
      <c r="D68" s="455" t="str">
        <f>VLOOKUP($B68,Aop!$A$2:$L$403,6,1)</f>
        <v xml:space="preserve">  Obračunati (fakturisani) porez na dodatu vrijednost (kumulativan promet konta)</v>
      </c>
      <c r="E68" s="455"/>
      <c r="F68" s="455"/>
      <c r="G68" s="455"/>
      <c r="H68" s="455"/>
      <c r="I68" s="106">
        <f>VLOOKUP($B68,Aop!$A$2:$L$403,4,1)</f>
        <v>649</v>
      </c>
      <c r="J68" s="113">
        <v>831857</v>
      </c>
      <c r="K68" s="114">
        <v>419033</v>
      </c>
      <c r="O68" s="30"/>
    </row>
    <row r="69" spans="2:15" x14ac:dyDescent="0.2">
      <c r="B69" s="74">
        <v>366</v>
      </c>
      <c r="C69" s="109" t="str">
        <f>VLOOKUP($B69,Aop!$A$2:$L$403,5,1)</f>
        <v>27, osim 279</v>
      </c>
      <c r="D69" s="457" t="str">
        <f>VLOOKUP($B69,Aop!$A$2:$L$403,6,1)</f>
        <v xml:space="preserve">  Ulazni porez na dodatu vrijednost (kumulativan promet konta)</v>
      </c>
      <c r="E69" s="457"/>
      <c r="F69" s="457"/>
      <c r="G69" s="457"/>
      <c r="H69" s="457"/>
      <c r="I69" s="142">
        <f>VLOOKUP($B69,Aop!$A$2:$L$403,4,1)</f>
        <v>650</v>
      </c>
      <c r="J69" s="115">
        <v>524522</v>
      </c>
      <c r="K69" s="116">
        <v>328429</v>
      </c>
      <c r="O69" s="30"/>
    </row>
    <row r="70" spans="2:15" ht="25.5" x14ac:dyDescent="0.2">
      <c r="B70" s="74">
        <v>367</v>
      </c>
      <c r="C70" s="105">
        <f>VLOOKUP($B70,Aop!$A$2:$L$403,5,1)</f>
        <v>479</v>
      </c>
      <c r="D70" s="455" t="str">
        <f>VLOOKUP($B70,Aop!$A$2:$L$403,6,1)</f>
        <v xml:space="preserve">  Obaveze za PDV na osnovu razlike između obračunatog i akontacionog PDV-a (saldo konta)</v>
      </c>
      <c r="E70" s="455"/>
      <c r="F70" s="455"/>
      <c r="G70" s="455"/>
      <c r="H70" s="455"/>
      <c r="I70" s="106">
        <f>VLOOKUP($B70,Aop!$A$2:$L$403,4,1)</f>
        <v>651</v>
      </c>
      <c r="J70" s="113">
        <v>1</v>
      </c>
      <c r="K70" s="114">
        <v>9601</v>
      </c>
      <c r="O70" s="277" t="s">
        <v>1484</v>
      </c>
    </row>
    <row r="71" spans="2:15" ht="25.5" x14ac:dyDescent="0.2">
      <c r="B71" s="74">
        <v>368</v>
      </c>
      <c r="C71" s="109">
        <f>VLOOKUP($B71,Aop!$A$2:$L$403,5,1)</f>
        <v>279</v>
      </c>
      <c r="D71" s="457" t="str">
        <f>VLOOKUP($B71,Aop!$A$2:$L$403,6,1)</f>
        <v xml:space="preserve">  Potraživanja po osnovu razlike između akontacionog i obračunatog  PDV-a (saldo konta)</v>
      </c>
      <c r="E71" s="457"/>
      <c r="F71" s="457"/>
      <c r="G71" s="457"/>
      <c r="H71" s="457"/>
      <c r="I71" s="142">
        <f>VLOOKUP($B71,Aop!$A$2:$L$403,4,1)</f>
        <v>652</v>
      </c>
      <c r="J71" s="115">
        <v>41495</v>
      </c>
      <c r="K71" s="116"/>
      <c r="O71" s="277" t="s">
        <v>1484</v>
      </c>
    </row>
    <row r="72" spans="2:15" x14ac:dyDescent="0.2">
      <c r="B72" s="74">
        <v>369</v>
      </c>
      <c r="C72" s="105">
        <f>VLOOKUP($B72,Aop!$A$2:$L$403,5,1)</f>
        <v>271</v>
      </c>
      <c r="D72" s="455" t="str">
        <f>VLOOKUP($B72,Aop!$A$2:$L$403,6,1)</f>
        <v xml:space="preserve">  Porez na dodatu vrijednost plaćen pri uvozu (kumulativan promet konta)</v>
      </c>
      <c r="E72" s="455"/>
      <c r="F72" s="455"/>
      <c r="G72" s="455"/>
      <c r="H72" s="455"/>
      <c r="I72" s="106">
        <f>VLOOKUP($B72,Aop!$A$2:$L$403,4,1)</f>
        <v>653</v>
      </c>
      <c r="J72" s="113">
        <v>46463</v>
      </c>
      <c r="K72" s="114">
        <v>67293</v>
      </c>
      <c r="O72" s="30"/>
    </row>
    <row r="73" spans="2:15" x14ac:dyDescent="0.2">
      <c r="B73" s="74">
        <v>370</v>
      </c>
      <c r="C73" s="109">
        <f>VLOOKUP($B73,Aop!$A$2:$L$403,5,1)</f>
        <v>484</v>
      </c>
      <c r="D73" s="457" t="str">
        <f>VLOOKUP($B73,Aop!$A$2:$L$403,6,1)</f>
        <v xml:space="preserve">  Obaveze za PDV plaćen pri uvozu (kumulativan promet konta)</v>
      </c>
      <c r="E73" s="457"/>
      <c r="F73" s="457"/>
      <c r="G73" s="457"/>
      <c r="H73" s="457"/>
      <c r="I73" s="142">
        <f>VLOOKUP($B73,Aop!$A$2:$L$403,4,1)</f>
        <v>654</v>
      </c>
      <c r="J73" s="115">
        <v>46463</v>
      </c>
      <c r="K73" s="116">
        <v>67293</v>
      </c>
      <c r="O73" s="30"/>
    </row>
    <row r="74" spans="2:15" x14ac:dyDescent="0.2">
      <c r="B74" s="74">
        <v>371</v>
      </c>
      <c r="C74" s="105">
        <f>VLOOKUP($B74,Aop!$A$2:$L$403,5,1)</f>
        <v>480</v>
      </c>
      <c r="D74" s="455" t="str">
        <f>VLOOKUP($B74,Aop!$A$2:$L$403,6,1)</f>
        <v xml:space="preserve">  Obaveze za akcize (kumulativan promet konta)</v>
      </c>
      <c r="E74" s="455"/>
      <c r="F74" s="455"/>
      <c r="G74" s="455"/>
      <c r="H74" s="455"/>
      <c r="I74" s="106">
        <f>VLOOKUP($B74,Aop!$A$2:$L$403,4,1)</f>
        <v>655</v>
      </c>
      <c r="J74" s="113"/>
      <c r="K74" s="114"/>
      <c r="O74" s="30"/>
    </row>
    <row r="75" spans="2:15" x14ac:dyDescent="0.2">
      <c r="B75" s="74">
        <v>372</v>
      </c>
      <c r="C75" s="109" t="str">
        <f>VLOOKUP($B75,Aop!$A$2:$L$403,5,1)</f>
        <v>010</v>
      </c>
      <c r="D75" s="457" t="str">
        <f>VLOOKUP($B75,Aop!$A$2:$L$403,6,1)</f>
        <v xml:space="preserve">  Ulaganje u istraživanje i razvoj (kumulativan promet konta)</v>
      </c>
      <c r="E75" s="457"/>
      <c r="F75" s="457"/>
      <c r="G75" s="457"/>
      <c r="H75" s="457"/>
      <c r="I75" s="142">
        <f>VLOOKUP($B75,Aop!$A$2:$L$403,4,1)</f>
        <v>656</v>
      </c>
      <c r="J75" s="115"/>
      <c r="K75" s="116"/>
      <c r="O75" s="30"/>
    </row>
    <row r="76" spans="2:15" x14ac:dyDescent="0.2">
      <c r="B76" s="74">
        <v>373</v>
      </c>
      <c r="C76" s="105" t="str">
        <f>VLOOKUP($B76,Aop!$A$2:$L$403,5,1)</f>
        <v>dio 433</v>
      </c>
      <c r="D76" s="455" t="str">
        <f>VLOOKUP($B76,Aop!$A$2:$L$403,6,1)</f>
        <v xml:space="preserve">  Ostvareni uvoz dobara iz inostranstva</v>
      </c>
      <c r="E76" s="455"/>
      <c r="F76" s="455"/>
      <c r="G76" s="455"/>
      <c r="H76" s="455"/>
      <c r="I76" s="106">
        <f>VLOOKUP($B76,Aop!$A$2:$L$403,4,1)</f>
        <v>657</v>
      </c>
      <c r="J76" s="113"/>
      <c r="K76" s="114">
        <v>3907</v>
      </c>
      <c r="O76" s="30"/>
    </row>
    <row r="77" spans="2:15" x14ac:dyDescent="0.2">
      <c r="B77" s="74">
        <v>374</v>
      </c>
      <c r="C77" s="109" t="str">
        <f>VLOOKUP($B77,Aop!$A$2:$L$403,5,1)</f>
        <v>dio 433</v>
      </c>
      <c r="D77" s="457" t="str">
        <f>VLOOKUP($B77,Aop!$A$2:$L$403,6,1)</f>
        <v xml:space="preserve">  Ostvareni uvoz usluga iz inostranstva</v>
      </c>
      <c r="E77" s="457"/>
      <c r="F77" s="457"/>
      <c r="G77" s="457"/>
      <c r="H77" s="457"/>
      <c r="I77" s="142">
        <f>VLOOKUP($B77,Aop!$A$2:$L$403,4,1)</f>
        <v>658</v>
      </c>
      <c r="J77" s="115">
        <v>246240</v>
      </c>
      <c r="K77" s="116">
        <v>230114</v>
      </c>
      <c r="O77" s="30"/>
    </row>
    <row r="78" spans="2:15" x14ac:dyDescent="0.2">
      <c r="B78" s="74">
        <v>375</v>
      </c>
      <c r="C78" s="105" t="str">
        <f>VLOOKUP($B78,Aop!$A$2:$L$403,5,1)</f>
        <v>dio 431 i 432</v>
      </c>
      <c r="D78" s="455" t="str">
        <f>VLOOKUP($B78,Aop!$A$2:$L$403,6,1)</f>
        <v xml:space="preserve">  Nabavka dobara iz Federacije BiH ili Brčko Distrikta  BiH</v>
      </c>
      <c r="E78" s="455"/>
      <c r="F78" s="455"/>
      <c r="G78" s="455"/>
      <c r="H78" s="455"/>
      <c r="I78" s="106">
        <f>VLOOKUP($B78,Aop!$A$2:$L$403,4,1)</f>
        <v>659</v>
      </c>
      <c r="J78" s="113">
        <v>424587</v>
      </c>
      <c r="K78" s="114">
        <v>12035</v>
      </c>
      <c r="O78" s="30"/>
    </row>
    <row r="79" spans="2:15" ht="12.75" customHeight="1" x14ac:dyDescent="0.2">
      <c r="B79" s="74">
        <v>376</v>
      </c>
      <c r="C79" s="109" t="str">
        <f>VLOOKUP($B79,Aop!$A$2:$L$403,5,1)</f>
        <v>dio 431 i 432</v>
      </c>
      <c r="D79" s="458" t="str">
        <f>VLOOKUP($B79,Aop!$A$2:$L$403,6,1)</f>
        <v xml:space="preserve">  Nabavka usluga iz Federacije BiH ili Brčko Distrikta  BiH</v>
      </c>
      <c r="E79" s="459"/>
      <c r="F79" s="459"/>
      <c r="G79" s="459"/>
      <c r="H79" s="460"/>
      <c r="I79" s="142">
        <f>VLOOKUP($B79,Aop!$A$2:$L$403,4,1)</f>
        <v>660</v>
      </c>
      <c r="J79" s="115">
        <v>990704</v>
      </c>
      <c r="K79" s="116">
        <v>310419</v>
      </c>
      <c r="O79" s="30"/>
    </row>
    <row r="80" spans="2:15" ht="12.75" customHeight="1" x14ac:dyDescent="0.2">
      <c r="B80" s="74">
        <v>377</v>
      </c>
      <c r="C80" s="105">
        <f>VLOOKUP($B80,Aop!$A$2:$L$403,5,1)</f>
        <v>0</v>
      </c>
      <c r="D80" s="455" t="str">
        <f>VLOOKUP($B80,Aop!$A$2:$L$403,6,1)</f>
        <v xml:space="preserve">  Prihodi ostvareni na bazi podugovaranja</v>
      </c>
      <c r="E80" s="455"/>
      <c r="F80" s="455"/>
      <c r="G80" s="455"/>
      <c r="H80" s="455"/>
      <c r="I80" s="106">
        <f>VLOOKUP($B80,Aop!$A$2:$L$403,4,1)</f>
        <v>661</v>
      </c>
      <c r="J80" s="113"/>
      <c r="K80" s="114"/>
      <c r="O80" s="30"/>
    </row>
    <row r="81" spans="2:15" ht="12.75" customHeight="1" x14ac:dyDescent="0.2">
      <c r="B81" s="74">
        <v>378</v>
      </c>
      <c r="C81" s="109">
        <f>VLOOKUP($B81,Aop!$A$2:$L$403,5,1)</f>
        <v>0</v>
      </c>
      <c r="D81" s="458" t="str">
        <f>VLOOKUP($B81,Aop!$A$2:$L$403,6,1)</f>
        <v xml:space="preserve">  Plaćanja podugovaračima za rad, isporučene proizvode i usluge</v>
      </c>
      <c r="E81" s="459"/>
      <c r="F81" s="459"/>
      <c r="G81" s="459"/>
      <c r="H81" s="460"/>
      <c r="I81" s="142">
        <f>VLOOKUP($B81,Aop!$A$2:$L$403,4,1)</f>
        <v>662</v>
      </c>
      <c r="J81" s="115"/>
      <c r="K81" s="116"/>
      <c r="O81" s="30"/>
    </row>
    <row r="82" spans="2:15" ht="25.5" customHeight="1" x14ac:dyDescent="0.2">
      <c r="B82" s="74">
        <v>379</v>
      </c>
      <c r="C82" s="182">
        <f>VLOOKUP($B82,Aop!$A$2:$L$403,5,1)</f>
        <v>0</v>
      </c>
      <c r="D82" s="456" t="str">
        <f>VLOOKUP($B82,Aop!$A$2:$L$403,6,1)</f>
        <v xml:space="preserve">  Ukupan broj odrađenih časova rada (efektivni časovi rada bez bolovanja, godišnjih odmora, državnih praznika i sl.)</v>
      </c>
      <c r="E82" s="456"/>
      <c r="F82" s="456"/>
      <c r="G82" s="456"/>
      <c r="H82" s="456"/>
      <c r="I82" s="183">
        <f>VLOOKUP($B82,Aop!$A$2:$L$403,4,1)</f>
        <v>663</v>
      </c>
      <c r="J82" s="184">
        <v>39734</v>
      </c>
      <c r="K82" s="185">
        <v>37344</v>
      </c>
      <c r="O82" s="277" t="s">
        <v>1484</v>
      </c>
    </row>
    <row r="83" spans="2:15" x14ac:dyDescent="0.2"/>
    <row r="84" spans="2:15" x14ac:dyDescent="0.2">
      <c r="G84" s="9"/>
      <c r="H84" s="54" t="str">
        <f>Podnozje_U</f>
        <v>U</v>
      </c>
      <c r="I84" s="75" t="str">
        <f>Podatak_U</f>
        <v>DOBOJ</v>
      </c>
      <c r="J84" s="55"/>
      <c r="K84" s="55"/>
    </row>
    <row r="85" spans="2:15" x14ac:dyDescent="0.2">
      <c r="F85" s="56" t="str">
        <f>Podnozje_MP</f>
        <v>(M.P.)</v>
      </c>
      <c r="H85" s="54" t="str">
        <f>Podnozje_Dana</f>
        <v>Dana,</v>
      </c>
      <c r="I85" s="76" t="str">
        <f>Podatak_Dana</f>
        <v>27.02.2015.</v>
      </c>
      <c r="J85" s="58"/>
      <c r="K85" s="58"/>
    </row>
    <row r="86" spans="2:15" x14ac:dyDescent="0.2">
      <c r="F86" s="56"/>
      <c r="G86" s="56"/>
      <c r="H86" s="54" t="str">
        <f>Podnozje_Lice_sa_licencom</f>
        <v>Lice sa licencom:</v>
      </c>
      <c r="I86" s="76" t="str">
        <f>Podatak_Lice_sa_licencom</f>
        <v>Edina Hadžikadunić</v>
      </c>
      <c r="J86" s="58"/>
      <c r="K86" s="58"/>
    </row>
    <row r="87" spans="2:15" x14ac:dyDescent="0.2">
      <c r="G87" s="59"/>
      <c r="H87" s="54" t="str">
        <f>Podnozje_Direktor</f>
        <v>Direktor:</v>
      </c>
      <c r="I87" s="76" t="str">
        <f>Podatak_Direktor</f>
        <v>Peterne Marosy Katalin</v>
      </c>
      <c r="J87" s="55"/>
      <c r="K87" s="55"/>
    </row>
    <row r="88" spans="2:15" x14ac:dyDescent="0.2">
      <c r="F88" s="60"/>
      <c r="G88" s="60"/>
      <c r="H88" s="60"/>
      <c r="I88" s="9"/>
      <c r="J88" s="54"/>
      <c r="K88" s="54"/>
    </row>
    <row r="89" spans="2:15" hidden="1" x14ac:dyDescent="0.2"/>
    <row r="90" spans="2:15" hidden="1" x14ac:dyDescent="0.2"/>
    <row r="91" spans="2:15" hidden="1" x14ac:dyDescent="0.2"/>
    <row r="92" spans="2:15" hidden="1" x14ac:dyDescent="0.2"/>
    <row r="93" spans="2:15" hidden="1" x14ac:dyDescent="0.2"/>
    <row r="94" spans="2:15" hidden="1" x14ac:dyDescent="0.2"/>
    <row r="95" spans="2:15" hidden="1" x14ac:dyDescent="0.2"/>
  </sheetData>
  <sheetProtection password="FE56" sheet="1" objects="1" scenarios="1"/>
  <mergeCells count="84">
    <mergeCell ref="D36:H36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48:H48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23:H23"/>
    <mergeCell ref="D24:H24"/>
    <mergeCell ref="D5:E5"/>
    <mergeCell ref="I16:I17"/>
    <mergeCell ref="J16:K16"/>
    <mergeCell ref="D18:H18"/>
    <mergeCell ref="D19:H19"/>
    <mergeCell ref="D20:H20"/>
    <mergeCell ref="D21:H21"/>
    <mergeCell ref="D22:H22"/>
    <mergeCell ref="C16:C17"/>
    <mergeCell ref="D16:H17"/>
    <mergeCell ref="C7:E8"/>
    <mergeCell ref="J5:K5"/>
    <mergeCell ref="J6:K6"/>
    <mergeCell ref="J7:K7"/>
    <mergeCell ref="C9:F9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49:H49"/>
    <mergeCell ref="D50:H50"/>
    <mergeCell ref="D51:H51"/>
    <mergeCell ref="D52:H52"/>
    <mergeCell ref="D53:H53"/>
    <mergeCell ref="D54:H54"/>
    <mergeCell ref="D55:H55"/>
    <mergeCell ref="D56:H56"/>
    <mergeCell ref="D57:H57"/>
    <mergeCell ref="D58:H58"/>
    <mergeCell ref="D59:H59"/>
    <mergeCell ref="D60:H60"/>
    <mergeCell ref="D61:H61"/>
    <mergeCell ref="D62:H62"/>
    <mergeCell ref="D63:H63"/>
    <mergeCell ref="D64:H64"/>
    <mergeCell ref="D65:H65"/>
    <mergeCell ref="D66:H66"/>
    <mergeCell ref="D67:H67"/>
    <mergeCell ref="D68:H68"/>
    <mergeCell ref="D69:H69"/>
    <mergeCell ref="D70:H70"/>
    <mergeCell ref="D71:H71"/>
    <mergeCell ref="D72:H72"/>
    <mergeCell ref="D79:H79"/>
    <mergeCell ref="D80:H80"/>
    <mergeCell ref="D82:H82"/>
    <mergeCell ref="D73:H73"/>
    <mergeCell ref="D74:H74"/>
    <mergeCell ref="D75:H75"/>
    <mergeCell ref="D76:H76"/>
    <mergeCell ref="D77:H77"/>
    <mergeCell ref="D78:H78"/>
    <mergeCell ref="D81:H81"/>
  </mergeCells>
  <phoneticPr fontId="1" type="noConversion"/>
  <dataValidations count="2">
    <dataValidation type="whole" operator="greaterThanOrEqual" allowBlank="1" showInputMessage="1" showErrorMessage="1" errorTitle="Greška" error="Unose se vrijednosti u konvertibilnim markama, bez decimalnih mjesta. Nije dozvoljen unos negativnih brojeva." sqref="J58:K82 J47:K56 J27:K45 J20:K25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9:K19 J26:K26 J46:K46 J57:K5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125" orientation="landscape" r:id="rId1"/>
  <headerFooter alignWithMargins="0">
    <oddFooter>&amp;R&amp;"Verdana,Regular"&amp;8Strana &amp;P od &amp;N</oddFooter>
  </headerFooter>
  <rowBreaks count="1" manualBreakCount="1">
    <brk id="56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10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A1:IU47"/>
  <sheetViews>
    <sheetView showGridLines="0" showRowColHeaders="0" tabSelected="1" topLeftCell="E1" zoomScaleNormal="100" zoomScaleSheetLayoutView="100" workbookViewId="0">
      <pane ySplit="4" topLeftCell="A20" activePane="bottomLeft" state="frozen"/>
      <selection activeCell="D54" sqref="D54:H54"/>
      <selection pane="bottomLeft" activeCell="H37" sqref="H37"/>
    </sheetView>
  </sheetViews>
  <sheetFormatPr defaultColWidth="0" defaultRowHeight="12.75" zeroHeight="1" x14ac:dyDescent="0.2"/>
  <cols>
    <col min="1" max="1" width="5.7109375" style="8" customWidth="1"/>
    <col min="2" max="2" width="4" style="8" hidden="1" customWidth="1"/>
    <col min="3" max="3" width="14.28515625" style="8" customWidth="1"/>
    <col min="4" max="4" width="49.42578125" style="8" customWidth="1"/>
    <col min="5" max="5" width="7.140625" style="8" customWidth="1"/>
    <col min="6" max="13" width="14.28515625" style="8" customWidth="1"/>
    <col min="14" max="14" width="5.7109375" style="8" customWidth="1"/>
    <col min="15" max="15" width="9.140625" style="8" hidden="1" customWidth="1"/>
    <col min="16" max="255" width="0" style="8" hidden="1" customWidth="1"/>
    <col min="256" max="16384" width="5.42578125" style="8" hidden="1"/>
  </cols>
  <sheetData>
    <row r="1" spans="3:13" x14ac:dyDescent="0.2"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3:13" x14ac:dyDescent="0.2"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</row>
    <row r="3" spans="3:13" x14ac:dyDescent="0.2"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3:13" x14ac:dyDescent="0.2"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</row>
    <row r="5" spans="3:13" x14ac:dyDescent="0.2">
      <c r="C5" s="17" t="str">
        <f>Zaglavlje_MB</f>
        <v>Matični broj:</v>
      </c>
      <c r="D5" s="77" t="str">
        <f>Podatak_MB</f>
        <v>11029752</v>
      </c>
      <c r="K5" s="18" t="str">
        <f>Zaglavlje_Ziro_racun</f>
        <v>Žiro računi:</v>
      </c>
      <c r="L5" s="464" t="str">
        <f>Podatak_Ziro_racun_1</f>
        <v>161-000-01178100-03</v>
      </c>
      <c r="M5" s="464"/>
    </row>
    <row r="6" spans="3:13" x14ac:dyDescent="0.2">
      <c r="C6" s="17" t="str">
        <f>Zaglavlje_Sifra_djelatnosti</f>
        <v>Šifra djelatnosti:</v>
      </c>
      <c r="D6" s="77" t="str">
        <f>Podatak_Sifra_djelatnosti</f>
        <v>08.11</v>
      </c>
      <c r="F6" s="9"/>
      <c r="L6" s="464" t="str">
        <f>Podatak_Ziro_racun_2</f>
        <v>562-005-80690000-55</v>
      </c>
      <c r="M6" s="464"/>
    </row>
    <row r="7" spans="3:13" ht="15" customHeight="1" x14ac:dyDescent="0.2">
      <c r="C7" s="465" t="str">
        <f>Zaglavlje_Naziv_preduzeca</f>
        <v>Naziv privrednog društva, zadruge, drugog pravnog lica ili preduzetnika:</v>
      </c>
      <c r="D7" s="465"/>
      <c r="F7" s="20"/>
      <c r="L7" s="464" t="str">
        <f>Podatak_Ziro_racun_3</f>
        <v/>
      </c>
      <c r="M7" s="464"/>
    </row>
    <row r="8" spans="3:13" x14ac:dyDescent="0.2">
      <c r="C8" s="465"/>
      <c r="D8" s="465"/>
      <c r="F8" s="20"/>
      <c r="L8" s="464" t="str">
        <f>Podatak_Ziro_racun_4</f>
        <v/>
      </c>
      <c r="M8" s="464"/>
    </row>
    <row r="9" spans="3:13" x14ac:dyDescent="0.2">
      <c r="C9" s="466" t="str">
        <f>Podatak_Naziv_preduzeca</f>
        <v>RUDNIK KREČNJAKA CARMEUSE A.D. DOBOJ</v>
      </c>
      <c r="D9" s="466"/>
      <c r="F9" s="17"/>
      <c r="L9" s="464" t="str">
        <f>Podatak_Ziro_racun_5</f>
        <v/>
      </c>
      <c r="M9" s="464"/>
    </row>
    <row r="10" spans="3:13" x14ac:dyDescent="0.2">
      <c r="C10" s="17" t="str">
        <f>Zaglavlje_Sjediste</f>
        <v>Sjedište:</v>
      </c>
      <c r="D10" s="77" t="str">
        <f>Podatak_Sjediste</f>
        <v>Ševarlije 322</v>
      </c>
      <c r="F10" s="17"/>
      <c r="L10" s="464" t="str">
        <f>Podatak_Ziro_racun_6</f>
        <v/>
      </c>
      <c r="M10" s="464"/>
    </row>
    <row r="11" spans="3:13" x14ac:dyDescent="0.2">
      <c r="C11" s="17" t="str">
        <f>Zaglavlje_JIB</f>
        <v>JIB:</v>
      </c>
      <c r="D11" s="77" t="str">
        <f>Podatak_JIB</f>
        <v>4402748120004</v>
      </c>
      <c r="F11" s="21"/>
      <c r="G11" s="21"/>
      <c r="H11" s="21"/>
      <c r="I11" s="22"/>
      <c r="J11" s="22"/>
      <c r="K11" s="21"/>
      <c r="L11"/>
      <c r="M11"/>
    </row>
    <row r="12" spans="3:13" ht="15.75" x14ac:dyDescent="0.2">
      <c r="C12" s="426" t="str">
        <f>Nazivi_bilansa_BPK</f>
        <v>Izvještaj o promjenama u kapitalu</v>
      </c>
      <c r="D12" s="426"/>
      <c r="E12" s="426"/>
      <c r="F12" s="426"/>
      <c r="G12" s="426"/>
      <c r="H12" s="426"/>
      <c r="I12" s="426"/>
      <c r="J12" s="426"/>
      <c r="K12" s="426"/>
      <c r="L12" s="426"/>
      <c r="M12" s="426"/>
    </row>
    <row r="13" spans="3:13" x14ac:dyDescent="0.2">
      <c r="C13" s="427" t="str">
        <f>Datumi_Datum_BPK</f>
        <v>za period koji se završava na dan 31.12.2014. godine</v>
      </c>
      <c r="D13" s="427"/>
      <c r="E13" s="427"/>
      <c r="F13" s="427"/>
      <c r="G13" s="427"/>
      <c r="H13" s="427"/>
      <c r="I13" s="427"/>
      <c r="J13" s="427"/>
      <c r="K13" s="427"/>
      <c r="L13" s="427"/>
      <c r="M13" s="427"/>
    </row>
    <row r="14" spans="3:13" x14ac:dyDescent="0.2"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4" t="str">
        <f>Tabele_zaglavlje_Valuta</f>
        <v>- u konvertibilnim markama -</v>
      </c>
    </row>
    <row r="15" spans="3:13" x14ac:dyDescent="0.2">
      <c r="C15" s="467" t="str">
        <f>Tabele_zaglavlje_Redni_broj</f>
        <v>Redni broj</v>
      </c>
      <c r="D15" s="385" t="str">
        <f>Tabele_zaglavlje_BPK1</f>
        <v>Vrsta promjene u kapitalu</v>
      </c>
      <c r="E15" s="420" t="str">
        <f>Tabele_zaglavlje_BPK0</f>
        <v>Dio kapitala koji pripada vlasnicima matičnog privrednog društva</v>
      </c>
      <c r="F15" s="420"/>
      <c r="G15" s="420"/>
      <c r="H15" s="420"/>
      <c r="I15" s="420"/>
      <c r="J15" s="420"/>
      <c r="K15" s="420"/>
      <c r="L15" s="383" t="str">
        <f>Tabele_zaglavlje_BPK9</f>
        <v>Manjinski interes</v>
      </c>
      <c r="M15" s="386" t="str">
        <f>Tabele_zaglavlje_BPK10</f>
        <v>UKUPNI KAPITAL</v>
      </c>
    </row>
    <row r="16" spans="3:13" ht="102" x14ac:dyDescent="0.2">
      <c r="C16" s="468"/>
      <c r="D16" s="384"/>
      <c r="E16" s="78" t="str">
        <f>Tabele_zaglavlje_Oznaka_aop</f>
        <v>Oznaka za AOP</v>
      </c>
      <c r="F16" s="78" t="str">
        <f>Tabele_zaglavlje_BPK3</f>
        <v>Akcijski kapital i udjeli u društvo sa ograničenom odgovornošću</v>
      </c>
      <c r="G16" s="78" t="str">
        <f>Tabele_zaglavlje_BPK4</f>
        <v>Revalorizacione rezerve (MRS 16, MRS 21 i MRS 38)</v>
      </c>
      <c r="H16" s="78" t="str">
        <f>Tabele_zaglavlje_BPK5</f>
        <v>Nerealizovani dobici/ gubici po osnovu finansijskih sredstava raspoloživih za prodaju</v>
      </c>
      <c r="I16" s="78" t="str">
        <f>Tabele_zaglavlje_BPK6</f>
        <v xml:space="preserve">Ostale rezerve (emisiona premija, zakonske i statutarne rezerve, zaštita gotovinskih tokova) </v>
      </c>
      <c r="J16" s="78" t="str">
        <f>Tabele_zaglavlje_BPK7</f>
        <v>Akumulisani neraspoređeni dobitak / nepokriveni gubitak</v>
      </c>
      <c r="K16" s="78" t="str">
        <f>Tabele_zaglavlje_BPK8</f>
        <v>Ukupno</v>
      </c>
      <c r="L16" s="469"/>
      <c r="M16" s="387"/>
    </row>
    <row r="17" spans="2:13" x14ac:dyDescent="0.2">
      <c r="B17" s="67" t="s">
        <v>810</v>
      </c>
      <c r="C17" s="79"/>
      <c r="D17" s="80">
        <v>1</v>
      </c>
      <c r="E17" s="28">
        <v>2</v>
      </c>
      <c r="F17" s="28">
        <v>3</v>
      </c>
      <c r="G17" s="28">
        <v>4</v>
      </c>
      <c r="H17" s="28">
        <v>5</v>
      </c>
      <c r="I17" s="28">
        <v>6</v>
      </c>
      <c r="J17" s="28">
        <v>7</v>
      </c>
      <c r="K17" s="28">
        <v>8</v>
      </c>
      <c r="L17" s="28">
        <v>9</v>
      </c>
      <c r="M17" s="29">
        <v>10</v>
      </c>
    </row>
    <row r="18" spans="2:13" x14ac:dyDescent="0.2">
      <c r="B18" s="74">
        <v>380</v>
      </c>
      <c r="C18" s="150">
        <f>VLOOKUP($B18,Aop!$A$2:$L$403,5,1)</f>
        <v>1</v>
      </c>
      <c r="D18" s="151" t="str">
        <f>VLOOKUP($B18,Aop!$A$2:$L$403,6,1)</f>
        <v>Stanje na dan 01.01.2013. god.</v>
      </c>
      <c r="E18" s="152">
        <f>VLOOKUP($B18,Aop!$A$2:$L$403,4,1)</f>
        <v>901</v>
      </c>
      <c r="F18" s="149">
        <v>5762636</v>
      </c>
      <c r="G18" s="149">
        <v>254285</v>
      </c>
      <c r="H18" s="149"/>
      <c r="I18" s="149"/>
      <c r="J18" s="149">
        <v>-2886700</v>
      </c>
      <c r="K18" s="127">
        <f>SUM(F18:J18)</f>
        <v>3130221</v>
      </c>
      <c r="L18" s="149"/>
      <c r="M18" s="128">
        <f>SUM(K18:L18)</f>
        <v>3130221</v>
      </c>
    </row>
    <row r="19" spans="2:13" x14ac:dyDescent="0.2">
      <c r="B19" s="74">
        <v>381</v>
      </c>
      <c r="C19" s="153">
        <f>VLOOKUP($B19,Aop!$A$2:$L$403,5,1)</f>
        <v>2</v>
      </c>
      <c r="D19" s="154" t="str">
        <f>VLOOKUP($B19,Aop!$A$2:$L$403,6,1)</f>
        <v xml:space="preserve">    Efekti promjena u računovodstvenim politikama </v>
      </c>
      <c r="E19" s="155">
        <f>VLOOKUP($B19,Aop!$A$2:$L$403,4,1)</f>
        <v>902</v>
      </c>
      <c r="F19" s="113"/>
      <c r="G19" s="113"/>
      <c r="H19" s="113"/>
      <c r="I19" s="113"/>
      <c r="J19" s="113"/>
      <c r="K19" s="299">
        <f t="shared" ref="K19:K40" si="0">SUM(F19:J19)</f>
        <v>0</v>
      </c>
      <c r="L19" s="113"/>
      <c r="M19" s="301">
        <f t="shared" ref="M19:M40" si="1">SUM(K19:L19)</f>
        <v>0</v>
      </c>
    </row>
    <row r="20" spans="2:13" x14ac:dyDescent="0.2">
      <c r="B20" s="74">
        <v>382</v>
      </c>
      <c r="C20" s="156">
        <f>VLOOKUP($B20,Aop!$A$2:$L$403,5,1)</f>
        <v>3</v>
      </c>
      <c r="D20" s="157" t="str">
        <f>VLOOKUP($B20,Aop!$A$2:$L$403,6,1)</f>
        <v xml:space="preserve">    Efekti ispravke grešaka</v>
      </c>
      <c r="E20" s="158">
        <f>VLOOKUP($B20,Aop!$A$2:$L$403,4,1)</f>
        <v>903</v>
      </c>
      <c r="F20" s="115"/>
      <c r="G20" s="115"/>
      <c r="H20" s="115"/>
      <c r="I20" s="115"/>
      <c r="J20" s="115"/>
      <c r="K20" s="300">
        <f t="shared" si="0"/>
        <v>0</v>
      </c>
      <c r="L20" s="115"/>
      <c r="M20" s="302">
        <f t="shared" si="1"/>
        <v>0</v>
      </c>
    </row>
    <row r="21" spans="2:13" ht="25.5" x14ac:dyDescent="0.2">
      <c r="B21" s="74">
        <v>383</v>
      </c>
      <c r="C21" s="153">
        <f>VLOOKUP($B21,Aop!$A$2:$L$403,5,1)</f>
        <v>4</v>
      </c>
      <c r="D21" s="159" t="str">
        <f>VLOOKUP($B21,Aop!$A$2:$L$403,6,1)</f>
        <v>Ponovo iskazano stanje na dan 01.01.2013. god. (901 ± 902 ± 903)</v>
      </c>
      <c r="E21" s="155">
        <f>VLOOKUP($B21,Aop!$A$2:$L$403,4,1)</f>
        <v>904</v>
      </c>
      <c r="F21" s="107">
        <f>SUM(F18:F20)</f>
        <v>5762636</v>
      </c>
      <c r="G21" s="107">
        <f>SUM(G18:G20)</f>
        <v>254285</v>
      </c>
      <c r="H21" s="107">
        <f>SUM(H18:H20)</f>
        <v>0</v>
      </c>
      <c r="I21" s="107">
        <f>SUM(I18:I20)</f>
        <v>0</v>
      </c>
      <c r="J21" s="107">
        <f>SUM(J18:J20)</f>
        <v>-2886700</v>
      </c>
      <c r="K21" s="107">
        <f t="shared" si="0"/>
        <v>3130221</v>
      </c>
      <c r="L21" s="107">
        <f>SUM(L18:L20)</f>
        <v>0</v>
      </c>
      <c r="M21" s="108">
        <f t="shared" si="1"/>
        <v>3130221</v>
      </c>
    </row>
    <row r="22" spans="2:13" ht="25.5" x14ac:dyDescent="0.2">
      <c r="B22" s="74">
        <v>384</v>
      </c>
      <c r="C22" s="156">
        <f>VLOOKUP($B22,Aop!$A$2:$L$403,5,1)</f>
        <v>5</v>
      </c>
      <c r="D22" s="157" t="str">
        <f>VLOOKUP($B22,Aop!$A$2:$L$403,6,1)</f>
        <v xml:space="preserve">    Efekti revalorizacije materijalnih i nematerijalnih sredstava</v>
      </c>
      <c r="E22" s="158">
        <f>VLOOKUP($B22,Aop!$A$2:$L$403,4,1)</f>
        <v>905</v>
      </c>
      <c r="F22" s="115"/>
      <c r="G22" s="115"/>
      <c r="H22" s="115"/>
      <c r="I22" s="115"/>
      <c r="J22" s="115"/>
      <c r="K22" s="300">
        <f t="shared" si="0"/>
        <v>0</v>
      </c>
      <c r="L22" s="115"/>
      <c r="M22" s="302">
        <f t="shared" si="1"/>
        <v>0</v>
      </c>
    </row>
    <row r="23" spans="2:13" ht="25.5" x14ac:dyDescent="0.2">
      <c r="B23" s="74">
        <v>385</v>
      </c>
      <c r="C23" s="153">
        <f>VLOOKUP($B23,Aop!$A$2:$L$403,5,1)</f>
        <v>6</v>
      </c>
      <c r="D23" s="154" t="str">
        <f>VLOOKUP($B23,Aop!$A$2:$L$403,6,1)</f>
        <v xml:space="preserve">    Nerealizovani dobici/gubici po osnovu finansijskih sredstava raspoloživih za prodaju</v>
      </c>
      <c r="E23" s="155">
        <f>VLOOKUP($B23,Aop!$A$2:$L$403,4,1)</f>
        <v>906</v>
      </c>
      <c r="F23" s="113"/>
      <c r="G23" s="113"/>
      <c r="H23" s="113"/>
      <c r="I23" s="113"/>
      <c r="J23" s="113"/>
      <c r="K23" s="299">
        <f t="shared" si="0"/>
        <v>0</v>
      </c>
      <c r="L23" s="113"/>
      <c r="M23" s="301">
        <f t="shared" si="1"/>
        <v>0</v>
      </c>
    </row>
    <row r="24" spans="2:13" ht="25.5" x14ac:dyDescent="0.2">
      <c r="B24" s="74">
        <v>386</v>
      </c>
      <c r="C24" s="156">
        <f>VLOOKUP($B24,Aop!$A$2:$L$403,5,1)</f>
        <v>7</v>
      </c>
      <c r="D24" s="157" t="str">
        <f>VLOOKUP($B24,Aop!$A$2:$L$403,6,1)</f>
        <v xml:space="preserve">    Kursne razlike nastale po osnovu preračuna finansijskih izvještaja u drugu funkcionalnu valutu</v>
      </c>
      <c r="E24" s="158">
        <f>VLOOKUP($B24,Aop!$A$2:$L$403,4,1)</f>
        <v>907</v>
      </c>
      <c r="F24" s="115"/>
      <c r="G24" s="115"/>
      <c r="H24" s="115"/>
      <c r="I24" s="115"/>
      <c r="J24" s="115"/>
      <c r="K24" s="300">
        <f t="shared" si="0"/>
        <v>0</v>
      </c>
      <c r="L24" s="115"/>
      <c r="M24" s="302">
        <f t="shared" si="1"/>
        <v>0</v>
      </c>
    </row>
    <row r="25" spans="2:13" x14ac:dyDescent="0.2">
      <c r="B25" s="74">
        <v>387</v>
      </c>
      <c r="C25" s="153">
        <f>VLOOKUP($B25,Aop!$A$2:$L$403,5,1)</f>
        <v>8</v>
      </c>
      <c r="D25" s="154" t="str">
        <f>VLOOKUP($B25,Aop!$A$2:$L$403,6,1)</f>
        <v xml:space="preserve">    Neto dobitak/gubitak perioda iskazan u bilansu uspjeha</v>
      </c>
      <c r="E25" s="155">
        <f>VLOOKUP($B25,Aop!$A$2:$L$403,4,1)</f>
        <v>908</v>
      </c>
      <c r="F25" s="113"/>
      <c r="G25" s="113"/>
      <c r="H25" s="113"/>
      <c r="I25" s="113"/>
      <c r="J25" s="113">
        <v>-132834</v>
      </c>
      <c r="K25" s="299">
        <f t="shared" si="0"/>
        <v>-132834</v>
      </c>
      <c r="L25" s="113"/>
      <c r="M25" s="301">
        <f t="shared" si="1"/>
        <v>-132834</v>
      </c>
    </row>
    <row r="26" spans="2:13" x14ac:dyDescent="0.2">
      <c r="B26" s="74">
        <v>388</v>
      </c>
      <c r="C26" s="156">
        <f>VLOOKUP($B26,Aop!$A$2:$L$403,5,1)</f>
        <v>9</v>
      </c>
      <c r="D26" s="157" t="str">
        <f>VLOOKUP($B26,Aop!$A$2:$L$403,6,1)</f>
        <v xml:space="preserve">    Neto dobici/gubici perioda priznati direktno u kapitalu</v>
      </c>
      <c r="E26" s="158">
        <f>VLOOKUP($B26,Aop!$A$2:$L$403,4,1)</f>
        <v>909</v>
      </c>
      <c r="F26" s="115"/>
      <c r="G26" s="115"/>
      <c r="H26" s="115"/>
      <c r="I26" s="115"/>
      <c r="J26" s="115"/>
      <c r="K26" s="300">
        <f t="shared" si="0"/>
        <v>0</v>
      </c>
      <c r="L26" s="115"/>
      <c r="M26" s="302">
        <f t="shared" si="1"/>
        <v>0</v>
      </c>
    </row>
    <row r="27" spans="2:13" ht="25.5" x14ac:dyDescent="0.2">
      <c r="B27" s="74">
        <v>389</v>
      </c>
      <c r="C27" s="153">
        <f>VLOOKUP($B27,Aop!$A$2:$L$403,5,1)</f>
        <v>10</v>
      </c>
      <c r="D27" s="154" t="str">
        <f>VLOOKUP($B27,Aop!$A$2:$L$403,6,1)</f>
        <v xml:space="preserve">    Objavljene dividende i drugi vidovi raspodjele dobitka i pokriće gubitka</v>
      </c>
      <c r="E27" s="155">
        <f>VLOOKUP($B27,Aop!$A$2:$L$403,4,1)</f>
        <v>910</v>
      </c>
      <c r="F27" s="113"/>
      <c r="G27" s="113"/>
      <c r="H27" s="113"/>
      <c r="I27" s="113"/>
      <c r="J27" s="113"/>
      <c r="K27" s="299">
        <f t="shared" si="0"/>
        <v>0</v>
      </c>
      <c r="L27" s="113"/>
      <c r="M27" s="301">
        <f t="shared" si="1"/>
        <v>0</v>
      </c>
    </row>
    <row r="28" spans="2:13" ht="25.5" x14ac:dyDescent="0.2">
      <c r="B28" s="74">
        <v>390</v>
      </c>
      <c r="C28" s="156">
        <f>VLOOKUP($B28,Aop!$A$2:$L$403,5,1)</f>
        <v>11</v>
      </c>
      <c r="D28" s="157" t="str">
        <f>VLOOKUP($B28,Aop!$A$2:$L$403,6,1)</f>
        <v xml:space="preserve">    Emisija akcijskog kapitala i drugi vidovi povećanja ili smanjenje osnovnog kapitala</v>
      </c>
      <c r="E28" s="158">
        <f>VLOOKUP($B28,Aop!$A$2:$L$403,4,1)</f>
        <v>911</v>
      </c>
      <c r="F28" s="115"/>
      <c r="G28" s="115"/>
      <c r="H28" s="115"/>
      <c r="I28" s="115"/>
      <c r="J28" s="115"/>
      <c r="K28" s="300">
        <f t="shared" si="0"/>
        <v>0</v>
      </c>
      <c r="L28" s="115"/>
      <c r="M28" s="302">
        <f t="shared" si="1"/>
        <v>0</v>
      </c>
    </row>
    <row r="29" spans="2:13" ht="25.5" x14ac:dyDescent="0.2">
      <c r="B29" s="74">
        <v>391</v>
      </c>
      <c r="C29" s="153">
        <f>VLOOKUP($B29,Aop!$A$2:$L$403,5,1)</f>
        <v>12</v>
      </c>
      <c r="D29" s="159" t="str">
        <f>VLOOKUP($B29,Aop!$A$2:$L$403,6,1)</f>
        <v>Stanje na dan 31.12.2013. god. / 01.01.2014. god. (904 ± 905 ± 906 ± 907 ± 908 ± 909 - 910 + 911)</v>
      </c>
      <c r="E29" s="155">
        <f>VLOOKUP($B29,Aop!$A$2:$L$403,4,1)</f>
        <v>912</v>
      </c>
      <c r="F29" s="352">
        <f>SUM(F21:F26,-F27,F28)</f>
        <v>5762636</v>
      </c>
      <c r="G29" s="352">
        <f>SUM(G21:G26,-G27,G28)</f>
        <v>254285</v>
      </c>
      <c r="H29" s="352">
        <f>SUM(H21:H26,-H27,H28)</f>
        <v>0</v>
      </c>
      <c r="I29" s="352">
        <f>SUM(I21:I26,-I27,I28)</f>
        <v>0</v>
      </c>
      <c r="J29" s="352">
        <f>SUM(J21:J26,-J27,J28)</f>
        <v>-3019534</v>
      </c>
      <c r="K29" s="352">
        <f t="shared" si="0"/>
        <v>2997387</v>
      </c>
      <c r="L29" s="352">
        <f>SUM(L21:L26,-L27,L28)</f>
        <v>0</v>
      </c>
      <c r="M29" s="353">
        <f t="shared" si="1"/>
        <v>2997387</v>
      </c>
    </row>
    <row r="30" spans="2:13" x14ac:dyDescent="0.2">
      <c r="B30" s="74">
        <v>392</v>
      </c>
      <c r="C30" s="156">
        <f>VLOOKUP($B30,Aop!$A$2:$L$403,5,1)</f>
        <v>13</v>
      </c>
      <c r="D30" s="157" t="str">
        <f>VLOOKUP($B30,Aop!$A$2:$L$403,6,1)</f>
        <v xml:space="preserve">    Efekti promjena u računovodstvenim politikama</v>
      </c>
      <c r="E30" s="158">
        <f>VLOOKUP($B30,Aop!$A$2:$L$403,4,1)</f>
        <v>913</v>
      </c>
      <c r="F30" s="115"/>
      <c r="G30" s="115"/>
      <c r="H30" s="115"/>
      <c r="I30" s="115"/>
      <c r="J30" s="115"/>
      <c r="K30" s="300">
        <f t="shared" si="0"/>
        <v>0</v>
      </c>
      <c r="L30" s="115"/>
      <c r="M30" s="302">
        <f t="shared" si="1"/>
        <v>0</v>
      </c>
    </row>
    <row r="31" spans="2:13" x14ac:dyDescent="0.2">
      <c r="B31" s="74">
        <v>393</v>
      </c>
      <c r="C31" s="153">
        <f>VLOOKUP($B31,Aop!$A$2:$L$403,5,1)</f>
        <v>14</v>
      </c>
      <c r="D31" s="154" t="str">
        <f>VLOOKUP($B31,Aop!$A$2:$L$403,6,1)</f>
        <v xml:space="preserve">    Efekti ispravke grešaka</v>
      </c>
      <c r="E31" s="155">
        <f>VLOOKUP($B31,Aop!$A$2:$L$403,4,1)</f>
        <v>914</v>
      </c>
      <c r="F31" s="113"/>
      <c r="G31" s="113"/>
      <c r="H31" s="113"/>
      <c r="I31" s="113"/>
      <c r="J31" s="113"/>
      <c r="K31" s="299">
        <f t="shared" si="0"/>
        <v>0</v>
      </c>
      <c r="L31" s="113"/>
      <c r="M31" s="301">
        <f t="shared" si="1"/>
        <v>0</v>
      </c>
    </row>
    <row r="32" spans="2:13" ht="25.5" x14ac:dyDescent="0.2">
      <c r="B32" s="74">
        <v>394</v>
      </c>
      <c r="C32" s="156">
        <f>VLOOKUP($B32,Aop!$A$2:$L$403,5,1)</f>
        <v>15</v>
      </c>
      <c r="D32" s="160" t="str">
        <f>VLOOKUP($B32,Aop!$A$2:$L$403,6,1)</f>
        <v>Ponovo iskazano stanje na dan 01.01.2014. god. (912 ± 913 ± 914)</v>
      </c>
      <c r="E32" s="158">
        <f>VLOOKUP($B32,Aop!$A$2:$L$403,4,1)</f>
        <v>915</v>
      </c>
      <c r="F32" s="111">
        <f>SUM(F29:F31)</f>
        <v>5762636</v>
      </c>
      <c r="G32" s="111">
        <f t="shared" ref="G32:L32" si="2">SUM(G29:G31)</f>
        <v>254285</v>
      </c>
      <c r="H32" s="111">
        <f t="shared" si="2"/>
        <v>0</v>
      </c>
      <c r="I32" s="111">
        <f t="shared" si="2"/>
        <v>0</v>
      </c>
      <c r="J32" s="111">
        <f t="shared" si="2"/>
        <v>-3019534</v>
      </c>
      <c r="K32" s="111">
        <f t="shared" si="0"/>
        <v>2997387</v>
      </c>
      <c r="L32" s="111">
        <f t="shared" si="2"/>
        <v>0</v>
      </c>
      <c r="M32" s="112">
        <f t="shared" si="1"/>
        <v>2997387</v>
      </c>
    </row>
    <row r="33" spans="2:13" ht="25.5" x14ac:dyDescent="0.2">
      <c r="B33" s="74">
        <v>395</v>
      </c>
      <c r="C33" s="153">
        <f>VLOOKUP($B33,Aop!$A$2:$L$403,5,1)</f>
        <v>16</v>
      </c>
      <c r="D33" s="154" t="str">
        <f>VLOOKUP($B33,Aop!$A$2:$L$403,6,1)</f>
        <v xml:space="preserve">    Efekti revalorizacije materijalnih i nematerijalnih sredstava</v>
      </c>
      <c r="E33" s="155">
        <f>VLOOKUP($B33,Aop!$A$2:$L$403,4,1)</f>
        <v>916</v>
      </c>
      <c r="F33" s="113"/>
      <c r="G33" s="113"/>
      <c r="H33" s="113"/>
      <c r="I33" s="113"/>
      <c r="J33" s="113"/>
      <c r="K33" s="299">
        <f t="shared" si="0"/>
        <v>0</v>
      </c>
      <c r="L33" s="113"/>
      <c r="M33" s="301">
        <f t="shared" si="1"/>
        <v>0</v>
      </c>
    </row>
    <row r="34" spans="2:13" ht="25.5" x14ac:dyDescent="0.2">
      <c r="B34" s="74">
        <v>396</v>
      </c>
      <c r="C34" s="156">
        <f>VLOOKUP($B34,Aop!$A$2:$L$403,5,1)</f>
        <v>17</v>
      </c>
      <c r="D34" s="157" t="str">
        <f>VLOOKUP($B34,Aop!$A$2:$L$403,6,1)</f>
        <v xml:space="preserve">    Nerealizovani dobici/gubici po osnovu finansijskih sredstava raspoloživih za prodaju</v>
      </c>
      <c r="E34" s="158">
        <f>VLOOKUP($B34,Aop!$A$2:$L$403,4,1)</f>
        <v>917</v>
      </c>
      <c r="F34" s="115"/>
      <c r="G34" s="115"/>
      <c r="H34" s="115"/>
      <c r="I34" s="115"/>
      <c r="J34" s="115"/>
      <c r="K34" s="300">
        <f t="shared" si="0"/>
        <v>0</v>
      </c>
      <c r="L34" s="115"/>
      <c r="M34" s="302">
        <f t="shared" si="1"/>
        <v>0</v>
      </c>
    </row>
    <row r="35" spans="2:13" ht="25.5" x14ac:dyDescent="0.2">
      <c r="B35" s="74">
        <v>397</v>
      </c>
      <c r="C35" s="153">
        <f>VLOOKUP($B35,Aop!$A$2:$L$403,5,1)</f>
        <v>18</v>
      </c>
      <c r="D35" s="154" t="str">
        <f>VLOOKUP($B35,Aop!$A$2:$L$403,6,1)</f>
        <v xml:space="preserve">    Kursne razlike nastale po osnovu preračuna finansijskih izvještaja u drugu funkcionalnu valutu</v>
      </c>
      <c r="E35" s="155">
        <f>VLOOKUP($B35,Aop!$A$2:$L$403,4,1)</f>
        <v>918</v>
      </c>
      <c r="F35" s="113"/>
      <c r="G35" s="113"/>
      <c r="H35" s="113"/>
      <c r="I35" s="113"/>
      <c r="J35" s="113"/>
      <c r="K35" s="299">
        <f t="shared" si="0"/>
        <v>0</v>
      </c>
      <c r="L35" s="113"/>
      <c r="M35" s="301">
        <f t="shared" si="1"/>
        <v>0</v>
      </c>
    </row>
    <row r="36" spans="2:13" x14ac:dyDescent="0.2">
      <c r="B36" s="74">
        <v>398</v>
      </c>
      <c r="C36" s="156">
        <f>VLOOKUP($B36,Aop!$A$2:$L$403,5,1)</f>
        <v>19</v>
      </c>
      <c r="D36" s="157" t="str">
        <f>VLOOKUP($B36,Aop!$A$2:$L$403,6,1)</f>
        <v xml:space="preserve">    Neto dobitak/gubitak perioda iskazan u bilansu uspjeha</v>
      </c>
      <c r="E36" s="158">
        <f>VLOOKUP($B36,Aop!$A$2:$L$403,4,1)</f>
        <v>919</v>
      </c>
      <c r="F36" s="115"/>
      <c r="G36" s="115"/>
      <c r="H36" s="115"/>
      <c r="I36" s="115"/>
      <c r="J36" s="115">
        <v>-14580</v>
      </c>
      <c r="K36" s="300">
        <f t="shared" si="0"/>
        <v>-14580</v>
      </c>
      <c r="L36" s="115"/>
      <c r="M36" s="302">
        <f t="shared" si="1"/>
        <v>-14580</v>
      </c>
    </row>
    <row r="37" spans="2:13" x14ac:dyDescent="0.2">
      <c r="B37" s="74">
        <v>399</v>
      </c>
      <c r="C37" s="153">
        <f>VLOOKUP($B37,Aop!$A$2:$L$403,5,1)</f>
        <v>20</v>
      </c>
      <c r="D37" s="154" t="str">
        <f>VLOOKUP($B37,Aop!$A$2:$L$403,6,1)</f>
        <v xml:space="preserve">    Neto dobici/gubici perioda priznati direktno u kapitalu</v>
      </c>
      <c r="E37" s="155">
        <f>VLOOKUP($B37,Aop!$A$2:$L$403,4,1)</f>
        <v>920</v>
      </c>
      <c r="F37" s="113"/>
      <c r="G37" s="113"/>
      <c r="H37" s="113"/>
      <c r="I37" s="113"/>
      <c r="J37" s="113"/>
      <c r="K37" s="299">
        <f t="shared" si="0"/>
        <v>0</v>
      </c>
      <c r="L37" s="113"/>
      <c r="M37" s="301">
        <f t="shared" si="1"/>
        <v>0</v>
      </c>
    </row>
    <row r="38" spans="2:13" ht="25.5" x14ac:dyDescent="0.2">
      <c r="B38" s="74">
        <v>400</v>
      </c>
      <c r="C38" s="156">
        <f>VLOOKUP($B38,Aop!$A$2:$L$403,5,1)</f>
        <v>21</v>
      </c>
      <c r="D38" s="157" t="str">
        <f>VLOOKUP($B38,Aop!$A$2:$L$403,6,1)</f>
        <v xml:space="preserve">    Objavljene dividende i drugi vidovi raspodjele dobitka i pokriće gubitka</v>
      </c>
      <c r="E38" s="158">
        <f>VLOOKUP($B38,Aop!$A$2:$L$403,4,1)</f>
        <v>921</v>
      </c>
      <c r="F38" s="115"/>
      <c r="G38" s="115"/>
      <c r="H38" s="115"/>
      <c r="I38" s="115"/>
      <c r="J38" s="115"/>
      <c r="K38" s="300">
        <f t="shared" si="0"/>
        <v>0</v>
      </c>
      <c r="L38" s="115"/>
      <c r="M38" s="302">
        <f t="shared" si="1"/>
        <v>0</v>
      </c>
    </row>
    <row r="39" spans="2:13" ht="25.5" x14ac:dyDescent="0.2">
      <c r="B39" s="74">
        <v>401</v>
      </c>
      <c r="C39" s="153">
        <f>VLOOKUP($B39,Aop!$A$2:$L$403,5,1)</f>
        <v>22</v>
      </c>
      <c r="D39" s="154" t="str">
        <f>VLOOKUP($B39,Aop!$A$2:$L$403,6,1)</f>
        <v xml:space="preserve">    Emisija akcijskog kapitala i drugi vidovi povećanja ili smanjenje osnovnog kapitala</v>
      </c>
      <c r="E39" s="155">
        <f>VLOOKUP($B39,Aop!$A$2:$L$403,4,1)</f>
        <v>922</v>
      </c>
      <c r="F39" s="113"/>
      <c r="G39" s="113"/>
      <c r="H39" s="113"/>
      <c r="I39" s="113"/>
      <c r="J39" s="113"/>
      <c r="K39" s="299">
        <f t="shared" si="0"/>
        <v>0</v>
      </c>
      <c r="L39" s="113"/>
      <c r="M39" s="301">
        <f t="shared" si="1"/>
        <v>0</v>
      </c>
    </row>
    <row r="40" spans="2:13" ht="25.5" x14ac:dyDescent="0.2">
      <c r="B40" s="74">
        <v>402</v>
      </c>
      <c r="C40" s="161">
        <f>VLOOKUP($B40,Aop!$A$2:$L$403,5,1)</f>
        <v>23</v>
      </c>
      <c r="D40" s="162" t="str">
        <f>VLOOKUP($B40,Aop!$A$2:$L$403,6,1)</f>
        <v>Stanje na dan 31.12.2014. god. (915 ± 916 ± 917 ± 918 ± 919 ± 920 - 921 + 922)</v>
      </c>
      <c r="E40" s="163">
        <f>VLOOKUP($B40,Aop!$A$2:$L$403,4,1)</f>
        <v>923</v>
      </c>
      <c r="F40" s="350">
        <f>SUM(F32:F37,-F38,F39)</f>
        <v>5762636</v>
      </c>
      <c r="G40" s="350">
        <f t="shared" ref="G40:L40" si="3">SUM(G32:G37,-G38,G39)</f>
        <v>254285</v>
      </c>
      <c r="H40" s="350">
        <f t="shared" si="3"/>
        <v>0</v>
      </c>
      <c r="I40" s="350">
        <f t="shared" si="3"/>
        <v>0</v>
      </c>
      <c r="J40" s="350">
        <f t="shared" si="3"/>
        <v>-3034114</v>
      </c>
      <c r="K40" s="350">
        <f t="shared" si="0"/>
        <v>2982807</v>
      </c>
      <c r="L40" s="350">
        <f t="shared" si="3"/>
        <v>0</v>
      </c>
      <c r="M40" s="351">
        <f t="shared" si="1"/>
        <v>2982807</v>
      </c>
    </row>
    <row r="41" spans="2:13" x14ac:dyDescent="0.2"/>
    <row r="42" spans="2:13" x14ac:dyDescent="0.2">
      <c r="J42" s="54" t="str">
        <f>Podnozje_U</f>
        <v>U</v>
      </c>
      <c r="K42" s="77" t="str">
        <f>Podatak_U</f>
        <v>DOBOJ</v>
      </c>
      <c r="L42" s="55"/>
      <c r="M42" s="55"/>
    </row>
    <row r="43" spans="2:13" x14ac:dyDescent="0.2">
      <c r="H43" s="67" t="str">
        <f>Podnozje_MP</f>
        <v>(M.P.)</v>
      </c>
      <c r="J43" s="54" t="str">
        <f>Podnozje_Dana</f>
        <v>Dana,</v>
      </c>
      <c r="K43" s="81" t="str">
        <f>Podatak_Dana</f>
        <v>27.02.2015.</v>
      </c>
      <c r="L43" s="58"/>
      <c r="M43" s="58"/>
    </row>
    <row r="44" spans="2:13" x14ac:dyDescent="0.2">
      <c r="J44" s="54" t="str">
        <f>Podnozje_Lice_sa_licencom</f>
        <v>Lice sa licencom:</v>
      </c>
      <c r="K44" s="81" t="str">
        <f>Podatak_Lice_sa_licencom</f>
        <v>Edina Hadžikadunić</v>
      </c>
      <c r="L44" s="58"/>
      <c r="M44" s="58"/>
    </row>
    <row r="45" spans="2:13" x14ac:dyDescent="0.2">
      <c r="J45" s="54" t="str">
        <f>Podnozje_Direktor</f>
        <v>Direktor:</v>
      </c>
      <c r="K45" s="81" t="str">
        <f>Podatak_Direktor</f>
        <v>Peterne Marosy Katalin</v>
      </c>
      <c r="L45" s="55"/>
      <c r="M45" s="55"/>
    </row>
    <row r="46" spans="2:13" x14ac:dyDescent="0.2"/>
    <row r="47" spans="2:13" x14ac:dyDescent="0.2"/>
  </sheetData>
  <sheetProtection password="FE56" sheet="1" objects="1" scenarios="1"/>
  <mergeCells count="15">
    <mergeCell ref="M15:M16"/>
    <mergeCell ref="L10:M10"/>
    <mergeCell ref="C12:M12"/>
    <mergeCell ref="C13:M13"/>
    <mergeCell ref="C7:D8"/>
    <mergeCell ref="C9:D9"/>
    <mergeCell ref="C15:C16"/>
    <mergeCell ref="E15:K15"/>
    <mergeCell ref="L15:L16"/>
    <mergeCell ref="D15:D16"/>
    <mergeCell ref="L5:M5"/>
    <mergeCell ref="L6:M6"/>
    <mergeCell ref="L7:M7"/>
    <mergeCell ref="L8:M8"/>
    <mergeCell ref="L9:M9"/>
  </mergeCells>
  <phoneticPr fontId="1" type="noConversion"/>
  <dataValidations count="2">
    <dataValidation type="whole" operator="notEqual" allowBlank="1" showInputMessage="1" showErrorMessage="1" errorTitle="Graška" error="Unose se vrijednosti u konvertibilnim markama, bez decimalnih mjesta." sqref="F18:J20 L18:L20 F22:J28 L22:L28 F30:J31 L30:L31 F33:J39 L33:L39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F21:J21 L21 F29:J29 L29 F32:J32 L32 K18:K39 M18:M39 F40:M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80" orientation="landscape" r:id="rId1"/>
  <headerFooter alignWithMargins="0">
    <oddFooter>&amp;RStrana &amp;P od &amp;N</oddFooter>
  </headerFooter>
  <colBreaks count="1" manualBreakCount="1">
    <brk id="13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723900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7"/>
  <sheetViews>
    <sheetView showGridLines="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90" sqref="E90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790</v>
      </c>
      <c r="B1" s="2" t="s">
        <v>811</v>
      </c>
      <c r="C1" s="2" t="s">
        <v>786</v>
      </c>
      <c r="D1" s="2" t="s">
        <v>789</v>
      </c>
      <c r="E1" s="2" t="s">
        <v>787</v>
      </c>
      <c r="F1" s="51" t="s">
        <v>943</v>
      </c>
      <c r="G1" s="2" t="s">
        <v>823</v>
      </c>
      <c r="H1" s="2" t="s">
        <v>1765</v>
      </c>
    </row>
    <row r="2" spans="1:8" x14ac:dyDescent="0.2">
      <c r="A2" s="1" t="s">
        <v>899</v>
      </c>
      <c r="B2" s="1" t="s">
        <v>900</v>
      </c>
      <c r="C2" s="1" t="s">
        <v>1071</v>
      </c>
      <c r="D2" s="1" t="s">
        <v>1072</v>
      </c>
      <c r="E2" s="1" t="s">
        <v>1073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5" si="1">COUNTIF($B$2:$B$1023,"="&amp;B2)</f>
        <v>1</v>
      </c>
    </row>
    <row r="3" spans="1:8" x14ac:dyDescent="0.2">
      <c r="A3" s="1" t="s">
        <v>899</v>
      </c>
      <c r="B3" s="1" t="s">
        <v>901</v>
      </c>
      <c r="C3" s="1" t="s">
        <v>1512</v>
      </c>
      <c r="D3" s="1" t="s">
        <v>1513</v>
      </c>
      <c r="E3" s="1" t="s">
        <v>1074</v>
      </c>
      <c r="F3" s="7" t="str">
        <f t="shared" si="0"/>
        <v>Podaci ispod izvještaja:</v>
      </c>
      <c r="G3" s="7" t="str">
        <f t="shared" ref="G3:G46" si="2">SUBSTITUTE(A3&amp;"_"&amp;B3," ","_")</f>
        <v>Objasnjenja_Podnozje</v>
      </c>
      <c r="H3">
        <f t="shared" si="1"/>
        <v>1</v>
      </c>
    </row>
    <row r="4" spans="1:8" x14ac:dyDescent="0.2">
      <c r="A4" s="1" t="s">
        <v>899</v>
      </c>
      <c r="B4" s="1" t="s">
        <v>902</v>
      </c>
      <c r="C4" s="1" t="s">
        <v>925</v>
      </c>
      <c r="D4" s="1" t="s">
        <v>1027</v>
      </c>
      <c r="E4" s="1" t="s">
        <v>926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899</v>
      </c>
      <c r="B5" s="1" t="s">
        <v>903</v>
      </c>
      <c r="C5" s="1" t="s">
        <v>904</v>
      </c>
      <c r="D5" s="1" t="s">
        <v>1028</v>
      </c>
      <c r="E5" s="1" t="s">
        <v>788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899</v>
      </c>
      <c r="B6" s="1" t="s">
        <v>1800</v>
      </c>
      <c r="C6" s="1" t="s">
        <v>1771</v>
      </c>
      <c r="D6" s="1" t="s">
        <v>1799</v>
      </c>
      <c r="E6" s="1" t="s">
        <v>1773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899</v>
      </c>
      <c r="B7" s="1" t="s">
        <v>1022</v>
      </c>
      <c r="C7" s="1" t="s">
        <v>1022</v>
      </c>
      <c r="D7" s="1" t="s">
        <v>1029</v>
      </c>
      <c r="E7" s="1" t="s">
        <v>1023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899</v>
      </c>
      <c r="B8" s="1" t="s">
        <v>869</v>
      </c>
      <c r="C8" s="1" t="s">
        <v>869</v>
      </c>
      <c r="D8" s="1" t="s">
        <v>1804</v>
      </c>
      <c r="E8" s="1" t="s">
        <v>1801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899</v>
      </c>
      <c r="B9" s="1" t="s">
        <v>868</v>
      </c>
      <c r="C9" s="1" t="s">
        <v>868</v>
      </c>
      <c r="D9" s="1" t="s">
        <v>1805</v>
      </c>
      <c r="E9" s="1" t="s">
        <v>1802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899</v>
      </c>
      <c r="B10" s="1" t="s">
        <v>864</v>
      </c>
      <c r="C10" s="1" t="s">
        <v>864</v>
      </c>
      <c r="D10" s="1" t="s">
        <v>1806</v>
      </c>
      <c r="E10" s="1" t="s">
        <v>1803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906</v>
      </c>
      <c r="B11" s="1" t="s">
        <v>907</v>
      </c>
      <c r="C11" s="1" t="s">
        <v>908</v>
      </c>
      <c r="D11" s="1" t="s">
        <v>921</v>
      </c>
      <c r="E11" s="1" t="s">
        <v>916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906</v>
      </c>
      <c r="B12" s="1" t="s">
        <v>913</v>
      </c>
      <c r="C12" s="1" t="s">
        <v>910</v>
      </c>
      <c r="D12" s="1" t="s">
        <v>922</v>
      </c>
      <c r="E12" s="1" t="s">
        <v>918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906</v>
      </c>
      <c r="B13" s="1" t="s">
        <v>909</v>
      </c>
      <c r="C13" s="1" t="s">
        <v>1075</v>
      </c>
      <c r="D13" s="1" t="s">
        <v>1076</v>
      </c>
      <c r="E13" s="1" t="s">
        <v>917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906</v>
      </c>
      <c r="B14" s="1" t="s">
        <v>914</v>
      </c>
      <c r="C14" s="1" t="s">
        <v>911</v>
      </c>
      <c r="D14" s="1" t="s">
        <v>923</v>
      </c>
      <c r="E14" s="1" t="s">
        <v>919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906</v>
      </c>
      <c r="B15" s="1" t="s">
        <v>915</v>
      </c>
      <c r="C15" s="1" t="s">
        <v>912</v>
      </c>
      <c r="D15" s="1" t="s">
        <v>924</v>
      </c>
      <c r="E15" s="1" t="s">
        <v>920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1013</v>
      </c>
      <c r="B16" s="1" t="s">
        <v>875</v>
      </c>
      <c r="C16" s="1" t="s">
        <v>940</v>
      </c>
      <c r="D16" s="1" t="s">
        <v>1033</v>
      </c>
      <c r="E16" s="1" t="s">
        <v>940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1013</v>
      </c>
      <c r="B17" s="1" t="s">
        <v>1823</v>
      </c>
      <c r="C17" s="1" t="s">
        <v>1826</v>
      </c>
      <c r="D17" s="1" t="s">
        <v>1825</v>
      </c>
      <c r="E17" s="1" t="s">
        <v>1824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1013</v>
      </c>
      <c r="B18" s="1" t="s">
        <v>1795</v>
      </c>
      <c r="C18" s="1" t="s">
        <v>1767</v>
      </c>
      <c r="D18" s="1" t="s">
        <v>1797</v>
      </c>
      <c r="E18" s="1" t="s">
        <v>1774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1013</v>
      </c>
      <c r="B19" s="1" t="s">
        <v>1796</v>
      </c>
      <c r="C19" s="1" t="s">
        <v>1766</v>
      </c>
      <c r="D19" s="1" t="s">
        <v>1798</v>
      </c>
      <c r="E19" s="1" t="s">
        <v>1775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1013</v>
      </c>
      <c r="B20" s="1" t="s">
        <v>1078</v>
      </c>
      <c r="C20" s="1" t="s">
        <v>1850</v>
      </c>
      <c r="D20" s="1" t="s">
        <v>1851</v>
      </c>
      <c r="E20" s="1" t="s">
        <v>1852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>COUNTIF($B$2:$B$1023,"="&amp;B20)</f>
        <v>1</v>
      </c>
    </row>
    <row r="21" spans="1:8" x14ac:dyDescent="0.2">
      <c r="A21" s="1" t="s">
        <v>927</v>
      </c>
      <c r="B21" s="1" t="s">
        <v>928</v>
      </c>
      <c r="C21" s="1" t="s">
        <v>866</v>
      </c>
      <c r="D21" s="1" t="s">
        <v>936</v>
      </c>
      <c r="E21" s="1" t="s">
        <v>932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927</v>
      </c>
      <c r="B22" s="1" t="s">
        <v>929</v>
      </c>
      <c r="C22" s="1" t="s">
        <v>865</v>
      </c>
      <c r="D22" s="1" t="s">
        <v>937</v>
      </c>
      <c r="E22" s="1" t="s">
        <v>934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927</v>
      </c>
      <c r="B23" s="1" t="s">
        <v>930</v>
      </c>
      <c r="C23" s="1" t="s">
        <v>867</v>
      </c>
      <c r="D23" s="1" t="s">
        <v>938</v>
      </c>
      <c r="E23" s="1" t="s">
        <v>933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927</v>
      </c>
      <c r="B24" s="1" t="s">
        <v>931</v>
      </c>
      <c r="C24" s="1" t="s">
        <v>862</v>
      </c>
      <c r="D24" s="1" t="s">
        <v>939</v>
      </c>
      <c r="E24" s="1" t="s">
        <v>935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927</v>
      </c>
      <c r="B25" s="1" t="s">
        <v>1846</v>
      </c>
      <c r="C25" s="1" t="s">
        <v>1847</v>
      </c>
      <c r="D25" s="1" t="s">
        <v>1848</v>
      </c>
      <c r="E25" s="1" t="s">
        <v>1849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>COUNTIF($B$2:$B$1023,"="&amp;B25)</f>
        <v>1</v>
      </c>
    </row>
    <row r="26" spans="1:8" x14ac:dyDescent="0.2">
      <c r="A26" t="s">
        <v>900</v>
      </c>
      <c r="B26" t="s">
        <v>812</v>
      </c>
      <c r="C26" t="s">
        <v>776</v>
      </c>
      <c r="D26" t="s">
        <v>795</v>
      </c>
      <c r="E26" t="s">
        <v>785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900</v>
      </c>
      <c r="B27" t="s">
        <v>813</v>
      </c>
      <c r="C27" t="s">
        <v>777</v>
      </c>
      <c r="D27" t="s">
        <v>1875</v>
      </c>
      <c r="E27" t="s">
        <v>781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900</v>
      </c>
      <c r="B28" t="s">
        <v>814</v>
      </c>
      <c r="C28" t="s">
        <v>778</v>
      </c>
      <c r="D28" t="s">
        <v>796</v>
      </c>
      <c r="E28" t="s">
        <v>784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900</v>
      </c>
      <c r="B29" t="s">
        <v>815</v>
      </c>
      <c r="C29" t="s">
        <v>779</v>
      </c>
      <c r="D29" t="s">
        <v>797</v>
      </c>
      <c r="E29" t="s">
        <v>782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900</v>
      </c>
      <c r="B30" t="s">
        <v>574</v>
      </c>
      <c r="C30" t="s">
        <v>780</v>
      </c>
      <c r="D30" t="s">
        <v>798</v>
      </c>
      <c r="E30" t="s">
        <v>783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900</v>
      </c>
      <c r="B31" t="s">
        <v>816</v>
      </c>
      <c r="C31" t="s">
        <v>1015</v>
      </c>
      <c r="D31" t="s">
        <v>1016</v>
      </c>
      <c r="E31" t="s">
        <v>788</v>
      </c>
      <c r="F31" t="str">
        <f t="shared" si="0"/>
        <v>Žiro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1761</v>
      </c>
      <c r="B32" t="s">
        <v>1833</v>
      </c>
      <c r="C32" t="s">
        <v>1830</v>
      </c>
      <c r="D32" t="s">
        <v>1832</v>
      </c>
      <c r="E32" t="s">
        <v>1831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1761</v>
      </c>
      <c r="B33" t="s">
        <v>1761</v>
      </c>
      <c r="C33" t="s">
        <v>1827</v>
      </c>
      <c r="D33" t="s">
        <v>1829</v>
      </c>
      <c r="E33" t="s">
        <v>1828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901</v>
      </c>
      <c r="B34" t="s">
        <v>598</v>
      </c>
      <c r="C34" t="s">
        <v>598</v>
      </c>
      <c r="D34" t="s">
        <v>799</v>
      </c>
      <c r="E34" t="s">
        <v>573</v>
      </c>
      <c r="F34" t="str">
        <f t="shared" si="0"/>
        <v>U</v>
      </c>
      <c r="G34" t="str">
        <f t="shared" si="2"/>
        <v>Podnozje_U</v>
      </c>
      <c r="H34">
        <f t="shared" si="1"/>
        <v>1</v>
      </c>
    </row>
    <row r="35" spans="1:8" x14ac:dyDescent="0.2">
      <c r="A35" t="s">
        <v>901</v>
      </c>
      <c r="B35" t="s">
        <v>599</v>
      </c>
      <c r="C35" t="s">
        <v>793</v>
      </c>
      <c r="D35" t="s">
        <v>800</v>
      </c>
      <c r="E35" t="s">
        <v>898</v>
      </c>
      <c r="F35" t="str">
        <f t="shared" si="0"/>
        <v>Dana,</v>
      </c>
      <c r="G35" t="str">
        <f t="shared" si="2"/>
        <v>Podnozje_Dana</v>
      </c>
      <c r="H35">
        <f t="shared" si="1"/>
        <v>1</v>
      </c>
    </row>
    <row r="36" spans="1:8" x14ac:dyDescent="0.2">
      <c r="A36" t="s">
        <v>901</v>
      </c>
      <c r="B36" t="s">
        <v>817</v>
      </c>
      <c r="C36" t="s">
        <v>792</v>
      </c>
      <c r="D36" t="s">
        <v>801</v>
      </c>
      <c r="E36" t="s">
        <v>1809</v>
      </c>
      <c r="F36" t="str">
        <f t="shared" ref="F36:F67" si="3">CHOOSE( ID_Jezik, C36, D36, E36)</f>
        <v>Lice sa licencom:</v>
      </c>
      <c r="G36" t="str">
        <f t="shared" si="2"/>
        <v>Podnozje_Lice_sa_licencom</v>
      </c>
      <c r="H36">
        <f t="shared" ref="H36:H67" si="4">COUNTIF($B$2:$B$1023,"="&amp;B36)</f>
        <v>1</v>
      </c>
    </row>
    <row r="37" spans="1:8" x14ac:dyDescent="0.2">
      <c r="A37" t="s">
        <v>901</v>
      </c>
      <c r="B37" t="s">
        <v>1807</v>
      </c>
      <c r="C37" t="s">
        <v>1772</v>
      </c>
      <c r="D37" t="s">
        <v>1808</v>
      </c>
      <c r="E37" t="s">
        <v>1776</v>
      </c>
      <c r="F37" s="3" t="str">
        <f t="shared" si="3"/>
        <v>Broj licence:</v>
      </c>
      <c r="G37" s="3" t="str">
        <f>SUBSTITUTE(A37&amp;"_"&amp;B37," ","_")</f>
        <v>Podnozje_Broj_licence</v>
      </c>
      <c r="H37" s="3">
        <f t="shared" si="4"/>
        <v>1</v>
      </c>
    </row>
    <row r="38" spans="1:8" x14ac:dyDescent="0.2">
      <c r="A38" t="s">
        <v>901</v>
      </c>
      <c r="B38" t="s">
        <v>600</v>
      </c>
      <c r="C38" t="s">
        <v>871</v>
      </c>
      <c r="D38" t="s">
        <v>872</v>
      </c>
      <c r="E38" t="s">
        <v>1777</v>
      </c>
      <c r="F38" t="str">
        <f t="shared" si="3"/>
        <v>Direktor:</v>
      </c>
      <c r="G38" t="str">
        <f t="shared" si="2"/>
        <v>Podnozje_Direktor</v>
      </c>
      <c r="H38">
        <f t="shared" si="4"/>
        <v>1</v>
      </c>
    </row>
    <row r="39" spans="1:8" x14ac:dyDescent="0.2">
      <c r="A39" t="s">
        <v>901</v>
      </c>
      <c r="B39" t="s">
        <v>818</v>
      </c>
      <c r="C39" t="s">
        <v>794</v>
      </c>
      <c r="D39" t="s">
        <v>802</v>
      </c>
      <c r="E39" t="s">
        <v>893</v>
      </c>
      <c r="F39" t="str">
        <f t="shared" si="3"/>
        <v>(M.P.)</v>
      </c>
      <c r="G39" t="str">
        <f t="shared" si="2"/>
        <v>Podnozje_MP</v>
      </c>
      <c r="H39">
        <f t="shared" si="4"/>
        <v>1</v>
      </c>
    </row>
    <row r="40" spans="1:8" x14ac:dyDescent="0.2">
      <c r="A40" t="s">
        <v>791</v>
      </c>
      <c r="B40" t="s">
        <v>819</v>
      </c>
      <c r="C40" t="s">
        <v>196</v>
      </c>
      <c r="D40" t="s">
        <v>803</v>
      </c>
      <c r="E40" t="s">
        <v>181</v>
      </c>
      <c r="F40" t="str">
        <f t="shared" si="3"/>
        <v>Bilans stanja</v>
      </c>
      <c r="G40" t="str">
        <f t="shared" si="2"/>
        <v>Nazivi_bilansa_BS</v>
      </c>
      <c r="H40">
        <f t="shared" si="4"/>
        <v>1</v>
      </c>
    </row>
    <row r="41" spans="1:8" x14ac:dyDescent="0.2">
      <c r="A41" t="s">
        <v>791</v>
      </c>
      <c r="B41" t="s">
        <v>837</v>
      </c>
      <c r="C41" t="s">
        <v>843</v>
      </c>
      <c r="D41" t="s">
        <v>876</v>
      </c>
      <c r="E41" t="s">
        <v>894</v>
      </c>
      <c r="F41" s="3" t="str">
        <f t="shared" si="3"/>
        <v>(Izvještaj o finansijskom položaju)</v>
      </c>
      <c r="G41" s="3" t="str">
        <f t="shared" si="2"/>
        <v>Nazivi_bilansa_BS1</v>
      </c>
      <c r="H41" s="3">
        <f t="shared" si="4"/>
        <v>1</v>
      </c>
    </row>
    <row r="42" spans="1:8" x14ac:dyDescent="0.2">
      <c r="A42" t="s">
        <v>791</v>
      </c>
      <c r="B42" t="s">
        <v>966</v>
      </c>
      <c r="C42" t="s">
        <v>197</v>
      </c>
      <c r="D42" t="s">
        <v>804</v>
      </c>
      <c r="E42" t="s">
        <v>182</v>
      </c>
      <c r="F42" t="str">
        <f t="shared" si="3"/>
        <v>Bilans uspjeha</v>
      </c>
      <c r="G42" t="str">
        <f t="shared" si="2"/>
        <v>Nazivi_bilansa_BUa</v>
      </c>
      <c r="H42">
        <f t="shared" si="4"/>
        <v>1</v>
      </c>
    </row>
    <row r="43" spans="1:8" x14ac:dyDescent="0.2">
      <c r="A43" t="s">
        <v>791</v>
      </c>
      <c r="B43" t="s">
        <v>1017</v>
      </c>
      <c r="C43" t="s">
        <v>841</v>
      </c>
      <c r="D43" t="s">
        <v>877</v>
      </c>
      <c r="E43" t="s">
        <v>1085</v>
      </c>
      <c r="F43" s="3" t="str">
        <f t="shared" si="3"/>
        <v>(Izvještaj o ukupnom rezultatu u periodu)</v>
      </c>
      <c r="G43" s="3" t="str">
        <f t="shared" si="2"/>
        <v>Nazivi_bilansa_BUa1</v>
      </c>
      <c r="H43" s="3">
        <f t="shared" si="4"/>
        <v>1</v>
      </c>
    </row>
    <row r="44" spans="1:8" x14ac:dyDescent="0.2">
      <c r="A44" t="s">
        <v>791</v>
      </c>
      <c r="B44" t="s">
        <v>1018</v>
      </c>
      <c r="C44" t="s">
        <v>1020</v>
      </c>
      <c r="D44" t="s">
        <v>1030</v>
      </c>
      <c r="E44" t="s">
        <v>1086</v>
      </c>
      <c r="F44" s="3" t="str">
        <f t="shared" si="3"/>
        <v>Izvještaj</v>
      </c>
      <c r="G44" s="3" t="str">
        <f>SUBSTITUTE(A44&amp;"_"&amp;B44," ","_")</f>
        <v>Nazivi_bilansa_BUb</v>
      </c>
      <c r="H44" s="3">
        <f t="shared" si="4"/>
        <v>1</v>
      </c>
    </row>
    <row r="45" spans="1:8" x14ac:dyDescent="0.2">
      <c r="A45" t="s">
        <v>791</v>
      </c>
      <c r="B45" t="s">
        <v>1019</v>
      </c>
      <c r="C45" t="s">
        <v>1021</v>
      </c>
      <c r="D45" t="s">
        <v>1031</v>
      </c>
      <c r="E45" t="s">
        <v>1514</v>
      </c>
      <c r="F45" s="3" t="str">
        <f t="shared" si="3"/>
        <v>o ostalim dobicima i gubicima perioda</v>
      </c>
      <c r="G45" s="3" t="str">
        <f>SUBSTITUTE(A45&amp;"_"&amp;B45," ","_")</f>
        <v>Nazivi_bilansa_BUb1</v>
      </c>
      <c r="H45" s="3">
        <f t="shared" si="4"/>
        <v>1</v>
      </c>
    </row>
    <row r="46" spans="1:8" x14ac:dyDescent="0.2">
      <c r="A46" t="s">
        <v>791</v>
      </c>
      <c r="B46" t="s">
        <v>820</v>
      </c>
      <c r="C46" t="s">
        <v>198</v>
      </c>
      <c r="D46" t="s">
        <v>805</v>
      </c>
      <c r="E46" t="s">
        <v>235</v>
      </c>
      <c r="F46" t="str">
        <f t="shared" si="3"/>
        <v>Bilans tokova gotovine</v>
      </c>
      <c r="G46" t="str">
        <f t="shared" si="2"/>
        <v>Nazivi_bilansa_BTG</v>
      </c>
      <c r="H46">
        <f t="shared" si="4"/>
        <v>1</v>
      </c>
    </row>
    <row r="47" spans="1:8" x14ac:dyDescent="0.2">
      <c r="A47" t="s">
        <v>791</v>
      </c>
      <c r="B47" t="s">
        <v>840</v>
      </c>
      <c r="C47" t="s">
        <v>842</v>
      </c>
      <c r="D47" t="s">
        <v>878</v>
      </c>
      <c r="E47" t="s">
        <v>1087</v>
      </c>
      <c r="F47" s="3" t="str">
        <f t="shared" si="3"/>
        <v>(Izvještaj o tokovima gotovine)</v>
      </c>
      <c r="G47" s="3" t="str">
        <f t="shared" ref="G47:G77" si="5">SUBSTITUTE(A47&amp;"_"&amp;B47," ","_")</f>
        <v>Nazivi_bilansa_BTG1</v>
      </c>
      <c r="H47" s="3">
        <f t="shared" si="4"/>
        <v>1</v>
      </c>
    </row>
    <row r="48" spans="1:8" x14ac:dyDescent="0.2">
      <c r="A48" t="s">
        <v>791</v>
      </c>
      <c r="B48" t="s">
        <v>821</v>
      </c>
      <c r="C48" t="s">
        <v>821</v>
      </c>
      <c r="D48" t="s">
        <v>879</v>
      </c>
      <c r="E48" t="s">
        <v>857</v>
      </c>
      <c r="F48" t="str">
        <f t="shared" si="3"/>
        <v>Aneks</v>
      </c>
      <c r="G48" t="str">
        <f t="shared" si="5"/>
        <v>Nazivi_bilansa_Aneks</v>
      </c>
      <c r="H48">
        <f t="shared" si="4"/>
        <v>1</v>
      </c>
    </row>
    <row r="49" spans="1:8" x14ac:dyDescent="0.2">
      <c r="A49" t="s">
        <v>791</v>
      </c>
      <c r="B49" t="s">
        <v>839</v>
      </c>
      <c r="C49" t="s">
        <v>838</v>
      </c>
      <c r="D49" t="s">
        <v>845</v>
      </c>
      <c r="E49" t="s">
        <v>844</v>
      </c>
      <c r="F49" s="3" t="str">
        <f t="shared" si="3"/>
        <v>(Dodatni računovodstveni izvještaj)</v>
      </c>
      <c r="G49" s="3" t="str">
        <f t="shared" si="5"/>
        <v>Nazivi_bilansa_Aneks1</v>
      </c>
      <c r="H49" s="3">
        <f t="shared" si="4"/>
        <v>1</v>
      </c>
    </row>
    <row r="50" spans="1:8" x14ac:dyDescent="0.2">
      <c r="A50" t="s">
        <v>791</v>
      </c>
      <c r="B50" t="s">
        <v>822</v>
      </c>
      <c r="C50" t="s">
        <v>575</v>
      </c>
      <c r="D50" t="s">
        <v>806</v>
      </c>
      <c r="E50" t="s">
        <v>287</v>
      </c>
      <c r="F50" t="str">
        <f t="shared" si="3"/>
        <v>Izvještaj o promjenama u kapitalu</v>
      </c>
      <c r="G50" t="str">
        <f t="shared" si="5"/>
        <v>Nazivi_bilansa_BPK</v>
      </c>
      <c r="H50">
        <f t="shared" si="4"/>
        <v>1</v>
      </c>
    </row>
    <row r="51" spans="1:8" x14ac:dyDescent="0.2">
      <c r="A51" t="s">
        <v>1012</v>
      </c>
      <c r="B51" t="s">
        <v>834</v>
      </c>
      <c r="C51" s="92" t="str">
        <f>CONCATENATE("na dan ",Datum_Format," godine")</f>
        <v>na dan 31.12.2014. godine</v>
      </c>
      <c r="D51" s="92" t="str">
        <f>CONCATENATE("нa дaн ",Datum_Format," гoдинe")</f>
        <v>нa дaн 31.12.2014. гoдинe</v>
      </c>
      <c r="E51" s="92" t="str">
        <f>CONCATENATE("date ",Datum_Format)</f>
        <v>date 31.12.2014.</v>
      </c>
      <c r="F51" s="3" t="str">
        <f t="shared" si="3"/>
        <v>na dan 31.12.2014. godine</v>
      </c>
      <c r="G51" s="3" t="str">
        <f t="shared" si="5"/>
        <v>Datumi_Datum_BS</v>
      </c>
      <c r="H51" s="3">
        <f t="shared" si="4"/>
        <v>1</v>
      </c>
    </row>
    <row r="52" spans="1:8" x14ac:dyDescent="0.2">
      <c r="A52" t="s">
        <v>1012</v>
      </c>
      <c r="B52" t="s">
        <v>835</v>
      </c>
      <c r="C52" s="92" t="str">
        <f>CONCATENATE("za period od 01.01. do ",Datum_Format," godine")</f>
        <v>za period od 01.01. do 31.12.2014. godine</v>
      </c>
      <c r="D52" s="92" t="str">
        <f>CONCATENATE("зa пeриoд oд 01.01. дo ",Datum_Format," гoдинe")</f>
        <v>зa пeриoд oд 01.01. дo 31.12.2014. гoдинe</v>
      </c>
      <c r="E52" s="92" t="str">
        <f>CONCATENATE("from 01.01. to ",Datum_Format)</f>
        <v>from 01.01. to 31.12.2014.</v>
      </c>
      <c r="F52" s="3" t="str">
        <f t="shared" si="3"/>
        <v>za period od 01.01. do 31.12.2014. godine</v>
      </c>
      <c r="G52" s="3" t="str">
        <f t="shared" si="5"/>
        <v>Datumi_Datum_BU</v>
      </c>
      <c r="H52" s="3">
        <f t="shared" si="4"/>
        <v>1</v>
      </c>
    </row>
    <row r="53" spans="1:8" x14ac:dyDescent="0.2">
      <c r="A53" t="s">
        <v>1012</v>
      </c>
      <c r="B53" t="s">
        <v>836</v>
      </c>
      <c r="C53" s="92" t="str">
        <f>CONCATENATE("za period od 01.01. do ",Datum_Format," godine")</f>
        <v>za period od 01.01. do 31.12.2014. godine</v>
      </c>
      <c r="D53" s="92" t="str">
        <f>CONCATENATE("зa пeриoд oд 01.01. дo ",Datum_Format," гoдинe")</f>
        <v>зa пeриoд oд 01.01. дo 31.12.2014. гoдинe</v>
      </c>
      <c r="E53" s="92" t="str">
        <f>CONCATENATE("from 01.01. to ",Datum_Format)</f>
        <v>from 01.01. to 31.12.2014.</v>
      </c>
      <c r="F53" s="3" t="str">
        <f t="shared" si="3"/>
        <v>za period od 01.01. do 31.12.2014. godine</v>
      </c>
      <c r="G53" s="3" t="str">
        <f t="shared" si="5"/>
        <v>Datumi_Datum_BTG</v>
      </c>
      <c r="H53" s="3">
        <f t="shared" si="4"/>
        <v>1</v>
      </c>
    </row>
    <row r="54" spans="1:8" x14ac:dyDescent="0.2">
      <c r="A54" t="s">
        <v>1012</v>
      </c>
      <c r="B54" t="s">
        <v>846</v>
      </c>
      <c r="C54" s="92" t="str">
        <f>CONCATENATE("od 01.01. do ",Datum_Format," godine")</f>
        <v>od 01.01. do 31.12.2014. godine</v>
      </c>
      <c r="D54" s="92" t="str">
        <f>CONCATENATE("oд 01.01. дo ",Datum_Format," гoдинe")</f>
        <v>oд 01.01. дo 31.12.2014. гoдинe</v>
      </c>
      <c r="E54" s="92" t="str">
        <f>CONCATENATE("from 01.01. to ",Datum_Format)</f>
        <v>from 01.01. to 31.12.2014.</v>
      </c>
      <c r="F54" s="3" t="str">
        <f t="shared" si="3"/>
        <v>od 01.01. do 31.12.2014. godine</v>
      </c>
      <c r="G54" s="3" t="str">
        <f t="shared" si="5"/>
        <v>Datumi_Datum_ODGP</v>
      </c>
      <c r="H54" s="3">
        <f t="shared" si="4"/>
        <v>1</v>
      </c>
    </row>
    <row r="55" spans="1:8" x14ac:dyDescent="0.2">
      <c r="A55" t="s">
        <v>1012</v>
      </c>
      <c r="B55" t="s">
        <v>847</v>
      </c>
      <c r="C55" s="92" t="str">
        <f>CONCATENATE("za period od 01.01. do ",Datum_Format," godine")</f>
        <v>za period od 01.01. do 31.12.2014. godine</v>
      </c>
      <c r="D55" s="92" t="str">
        <f>CONCATENATE("зa пeриoд oд 01.01. дo ",Datum_Format," гoдинe")</f>
        <v>зa пeриoд oд 01.01. дo 31.12.2014. гoдинe</v>
      </c>
      <c r="E55" s="92" t="str">
        <f>CONCATENATE("from 01.01. to ",Datum_Format)</f>
        <v>from 01.01. to 31.12.2014.</v>
      </c>
      <c r="F55" s="3" t="str">
        <f t="shared" si="3"/>
        <v>za period od 01.01. do 31.12.2014. godine</v>
      </c>
      <c r="G55" s="3" t="str">
        <f t="shared" si="5"/>
        <v>Datumi_Datum_Aneks</v>
      </c>
      <c r="H55" s="3">
        <f t="shared" si="4"/>
        <v>1</v>
      </c>
    </row>
    <row r="56" spans="1:8" x14ac:dyDescent="0.2">
      <c r="A56" t="s">
        <v>1012</v>
      </c>
      <c r="B56" t="s">
        <v>860</v>
      </c>
      <c r="C56" s="92" t="str">
        <f>CONCATENATE("za period koji se završava na dan ",Datum_Format," godine")</f>
        <v>za period koji se završava na dan 31.12.2014. godine</v>
      </c>
      <c r="D56" s="92" t="str">
        <f>CONCATENATE("зa пeриoд кojи сe зaвршaвa нa дaн ",Datum_Format," гoдинe")</f>
        <v>зa пeриoд кojи сe зaвршaвa нa дaн 31.12.2014. гoдинe</v>
      </c>
      <c r="E56" s="92" t="str">
        <f>CONCATENATE("for period ending ",Datum_Format)</f>
        <v>for period ending 31.12.2014.</v>
      </c>
      <c r="F56" s="3" t="str">
        <f t="shared" si="3"/>
        <v>za period koji se završava na dan 31.12.2014. godine</v>
      </c>
      <c r="G56" s="3" t="str">
        <f t="shared" si="5"/>
        <v>Datumi_Datum_BPK</v>
      </c>
      <c r="H56" s="3">
        <f t="shared" si="4"/>
        <v>1</v>
      </c>
    </row>
    <row r="57" spans="1:8" x14ac:dyDescent="0.2">
      <c r="A57" t="s">
        <v>848</v>
      </c>
      <c r="B57" t="s">
        <v>854</v>
      </c>
      <c r="C57" t="s">
        <v>858</v>
      </c>
      <c r="D57" t="s">
        <v>880</v>
      </c>
      <c r="E57" t="s">
        <v>895</v>
      </c>
      <c r="F57" s="3" t="str">
        <f t="shared" si="3"/>
        <v>Uputstvo za popunjavanje</v>
      </c>
      <c r="G57" s="3" t="str">
        <f t="shared" si="5"/>
        <v>Linkovi_Link_Uputstvo</v>
      </c>
      <c r="H57" s="3">
        <f t="shared" si="4"/>
        <v>1</v>
      </c>
    </row>
    <row r="58" spans="1:8" x14ac:dyDescent="0.2">
      <c r="A58" t="s">
        <v>848</v>
      </c>
      <c r="B58" t="s">
        <v>855</v>
      </c>
      <c r="C58" t="s">
        <v>859</v>
      </c>
      <c r="D58" t="s">
        <v>881</v>
      </c>
      <c r="E58" t="s">
        <v>896</v>
      </c>
      <c r="F58" s="3" t="str">
        <f t="shared" si="3"/>
        <v>Osnovni podaci</v>
      </c>
      <c r="G58" s="3" t="str">
        <f t="shared" si="5"/>
        <v>Linkovi_Link_Osnovni_podaci</v>
      </c>
      <c r="H58" s="3">
        <f t="shared" si="4"/>
        <v>1</v>
      </c>
    </row>
    <row r="59" spans="1:8" x14ac:dyDescent="0.2">
      <c r="A59" t="s">
        <v>848</v>
      </c>
      <c r="B59" t="s">
        <v>849</v>
      </c>
      <c r="C59" t="s">
        <v>1486</v>
      </c>
      <c r="D59" t="s">
        <v>1492</v>
      </c>
      <c r="E59" t="s">
        <v>1498</v>
      </c>
      <c r="F59" s="3" t="str">
        <f t="shared" si="3"/>
        <v>01) Bilans stanja</v>
      </c>
      <c r="G59" s="3" t="str">
        <f t="shared" si="5"/>
        <v>Linkovi_Link_BS</v>
      </c>
      <c r="H59" s="3">
        <f t="shared" si="4"/>
        <v>1</v>
      </c>
    </row>
    <row r="60" spans="1:8" x14ac:dyDescent="0.2">
      <c r="A60" t="s">
        <v>848</v>
      </c>
      <c r="B60" t="s">
        <v>850</v>
      </c>
      <c r="C60" t="s">
        <v>1487</v>
      </c>
      <c r="D60" t="s">
        <v>1493</v>
      </c>
      <c r="E60" t="s">
        <v>1499</v>
      </c>
      <c r="F60" s="3" t="str">
        <f t="shared" si="3"/>
        <v>02a) Bilans uspjeha</v>
      </c>
      <c r="G60" s="3" t="str">
        <f t="shared" si="5"/>
        <v>Linkovi_Link_BU</v>
      </c>
      <c r="H60" s="3">
        <f t="shared" si="4"/>
        <v>1</v>
      </c>
    </row>
    <row r="61" spans="1:8" x14ac:dyDescent="0.2">
      <c r="A61" t="s">
        <v>848</v>
      </c>
      <c r="B61" t="s">
        <v>852</v>
      </c>
      <c r="C61" t="s">
        <v>1488</v>
      </c>
      <c r="D61" t="s">
        <v>1494</v>
      </c>
      <c r="E61" t="s">
        <v>1515</v>
      </c>
      <c r="F61" s="3" t="str">
        <f t="shared" si="3"/>
        <v>02b) Izvještaj o ostalim dobicima i gubicima u periodu</v>
      </c>
      <c r="G61" s="3" t="str">
        <f t="shared" si="5"/>
        <v>Linkovi_Link_ODGP</v>
      </c>
      <c r="H61" s="3">
        <f t="shared" si="4"/>
        <v>1</v>
      </c>
    </row>
    <row r="62" spans="1:8" x14ac:dyDescent="0.2">
      <c r="A62" t="s">
        <v>848</v>
      </c>
      <c r="B62" t="s">
        <v>851</v>
      </c>
      <c r="C62" t="s">
        <v>1489</v>
      </c>
      <c r="D62" t="s">
        <v>1495</v>
      </c>
      <c r="E62" t="s">
        <v>1500</v>
      </c>
      <c r="F62" s="3" t="str">
        <f t="shared" si="3"/>
        <v>03) Bilans tokova gotovine</v>
      </c>
      <c r="G62" s="3" t="str">
        <f t="shared" si="5"/>
        <v>Linkovi_Link_BTG</v>
      </c>
      <c r="H62" s="3">
        <f t="shared" si="4"/>
        <v>1</v>
      </c>
    </row>
    <row r="63" spans="1:8" x14ac:dyDescent="0.2">
      <c r="A63" t="s">
        <v>848</v>
      </c>
      <c r="B63" t="s">
        <v>856</v>
      </c>
      <c r="C63" t="s">
        <v>1490</v>
      </c>
      <c r="D63" t="s">
        <v>1496</v>
      </c>
      <c r="E63" t="s">
        <v>1501</v>
      </c>
      <c r="F63" s="3" t="str">
        <f t="shared" si="3"/>
        <v>04) Aneks</v>
      </c>
      <c r="G63" s="3" t="str">
        <f t="shared" si="5"/>
        <v>Linkovi_Link_Aneks</v>
      </c>
      <c r="H63" s="3">
        <f t="shared" si="4"/>
        <v>1</v>
      </c>
    </row>
    <row r="64" spans="1:8" x14ac:dyDescent="0.2">
      <c r="A64" t="s">
        <v>848</v>
      </c>
      <c r="B64" t="s">
        <v>853</v>
      </c>
      <c r="C64" t="s">
        <v>1491</v>
      </c>
      <c r="D64" t="s">
        <v>1497</v>
      </c>
      <c r="E64" t="s">
        <v>1502</v>
      </c>
      <c r="F64" s="3" t="str">
        <f t="shared" si="3"/>
        <v>05) Izvještaj o promjenama u kapitalu</v>
      </c>
      <c r="G64" s="3" t="str">
        <f t="shared" si="5"/>
        <v>Linkovi_Link_BPK</v>
      </c>
      <c r="H64" s="3">
        <f t="shared" si="4"/>
        <v>1</v>
      </c>
    </row>
    <row r="65" spans="1:8" x14ac:dyDescent="0.2">
      <c r="A65" t="s">
        <v>1014</v>
      </c>
      <c r="B65" t="s">
        <v>824</v>
      </c>
      <c r="C65" t="s">
        <v>614</v>
      </c>
      <c r="D65" t="s">
        <v>882</v>
      </c>
      <c r="E65" t="s">
        <v>208</v>
      </c>
      <c r="F65" s="3" t="str">
        <f t="shared" si="3"/>
        <v>Grupa računa, račun</v>
      </c>
      <c r="G65" s="3" t="str">
        <f t="shared" si="5"/>
        <v>Tabele_zaglavlje_Grupa_racuna</v>
      </c>
      <c r="H65">
        <f t="shared" si="4"/>
        <v>1</v>
      </c>
    </row>
    <row r="66" spans="1:8" x14ac:dyDescent="0.2">
      <c r="A66" t="s">
        <v>1014</v>
      </c>
      <c r="B66" t="s">
        <v>825</v>
      </c>
      <c r="C66" t="s">
        <v>825</v>
      </c>
      <c r="D66" t="s">
        <v>883</v>
      </c>
      <c r="E66" t="s">
        <v>870</v>
      </c>
      <c r="F66" s="3" t="str">
        <f t="shared" si="3"/>
        <v>Pozicija</v>
      </c>
      <c r="G66" s="3" t="str">
        <f t="shared" si="5"/>
        <v>Tabele_zaglavlje_Pozicija</v>
      </c>
      <c r="H66">
        <f t="shared" si="4"/>
        <v>1</v>
      </c>
    </row>
    <row r="67" spans="1:8" x14ac:dyDescent="0.2">
      <c r="A67" t="s">
        <v>1014</v>
      </c>
      <c r="B67" t="s">
        <v>826</v>
      </c>
      <c r="C67" t="s">
        <v>579</v>
      </c>
      <c r="D67" t="s">
        <v>884</v>
      </c>
      <c r="E67" t="s">
        <v>632</v>
      </c>
      <c r="F67" s="3" t="str">
        <f t="shared" si="3"/>
        <v>Oznaka za AOP</v>
      </c>
      <c r="G67" s="3" t="str">
        <f t="shared" si="5"/>
        <v>Tabele_zaglavlje_Oznaka_aop</v>
      </c>
      <c r="H67">
        <f t="shared" si="4"/>
        <v>1</v>
      </c>
    </row>
    <row r="68" spans="1:8" x14ac:dyDescent="0.2">
      <c r="A68" t="s">
        <v>1014</v>
      </c>
      <c r="B68" t="s">
        <v>1024</v>
      </c>
      <c r="C68" t="s">
        <v>1025</v>
      </c>
      <c r="D68" t="s">
        <v>1032</v>
      </c>
      <c r="E68" t="s">
        <v>1026</v>
      </c>
      <c r="F68" s="3" t="str">
        <f t="shared" ref="F68:F97" si="6">CHOOSE( ID_Jezik, C68, D68, E68)</f>
        <v>Redni broj</v>
      </c>
      <c r="G68" s="3" t="str">
        <f>SUBSTITUTE(A68&amp;"_"&amp;B68," ","_")</f>
        <v>Tabele_zaglavlje_Redni_broj</v>
      </c>
      <c r="H68" s="3">
        <f t="shared" ref="H68:H97" si="7">COUNTIF($B$2:$B$1023,"="&amp;B68)</f>
        <v>1</v>
      </c>
    </row>
    <row r="69" spans="1:8" x14ac:dyDescent="0.2">
      <c r="A69" t="s">
        <v>1014</v>
      </c>
      <c r="B69" t="s">
        <v>829</v>
      </c>
      <c r="C69" t="s">
        <v>649</v>
      </c>
      <c r="D69" t="s">
        <v>885</v>
      </c>
      <c r="E69" t="s">
        <v>633</v>
      </c>
      <c r="F69" s="3" t="str">
        <f t="shared" si="6"/>
        <v>Iznos na dan bilansa tekuće godine</v>
      </c>
      <c r="G69" s="3" t="str">
        <f t="shared" si="5"/>
        <v>Tabele_zaglavlje_BS_iznos_tekuca</v>
      </c>
      <c r="H69">
        <f t="shared" si="7"/>
        <v>1</v>
      </c>
    </row>
    <row r="70" spans="1:8" x14ac:dyDescent="0.2">
      <c r="A70" t="s">
        <v>1014</v>
      </c>
      <c r="B70" t="s">
        <v>1010</v>
      </c>
      <c r="C70" t="s">
        <v>615</v>
      </c>
      <c r="D70" t="s">
        <v>886</v>
      </c>
      <c r="E70" t="s">
        <v>635</v>
      </c>
      <c r="F70" s="3" t="str">
        <f t="shared" si="6"/>
        <v>Bruto</v>
      </c>
      <c r="G70" s="3" t="str">
        <f t="shared" si="5"/>
        <v>Tabele_zaglavlje_BS_bruto</v>
      </c>
      <c r="H70">
        <f t="shared" si="7"/>
        <v>1</v>
      </c>
    </row>
    <row r="71" spans="1:8" x14ac:dyDescent="0.2">
      <c r="A71" t="s">
        <v>1014</v>
      </c>
      <c r="B71" t="s">
        <v>1011</v>
      </c>
      <c r="C71" t="s">
        <v>616</v>
      </c>
      <c r="D71" t="s">
        <v>887</v>
      </c>
      <c r="E71" t="s">
        <v>636</v>
      </c>
      <c r="F71" s="3" t="str">
        <f t="shared" si="6"/>
        <v>Ispravka vrijednosti</v>
      </c>
      <c r="G71" s="3" t="str">
        <f t="shared" si="5"/>
        <v>Tabele_zaglavlje_BS_ispravka</v>
      </c>
      <c r="H71">
        <f t="shared" si="7"/>
        <v>1</v>
      </c>
    </row>
    <row r="72" spans="1:8" x14ac:dyDescent="0.2">
      <c r="A72" t="s">
        <v>1014</v>
      </c>
      <c r="B72" t="s">
        <v>828</v>
      </c>
      <c r="C72" t="s">
        <v>617</v>
      </c>
      <c r="D72" t="s">
        <v>888</v>
      </c>
      <c r="E72" t="s">
        <v>637</v>
      </c>
      <c r="F72" s="3" t="str">
        <f t="shared" si="6"/>
        <v>Neto (4-5)</v>
      </c>
      <c r="G72" s="3" t="str">
        <f t="shared" si="5"/>
        <v>Tabele_zaglavlje_BS_neto</v>
      </c>
      <c r="H72">
        <f t="shared" si="7"/>
        <v>1</v>
      </c>
    </row>
    <row r="73" spans="1:8" x14ac:dyDescent="0.2">
      <c r="A73" t="s">
        <v>1014</v>
      </c>
      <c r="B73" t="s">
        <v>830</v>
      </c>
      <c r="C73" t="s">
        <v>1860</v>
      </c>
      <c r="D73" t="s">
        <v>1861</v>
      </c>
      <c r="E73" t="s">
        <v>634</v>
      </c>
      <c r="F73" s="3" t="str">
        <f t="shared" si="6"/>
        <v>Iznos na dan bilansa prethodne godine (PS)</v>
      </c>
      <c r="G73" s="3" t="str">
        <f t="shared" si="5"/>
        <v>Tabele_zaglavlje_BS_iznos_prethodna</v>
      </c>
      <c r="H73">
        <f t="shared" si="7"/>
        <v>1</v>
      </c>
    </row>
    <row r="74" spans="1:8" x14ac:dyDescent="0.2">
      <c r="A74" t="s">
        <v>1014</v>
      </c>
      <c r="B74" t="s">
        <v>595</v>
      </c>
      <c r="C74" t="s">
        <v>595</v>
      </c>
      <c r="D74" t="s">
        <v>889</v>
      </c>
      <c r="E74" t="s">
        <v>567</v>
      </c>
      <c r="F74" s="3" t="str">
        <f t="shared" si="6"/>
        <v>Iznos</v>
      </c>
      <c r="G74" s="3" t="str">
        <f t="shared" si="5"/>
        <v>Tabele_zaglavlje_Iznos</v>
      </c>
      <c r="H74" s="3">
        <f t="shared" si="7"/>
        <v>1</v>
      </c>
    </row>
    <row r="75" spans="1:8" x14ac:dyDescent="0.2">
      <c r="A75" t="s">
        <v>1014</v>
      </c>
      <c r="B75" t="s">
        <v>832</v>
      </c>
      <c r="C75" t="s">
        <v>596</v>
      </c>
      <c r="D75" t="s">
        <v>890</v>
      </c>
      <c r="E75" t="s">
        <v>568</v>
      </c>
      <c r="F75" s="3" t="str">
        <f t="shared" si="6"/>
        <v>Tekuća godina</v>
      </c>
      <c r="G75" s="3" t="str">
        <f t="shared" si="5"/>
        <v>Tabele_zaglavlje_Tekuca_godina</v>
      </c>
      <c r="H75">
        <f t="shared" si="7"/>
        <v>1</v>
      </c>
    </row>
    <row r="76" spans="1:8" x14ac:dyDescent="0.2">
      <c r="A76" t="s">
        <v>1014</v>
      </c>
      <c r="B76" t="s">
        <v>833</v>
      </c>
      <c r="C76" t="s">
        <v>597</v>
      </c>
      <c r="D76" t="s">
        <v>891</v>
      </c>
      <c r="E76" t="s">
        <v>569</v>
      </c>
      <c r="F76" s="3" t="str">
        <f t="shared" si="6"/>
        <v>Prethodna godina</v>
      </c>
      <c r="G76" s="3" t="str">
        <f t="shared" si="5"/>
        <v>Tabele_zaglavlje_Prethodna_godina</v>
      </c>
      <c r="H76">
        <f t="shared" si="7"/>
        <v>1</v>
      </c>
    </row>
    <row r="77" spans="1:8" x14ac:dyDescent="0.2">
      <c r="A77" t="s">
        <v>1014</v>
      </c>
      <c r="B77" t="s">
        <v>831</v>
      </c>
      <c r="C77" s="4" t="s">
        <v>827</v>
      </c>
      <c r="D77" s="4" t="s">
        <v>892</v>
      </c>
      <c r="E77" s="4" t="s">
        <v>897</v>
      </c>
      <c r="F77" s="3" t="str">
        <f t="shared" si="6"/>
        <v>- u konvertibilnim markama -</v>
      </c>
      <c r="G77" s="3" t="str">
        <f t="shared" si="5"/>
        <v>Tabele_zaglavlje_Valuta</v>
      </c>
      <c r="H77">
        <f t="shared" si="7"/>
        <v>1</v>
      </c>
    </row>
    <row r="78" spans="1:8" x14ac:dyDescent="0.2">
      <c r="A78" t="s">
        <v>1014</v>
      </c>
      <c r="B78" t="s">
        <v>1050</v>
      </c>
      <c r="C78" t="s">
        <v>276</v>
      </c>
      <c r="D78" t="s">
        <v>1060</v>
      </c>
      <c r="E78" t="s">
        <v>1051</v>
      </c>
      <c r="F78" s="3" t="str">
        <f t="shared" si="6"/>
        <v>Dio kapitala koji pripada vlasnicima matičnog privrednog društva</v>
      </c>
      <c r="G78" s="3" t="str">
        <f>SUBSTITUTE(A78&amp;"_"&amp;B78," ","_")</f>
        <v>Tabele_zaglavlje_BPK0</v>
      </c>
      <c r="H78" s="3">
        <f t="shared" si="7"/>
        <v>1</v>
      </c>
    </row>
    <row r="79" spans="1:8" x14ac:dyDescent="0.2">
      <c r="A79" t="s">
        <v>1014</v>
      </c>
      <c r="B79" t="s">
        <v>1041</v>
      </c>
      <c r="C79" t="s">
        <v>581</v>
      </c>
      <c r="D79" t="s">
        <v>1061</v>
      </c>
      <c r="E79" t="s">
        <v>1052</v>
      </c>
      <c r="F79" s="3" t="str">
        <f t="shared" si="6"/>
        <v>Vrsta promjene u kapitalu</v>
      </c>
      <c r="G79" s="3" t="str">
        <f t="shared" ref="G79:G87" si="8">SUBSTITUTE(A79&amp;"_"&amp;B79," ","_")</f>
        <v>Tabele_zaglavlje_BPK1</v>
      </c>
      <c r="H79" s="3">
        <f t="shared" si="7"/>
        <v>1</v>
      </c>
    </row>
    <row r="80" spans="1:8" x14ac:dyDescent="0.2">
      <c r="A80" t="s">
        <v>1014</v>
      </c>
      <c r="B80" t="s">
        <v>1042</v>
      </c>
      <c r="C80" t="s">
        <v>264</v>
      </c>
      <c r="D80" t="s">
        <v>1062</v>
      </c>
      <c r="E80" t="s">
        <v>1053</v>
      </c>
      <c r="F80" s="3" t="str">
        <f t="shared" si="6"/>
        <v>Akcijski kapital i udjeli u društvo sa ograničenom odgovornošću</v>
      </c>
      <c r="G80" s="3" t="str">
        <f t="shared" si="8"/>
        <v>Tabele_zaglavlje_BPK3</v>
      </c>
      <c r="H80" s="3">
        <f t="shared" si="7"/>
        <v>1</v>
      </c>
    </row>
    <row r="81" spans="1:8" x14ac:dyDescent="0.2">
      <c r="A81" t="s">
        <v>1014</v>
      </c>
      <c r="B81" t="s">
        <v>1043</v>
      </c>
      <c r="C81" t="s">
        <v>265</v>
      </c>
      <c r="D81" t="s">
        <v>1063</v>
      </c>
      <c r="E81" t="s">
        <v>1054</v>
      </c>
      <c r="F81" s="3" t="str">
        <f t="shared" si="6"/>
        <v>Revalorizacione rezerve (MRS 16, MRS 21 i MRS 38)</v>
      </c>
      <c r="G81" s="3" t="str">
        <f t="shared" si="8"/>
        <v>Tabele_zaglavlje_BPK4</v>
      </c>
      <c r="H81" s="3">
        <f t="shared" si="7"/>
        <v>1</v>
      </c>
    </row>
    <row r="82" spans="1:8" x14ac:dyDescent="0.2">
      <c r="A82" t="s">
        <v>1014</v>
      </c>
      <c r="B82" t="s">
        <v>1044</v>
      </c>
      <c r="C82" t="s">
        <v>266</v>
      </c>
      <c r="D82" t="s">
        <v>1064</v>
      </c>
      <c r="E82" t="s">
        <v>298</v>
      </c>
      <c r="F82" s="3" t="str">
        <f t="shared" si="6"/>
        <v>Nerealizovani dobici/ gubici po osnovu finansijskih sredstava raspoloživih za prodaju</v>
      </c>
      <c r="G82" s="3" t="str">
        <f t="shared" si="8"/>
        <v>Tabele_zaglavlje_BPK5</v>
      </c>
      <c r="H82" s="3">
        <f t="shared" si="7"/>
        <v>1</v>
      </c>
    </row>
    <row r="83" spans="1:8" x14ac:dyDescent="0.2">
      <c r="A83" t="s">
        <v>1014</v>
      </c>
      <c r="B83" t="s">
        <v>1045</v>
      </c>
      <c r="C83" t="s">
        <v>275</v>
      </c>
      <c r="D83" t="s">
        <v>1065</v>
      </c>
      <c r="E83" t="s">
        <v>1055</v>
      </c>
      <c r="F83" s="3" t="str">
        <f t="shared" si="6"/>
        <v xml:space="preserve">Ostale rezerve (emisiona premija, zakonske i statutarne rezerve, zaštita gotovinskih tokova) </v>
      </c>
      <c r="G83" s="3" t="str">
        <f t="shared" si="8"/>
        <v>Tabele_zaglavlje_BPK6</v>
      </c>
      <c r="H83" s="3">
        <f t="shared" si="7"/>
        <v>1</v>
      </c>
    </row>
    <row r="84" spans="1:8" x14ac:dyDescent="0.2">
      <c r="A84" t="s">
        <v>1014</v>
      </c>
      <c r="B84" t="s">
        <v>1046</v>
      </c>
      <c r="C84" t="s">
        <v>1040</v>
      </c>
      <c r="D84" t="s">
        <v>1066</v>
      </c>
      <c r="E84" t="s">
        <v>1056</v>
      </c>
      <c r="F84" s="3" t="str">
        <f t="shared" si="6"/>
        <v>Akumulisani neraspoređeni dobitak / nepokriveni gubitak</v>
      </c>
      <c r="G84" s="3" t="str">
        <f t="shared" si="8"/>
        <v>Tabele_zaglavlje_BPK7</v>
      </c>
      <c r="H84" s="3">
        <f t="shared" si="7"/>
        <v>1</v>
      </c>
    </row>
    <row r="85" spans="1:8" x14ac:dyDescent="0.2">
      <c r="A85" t="s">
        <v>1014</v>
      </c>
      <c r="B85" t="s">
        <v>1047</v>
      </c>
      <c r="C85" t="s">
        <v>578</v>
      </c>
      <c r="D85" t="s">
        <v>1067</v>
      </c>
      <c r="E85" t="s">
        <v>1057</v>
      </c>
      <c r="F85" s="3" t="str">
        <f t="shared" si="6"/>
        <v>Ukupno</v>
      </c>
      <c r="G85" s="3" t="str">
        <f t="shared" si="8"/>
        <v>Tabele_zaglavlje_BPK8</v>
      </c>
      <c r="H85" s="3">
        <f t="shared" si="7"/>
        <v>1</v>
      </c>
    </row>
    <row r="86" spans="1:8" x14ac:dyDescent="0.2">
      <c r="A86" t="s">
        <v>1014</v>
      </c>
      <c r="B86" t="s">
        <v>1048</v>
      </c>
      <c r="C86" t="s">
        <v>580</v>
      </c>
      <c r="D86" t="s">
        <v>1068</v>
      </c>
      <c r="E86" t="s">
        <v>1058</v>
      </c>
      <c r="F86" s="3" t="str">
        <f t="shared" si="6"/>
        <v>Manjinski interes</v>
      </c>
      <c r="G86" s="3" t="str">
        <f t="shared" si="8"/>
        <v>Tabele_zaglavlje_BPK9</v>
      </c>
      <c r="H86" s="3">
        <f t="shared" si="7"/>
        <v>1</v>
      </c>
    </row>
    <row r="87" spans="1:8" x14ac:dyDescent="0.2">
      <c r="A87" t="s">
        <v>1014</v>
      </c>
      <c r="B87" t="s">
        <v>1049</v>
      </c>
      <c r="C87" t="s">
        <v>277</v>
      </c>
      <c r="D87" t="s">
        <v>1069</v>
      </c>
      <c r="E87" t="s">
        <v>1059</v>
      </c>
      <c r="F87" s="3" t="str">
        <f t="shared" si="6"/>
        <v>UKUPNI KAPITAL</v>
      </c>
      <c r="G87" s="3" t="str">
        <f t="shared" si="8"/>
        <v>Tabele_zaglavlje_BPK10</v>
      </c>
      <c r="H87" s="3">
        <f t="shared" si="7"/>
        <v>1</v>
      </c>
    </row>
    <row r="88" spans="1:8" x14ac:dyDescent="0.2">
      <c r="A88" t="s">
        <v>1788</v>
      </c>
      <c r="B88" t="s">
        <v>1790</v>
      </c>
      <c r="C88" t="s">
        <v>1843</v>
      </c>
      <c r="D88" t="s">
        <v>1844</v>
      </c>
      <c r="E88" t="s">
        <v>1876</v>
      </c>
      <c r="F88" s="3" t="str">
        <f t="shared" si="6"/>
        <v>Obavezan unos podataka u formi!</v>
      </c>
      <c r="G88" s="3" t="str">
        <f t="shared" ref="G88:G97" si="9">SUBSTITUTE(A88&amp;"_"&amp;B88," ","_")</f>
        <v>Kontrola_Obavezno</v>
      </c>
      <c r="H88" s="3">
        <f t="shared" si="7"/>
        <v>1</v>
      </c>
    </row>
    <row r="89" spans="1:8" x14ac:dyDescent="0.2">
      <c r="A89" t="s">
        <v>1788</v>
      </c>
      <c r="B89" t="s">
        <v>1791</v>
      </c>
      <c r="C89" t="s">
        <v>1789</v>
      </c>
      <c r="D89" t="s">
        <v>1792</v>
      </c>
      <c r="E89" t="s">
        <v>1793</v>
      </c>
      <c r="F89" s="3" t="str">
        <f t="shared" si="6"/>
        <v>Neispravan unos podataka!</v>
      </c>
      <c r="G89" s="3" t="str">
        <f t="shared" si="9"/>
        <v>Kontrola_Neispravno</v>
      </c>
      <c r="H89" s="3">
        <f t="shared" si="7"/>
        <v>1</v>
      </c>
    </row>
    <row r="90" spans="1:8" x14ac:dyDescent="0.2">
      <c r="A90" t="s">
        <v>1816</v>
      </c>
      <c r="B90" t="s">
        <v>1817</v>
      </c>
      <c r="C90" t="s">
        <v>1768</v>
      </c>
      <c r="D90" t="s">
        <v>1810</v>
      </c>
      <c r="E90" t="s">
        <v>1778</v>
      </c>
      <c r="F90" s="3" t="str">
        <f t="shared" si="6"/>
        <v>Revidiran izvještaj:</v>
      </c>
      <c r="G90" s="3" t="str">
        <f t="shared" si="9"/>
        <v>Revizija_Revidiran_izvjestaj</v>
      </c>
      <c r="H90" s="3">
        <f t="shared" si="7"/>
        <v>1</v>
      </c>
    </row>
    <row r="91" spans="1:8" x14ac:dyDescent="0.2">
      <c r="A91" t="s">
        <v>1816</v>
      </c>
      <c r="B91" t="s">
        <v>1818</v>
      </c>
      <c r="C91" t="s">
        <v>1834</v>
      </c>
      <c r="D91" t="s">
        <v>1835</v>
      </c>
      <c r="E91" t="s">
        <v>1836</v>
      </c>
      <c r="F91" s="3" t="str">
        <f t="shared" si="6"/>
        <v>Mišljenje revizora:</v>
      </c>
      <c r="G91" s="3" t="str">
        <f t="shared" si="9"/>
        <v>Revizija_Misljenje</v>
      </c>
      <c r="H91" s="3">
        <f t="shared" si="7"/>
        <v>1</v>
      </c>
    </row>
    <row r="92" spans="1:8" x14ac:dyDescent="0.2">
      <c r="A92" t="s">
        <v>1816</v>
      </c>
      <c r="B92" t="s">
        <v>1786</v>
      </c>
      <c r="C92" t="s">
        <v>1787</v>
      </c>
      <c r="D92" t="s">
        <v>1811</v>
      </c>
      <c r="E92" t="s">
        <v>1794</v>
      </c>
      <c r="F92" s="3" t="str">
        <f t="shared" si="6"/>
        <v>Podaci o revizorskoj firmi:</v>
      </c>
      <c r="G92" s="3" t="str">
        <f t="shared" si="9"/>
        <v>Revizija_Podaci_o_revizorskoj_firmi</v>
      </c>
      <c r="H92" s="3">
        <f t="shared" si="7"/>
        <v>1</v>
      </c>
    </row>
    <row r="93" spans="1:8" x14ac:dyDescent="0.2">
      <c r="A93" t="s">
        <v>1816</v>
      </c>
      <c r="B93" t="s">
        <v>1870</v>
      </c>
      <c r="C93" t="s">
        <v>1871</v>
      </c>
      <c r="D93" t="s">
        <v>1872</v>
      </c>
      <c r="E93" t="s">
        <v>1873</v>
      </c>
      <c r="F93" s="3" t="str">
        <f>CHOOSE( ID_Jezik, C93, D93, E93)</f>
        <v>Naziv revizorske firme:</v>
      </c>
      <c r="G93" s="3" t="str">
        <f>SUBSTITUTE(A93&amp;"_"&amp;B93," ","_")</f>
        <v>Revizija_Naziv_revizorske_firme</v>
      </c>
      <c r="H93" s="3">
        <f>COUNTIF($B$2:$B$1023,"="&amp;B93)</f>
        <v>1</v>
      </c>
    </row>
    <row r="94" spans="1:8" x14ac:dyDescent="0.2">
      <c r="A94" t="s">
        <v>1816</v>
      </c>
      <c r="B94" t="s">
        <v>1819</v>
      </c>
      <c r="C94" t="s">
        <v>1779</v>
      </c>
      <c r="D94" t="s">
        <v>1812</v>
      </c>
      <c r="E94" t="s">
        <v>1845</v>
      </c>
      <c r="F94" s="3" t="str">
        <f t="shared" si="6"/>
        <v>Pozitivno mišljenje</v>
      </c>
      <c r="G94" s="3" t="str">
        <f t="shared" si="9"/>
        <v>Revizija_Pozitivno</v>
      </c>
      <c r="H94" s="3">
        <f t="shared" si="7"/>
        <v>1</v>
      </c>
    </row>
    <row r="95" spans="1:8" x14ac:dyDescent="0.2">
      <c r="A95" t="s">
        <v>1816</v>
      </c>
      <c r="B95" t="s">
        <v>1822</v>
      </c>
      <c r="C95" t="s">
        <v>1785</v>
      </c>
      <c r="D95" t="s">
        <v>1813</v>
      </c>
      <c r="E95" t="s">
        <v>1780</v>
      </c>
      <c r="F95" s="3" t="str">
        <f t="shared" si="6"/>
        <v>Mišljenje sa rezervom</v>
      </c>
      <c r="G95" s="3" t="str">
        <f t="shared" si="9"/>
        <v>Revizija_Sa_rezervom</v>
      </c>
      <c r="H95" s="3">
        <f t="shared" si="7"/>
        <v>1</v>
      </c>
    </row>
    <row r="96" spans="1:8" x14ac:dyDescent="0.2">
      <c r="A96" t="s">
        <v>1816</v>
      </c>
      <c r="B96" t="s">
        <v>1820</v>
      </c>
      <c r="C96" t="s">
        <v>1782</v>
      </c>
      <c r="D96" t="s">
        <v>1814</v>
      </c>
      <c r="E96" t="s">
        <v>1781</v>
      </c>
      <c r="F96" s="3" t="str">
        <f t="shared" si="6"/>
        <v>Negativno mišljenje</v>
      </c>
      <c r="G96" s="3" t="str">
        <f t="shared" si="9"/>
        <v>Revizija_Negativno</v>
      </c>
      <c r="H96" s="3">
        <f t="shared" si="7"/>
        <v>1</v>
      </c>
    </row>
    <row r="97" spans="1:8" x14ac:dyDescent="0.2">
      <c r="A97" t="s">
        <v>1816</v>
      </c>
      <c r="B97" t="s">
        <v>1821</v>
      </c>
      <c r="C97" t="s">
        <v>1784</v>
      </c>
      <c r="D97" t="s">
        <v>1815</v>
      </c>
      <c r="E97" t="s">
        <v>1783</v>
      </c>
      <c r="F97" s="3" t="str">
        <f t="shared" si="6"/>
        <v>Uzdržavanje od mišljenja</v>
      </c>
      <c r="G97" s="3" t="str">
        <f t="shared" si="9"/>
        <v>Revizija_Uzdrzavanje</v>
      </c>
      <c r="H97" s="3">
        <f t="shared" si="7"/>
        <v>1</v>
      </c>
    </row>
  </sheetData>
  <sheetProtection password="FE56" sheet="1" objects="1" scenarios="1"/>
  <conditionalFormatting sqref="C2:E97">
    <cfRule type="containsBlanks" dxfId="64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4:D54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149</vt:i4>
      </vt:variant>
    </vt:vector>
  </HeadingPairs>
  <TitlesOfParts>
    <vt:vector size="15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'05'!Print_Titles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V2.4</cp:keywords>
  <dc:description>Izmjenjen Aneks, SL. G. 106/12</dc:description>
  <cp:lastModifiedBy>Alen Hadzic</cp:lastModifiedBy>
  <cp:lastPrinted>2015-03-02T09:07:26Z</cp:lastPrinted>
  <dcterms:created xsi:type="dcterms:W3CDTF">2007-02-19T09:55:19Z</dcterms:created>
  <dcterms:modified xsi:type="dcterms:W3CDTF">2015-03-02T09:31:43Z</dcterms:modified>
</cp:coreProperties>
</file>