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7455" tabRatio="960"/>
  </bookViews>
  <sheets>
    <sheet name="БУ" sheetId="2" r:id="rId1"/>
    <sheet name="БС" sheetId="1" r:id="rId2"/>
    <sheet name="ПРОМЈЕНЕ" sheetId="3" r:id="rId3"/>
    <sheet name="ТОК ГОТОВИНЕ" sheetId="4" r:id="rId4"/>
    <sheet name="СТРУКТУРА УЛАГАЊА АКЦИЈЕ 12 14" sheetId="31" r:id="rId5"/>
    <sheet name="НЕРЕАЛИЗОВАНИ ДОБ ГУБИТ 12 14" sheetId="29" r:id="rId6"/>
    <sheet name="СТРУКТУРА УЛАГАЊА ОБВ. 12 14" sheetId="14" r:id="rId7"/>
    <sheet name="STR ULAGANJA VRSTE IMOVIN 12 14" sheetId="13" r:id="rId8"/>
    <sheet name="РЕАЛИЗОВАНИ ДОБ ГУБ  12 14" sheetId="26" r:id="rId9"/>
    <sheet name="ТРАНС.СА ПОВ. ЛИЦИМА 31.12.14" sheetId="17" r:id="rId10"/>
    <sheet name="ФИНАНСИЈСКИ ПОКАЗАТЕЉИ 31.12" sheetId="27" r:id="rId11"/>
    <sheet name="СТРУКТУРА ОБАВЕЗА 31.12.14" sheetId="28" r:id="rId12"/>
    <sheet name="Sheet1" sheetId="22" r:id="rId13"/>
  </sheets>
  <definedNames>
    <definedName name="_xlnm._FilterDatabase" localSheetId="5" hidden="1">'НЕРЕАЛИЗОВАНИ ДОБ ГУБИТ 12 14'!$A$16:$S$76</definedName>
    <definedName name="_xlnm.Print_Area" localSheetId="7">'STR ULAGANJA VRSTE IMOVIN 12 14'!$A$1:$G$37</definedName>
    <definedName name="_xlnm.Print_Area" localSheetId="1">БС!$B$1:$F$87</definedName>
    <definedName name="_xlnm.Print_Area" localSheetId="0">БУ!$A$1:$G$91</definedName>
    <definedName name="_xlnm.Print_Area" localSheetId="5">'НЕРЕАЛИЗОВАНИ ДОБ ГУБИТ 12 14'!$A$1:$S$83</definedName>
    <definedName name="_xlnm.Print_Area" localSheetId="2">ПРОМЈЕНЕ!$A$1:$E$40</definedName>
    <definedName name="_xlnm.Print_Area" localSheetId="8">'РЕАЛИЗОВАНИ ДОБ ГУБ  12 14'!$A$1:$F$119</definedName>
    <definedName name="_xlnm.Print_Area" localSheetId="11">'СТРУКТУРА ОБАВЕЗА 31.12.14'!$A$1:$G$32</definedName>
    <definedName name="_xlnm.Print_Area" localSheetId="4">'СТРУКТУРА УЛАГАЊА АКЦИЈЕ 12 14'!$A$1:$K$79</definedName>
    <definedName name="_xlnm.Print_Area" localSheetId="6">'СТРУКТУРА УЛАГАЊА ОБВ. 12 14'!$A$1:$K$32</definedName>
    <definedName name="_xlnm.Print_Area" localSheetId="3">'ТОК ГОТОВИНЕ'!$A$1:$E$69</definedName>
    <definedName name="_xlnm.Print_Area" localSheetId="9">'ТРАНС.СА ПОВ. ЛИЦИМА 31.12.14'!$A$1:$P$80</definedName>
    <definedName name="_xlnm.Print_Area" localSheetId="10">'ФИНАНСИЈСКИ ПОКАЗАТЕЉИ 31.12'!$A$1:$H$37</definedName>
  </definedNames>
  <calcPr calcId="125725"/>
  <fileRecoveryPr autoRecover="0"/>
</workbook>
</file>

<file path=xl/calcChain.xml><?xml version="1.0" encoding="utf-8"?>
<calcChain xmlns="http://schemas.openxmlformats.org/spreadsheetml/2006/main">
  <c r="F62" i="26"/>
  <c r="D68"/>
  <c r="D67"/>
  <c r="F68"/>
  <c r="E28" i="27"/>
  <c r="E26"/>
  <c r="C35" i="4"/>
  <c r="C21"/>
  <c r="D19" i="3"/>
  <c r="E65" i="1"/>
  <c r="E77"/>
  <c r="E45"/>
  <c r="E42"/>
  <c r="D81" i="2"/>
  <c r="E21" i="1" l="1"/>
  <c r="E19"/>
  <c r="F47"/>
  <c r="D33" i="2"/>
  <c r="D34" s="1"/>
  <c r="E17" i="3" l="1"/>
  <c r="D60" i="4"/>
  <c r="D28" i="3"/>
  <c r="F18" i="1"/>
  <c r="I41" i="31"/>
  <c r="F75" i="29"/>
  <c r="E75"/>
  <c r="M74"/>
  <c r="G73"/>
  <c r="F24" i="14"/>
  <c r="G24"/>
  <c r="H24"/>
  <c r="J24"/>
  <c r="G71" i="17" l="1"/>
  <c r="F65" i="26"/>
  <c r="F66"/>
  <c r="F64"/>
  <c r="L70" i="2" l="1"/>
  <c r="K74"/>
  <c r="O17" i="29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N54"/>
  <c r="L72" i="2" l="1"/>
  <c r="G72" i="29"/>
  <c r="G71"/>
  <c r="G70"/>
  <c r="G69"/>
  <c r="G68"/>
  <c r="M68" s="1"/>
  <c r="K70" i="31" l="1"/>
  <c r="G70"/>
  <c r="I69"/>
  <c r="I68"/>
  <c r="I64"/>
  <c r="I63"/>
  <c r="I62"/>
  <c r="I61"/>
  <c r="G61"/>
  <c r="I60"/>
  <c r="G60"/>
  <c r="I58"/>
  <c r="G58"/>
  <c r="I57"/>
  <c r="G57"/>
  <c r="I56"/>
  <c r="G56"/>
  <c r="I55"/>
  <c r="G55"/>
  <c r="I54"/>
  <c r="G54"/>
  <c r="I53"/>
  <c r="G53"/>
  <c r="I52"/>
  <c r="G52"/>
  <c r="I51"/>
  <c r="G51"/>
  <c r="I50"/>
  <c r="G50"/>
  <c r="I49"/>
  <c r="G49"/>
  <c r="I48"/>
  <c r="G48"/>
  <c r="I47"/>
  <c r="G47"/>
  <c r="I46"/>
  <c r="G46"/>
  <c r="I45"/>
  <c r="G45"/>
  <c r="I44"/>
  <c r="G44"/>
  <c r="I43"/>
  <c r="G43"/>
  <c r="I42"/>
  <c r="G42"/>
  <c r="G41"/>
  <c r="I40"/>
  <c r="G40"/>
  <c r="I39"/>
  <c r="G39"/>
  <c r="I38"/>
  <c r="G38"/>
  <c r="I37"/>
  <c r="G37"/>
  <c r="I36"/>
  <c r="G36"/>
  <c r="I35"/>
  <c r="G35"/>
  <c r="I34"/>
  <c r="G34"/>
  <c r="I33"/>
  <c r="G33"/>
  <c r="I32"/>
  <c r="G32"/>
  <c r="I31"/>
  <c r="G31"/>
  <c r="I30"/>
  <c r="G30"/>
  <c r="I29"/>
  <c r="G29"/>
  <c r="I28"/>
  <c r="G28"/>
  <c r="I27"/>
  <c r="G27"/>
  <c r="I26"/>
  <c r="G26"/>
  <c r="I25"/>
  <c r="G25"/>
  <c r="I24"/>
  <c r="G24"/>
  <c r="I23"/>
  <c r="G23"/>
  <c r="I22"/>
  <c r="G22"/>
  <c r="I21"/>
  <c r="G21"/>
  <c r="I20"/>
  <c r="G20"/>
  <c r="I19"/>
  <c r="G19"/>
  <c r="I18"/>
  <c r="G18"/>
  <c r="I17"/>
  <c r="G17"/>
  <c r="I16"/>
  <c r="G65" l="1"/>
  <c r="I70"/>
  <c r="G72"/>
  <c r="I65"/>
  <c r="I72" l="1"/>
  <c r="K55" s="1"/>
  <c r="K19" l="1"/>
  <c r="K58"/>
  <c r="K31"/>
  <c r="K32"/>
  <c r="K56"/>
  <c r="K49"/>
  <c r="K18"/>
  <c r="K38"/>
  <c r="K57"/>
  <c r="K65" l="1"/>
  <c r="K72" s="1"/>
  <c r="D26" i="4"/>
  <c r="D19" l="1"/>
  <c r="D40"/>
  <c r="D44"/>
  <c r="D54" s="1"/>
  <c r="D53" l="1"/>
  <c r="D51"/>
  <c r="D27" i="2"/>
  <c r="E79"/>
  <c r="D79"/>
  <c r="E70"/>
  <c r="D70"/>
  <c r="E63"/>
  <c r="D63"/>
  <c r="J46"/>
  <c r="E46"/>
  <c r="D46"/>
  <c r="E43"/>
  <c r="D43"/>
  <c r="E35"/>
  <c r="D35"/>
  <c r="E27"/>
  <c r="E22"/>
  <c r="D22"/>
  <c r="E17"/>
  <c r="D17"/>
  <c r="E41" l="1"/>
  <c r="E42"/>
  <c r="D42"/>
  <c r="D41"/>
  <c r="D17" i="3" s="1"/>
  <c r="J75" i="29"/>
  <c r="E51" i="2" l="1"/>
  <c r="E52"/>
  <c r="D52"/>
  <c r="J47" s="1"/>
  <c r="D51"/>
  <c r="D59" l="1"/>
  <c r="E61"/>
  <c r="E82" s="1"/>
  <c r="E75" i="1"/>
  <c r="M73" i="29"/>
  <c r="F91" i="26" l="1"/>
  <c r="F101" s="1"/>
  <c r="E101"/>
  <c r="P19" i="27" l="1"/>
  <c r="P20" s="1"/>
  <c r="P22" s="1"/>
  <c r="F19" i="26"/>
  <c r="F82" s="1"/>
  <c r="H23" i="3"/>
  <c r="F76" i="1"/>
  <c r="F73"/>
  <c r="F41"/>
  <c r="F26"/>
  <c r="L18" i="27"/>
  <c r="J11"/>
  <c r="C26" i="4"/>
  <c r="J23" i="27"/>
  <c r="J25" s="1"/>
  <c r="E37" i="1"/>
  <c r="E72"/>
  <c r="E70" s="1"/>
  <c r="E41"/>
  <c r="P80" i="29"/>
  <c r="P81" s="1"/>
  <c r="P83" s="1"/>
  <c r="K75"/>
  <c r="I75"/>
  <c r="H75"/>
  <c r="M72"/>
  <c r="M71"/>
  <c r="M70"/>
  <c r="M69"/>
  <c r="L75"/>
  <c r="O67"/>
  <c r="N67"/>
  <c r="S66"/>
  <c r="N66"/>
  <c r="R66" s="1"/>
  <c r="M66"/>
  <c r="S65"/>
  <c r="N65"/>
  <c r="R65" s="1"/>
  <c r="M65"/>
  <c r="S64"/>
  <c r="N64"/>
  <c r="R64" s="1"/>
  <c r="M64"/>
  <c r="S63"/>
  <c r="N63"/>
  <c r="R63" s="1"/>
  <c r="M63"/>
  <c r="S62"/>
  <c r="N62"/>
  <c r="R62" s="1"/>
  <c r="M62"/>
  <c r="N61"/>
  <c r="N60"/>
  <c r="G60"/>
  <c r="N59"/>
  <c r="G59"/>
  <c r="N58"/>
  <c r="G58"/>
  <c r="N57"/>
  <c r="G57"/>
  <c r="N56"/>
  <c r="G56"/>
  <c r="N55"/>
  <c r="G55"/>
  <c r="M55" s="1"/>
  <c r="G54"/>
  <c r="M54" s="1"/>
  <c r="S53"/>
  <c r="N53"/>
  <c r="M53"/>
  <c r="S52"/>
  <c r="N52"/>
  <c r="R52" s="1"/>
  <c r="M52"/>
  <c r="N51"/>
  <c r="G51"/>
  <c r="M51" s="1"/>
  <c r="N50"/>
  <c r="G50"/>
  <c r="M50" s="1"/>
  <c r="N49"/>
  <c r="G49"/>
  <c r="M49" s="1"/>
  <c r="S48"/>
  <c r="N48"/>
  <c r="R48" s="1"/>
  <c r="M48"/>
  <c r="N47"/>
  <c r="G47"/>
  <c r="M47" s="1"/>
  <c r="S46"/>
  <c r="N46"/>
  <c r="R46" s="1"/>
  <c r="M46"/>
  <c r="N45"/>
  <c r="G45"/>
  <c r="M45" s="1"/>
  <c r="S44"/>
  <c r="N44"/>
  <c r="R44" s="1"/>
  <c r="M44"/>
  <c r="N43"/>
  <c r="G43"/>
  <c r="M43" s="1"/>
  <c r="S42"/>
  <c r="N42"/>
  <c r="R42" s="1"/>
  <c r="M42"/>
  <c r="N41"/>
  <c r="G41"/>
  <c r="M41" s="1"/>
  <c r="S40"/>
  <c r="N40"/>
  <c r="R40" s="1"/>
  <c r="M40"/>
  <c r="N39"/>
  <c r="G39"/>
  <c r="M39" s="1"/>
  <c r="N38"/>
  <c r="G38"/>
  <c r="M38" s="1"/>
  <c r="N37"/>
  <c r="G37"/>
  <c r="M37" s="1"/>
  <c r="S36"/>
  <c r="N36"/>
  <c r="R36" s="1"/>
  <c r="M36"/>
  <c r="N35"/>
  <c r="G35"/>
  <c r="M35" s="1"/>
  <c r="N34"/>
  <c r="G34"/>
  <c r="M34" s="1"/>
  <c r="N33"/>
  <c r="G33"/>
  <c r="M33" s="1"/>
  <c r="N32"/>
  <c r="G32"/>
  <c r="M32" s="1"/>
  <c r="N31"/>
  <c r="G31"/>
  <c r="M31" s="1"/>
  <c r="N30"/>
  <c r="G30"/>
  <c r="M30" s="1"/>
  <c r="S29"/>
  <c r="N29"/>
  <c r="M29"/>
  <c r="N28"/>
  <c r="G28"/>
  <c r="M28" s="1"/>
  <c r="N27"/>
  <c r="G27"/>
  <c r="M27" s="1"/>
  <c r="S26"/>
  <c r="N26"/>
  <c r="R26" s="1"/>
  <c r="M26"/>
  <c r="S25"/>
  <c r="N25"/>
  <c r="R25" s="1"/>
  <c r="M25"/>
  <c r="N24"/>
  <c r="G24"/>
  <c r="M24" s="1"/>
  <c r="S23"/>
  <c r="N23"/>
  <c r="R23" s="1"/>
  <c r="M23"/>
  <c r="N22"/>
  <c r="G22"/>
  <c r="M22" s="1"/>
  <c r="N21"/>
  <c r="G21"/>
  <c r="S20"/>
  <c r="N20"/>
  <c r="R20" s="1"/>
  <c r="M20"/>
  <c r="N19"/>
  <c r="G19"/>
  <c r="M19" s="1"/>
  <c r="N18"/>
  <c r="G18"/>
  <c r="M18" s="1"/>
  <c r="N17"/>
  <c r="G17"/>
  <c r="O16"/>
  <c r="O77" s="1"/>
  <c r="E78" i="1" s="1"/>
  <c r="N16" i="29"/>
  <c r="R16" s="1"/>
  <c r="M16"/>
  <c r="S8"/>
  <c r="E82" i="26"/>
  <c r="D82"/>
  <c r="C82"/>
  <c r="E18" i="1"/>
  <c r="E22" i="3"/>
  <c r="E25" s="1"/>
  <c r="F72" i="1"/>
  <c r="F70" s="1"/>
  <c r="F64"/>
  <c r="F61"/>
  <c r="F58"/>
  <c r="F50"/>
  <c r="F37"/>
  <c r="C44" i="4"/>
  <c r="C40"/>
  <c r="C22" i="13"/>
  <c r="C19" i="4"/>
  <c r="C39" s="1"/>
  <c r="E26" i="1"/>
  <c r="E47"/>
  <c r="E50"/>
  <c r="D22" i="3"/>
  <c r="E61" i="1"/>
  <c r="E58"/>
  <c r="E64"/>
  <c r="J27" i="27"/>
  <c r="E16" i="1" l="1"/>
  <c r="M17" i="29"/>
  <c r="G75"/>
  <c r="N77"/>
  <c r="S16"/>
  <c r="S77" s="1"/>
  <c r="R29"/>
  <c r="F16" i="1"/>
  <c r="E36"/>
  <c r="C49" i="4"/>
  <c r="M21" i="29"/>
  <c r="M75" s="1"/>
  <c r="C57" i="4"/>
  <c r="D21" i="13"/>
  <c r="D22" s="1"/>
  <c r="F36" i="1"/>
  <c r="F56" s="1"/>
  <c r="F57"/>
  <c r="C54" i="4"/>
  <c r="C53"/>
  <c r="R53" i="29"/>
  <c r="R77" s="1"/>
  <c r="C56" i="4" l="1"/>
  <c r="C60" s="1"/>
  <c r="C62" s="1"/>
  <c r="E56" i="1"/>
  <c r="E80" s="1"/>
  <c r="F80"/>
  <c r="H65"/>
  <c r="H66" s="1"/>
  <c r="E76"/>
  <c r="D18" i="3" s="1"/>
  <c r="P75" i="29"/>
  <c r="G56" i="1" l="1"/>
  <c r="E17" i="27"/>
  <c r="E19" s="1"/>
  <c r="E21"/>
  <c r="D16" i="3"/>
  <c r="D25" s="1"/>
  <c r="D29" s="1"/>
  <c r="E73" i="1"/>
  <c r="G76"/>
  <c r="H76" s="1"/>
  <c r="K33" i="27" l="1"/>
  <c r="K34" s="1"/>
  <c r="E57" i="1"/>
  <c r="G59" s="1"/>
  <c r="E23" i="27"/>
  <c r="J21"/>
  <c r="L21" s="1"/>
  <c r="J16" s="1"/>
  <c r="J19"/>
  <c r="R19"/>
  <c r="E25" s="1"/>
  <c r="H30" i="3" l="1"/>
  <c r="H33"/>
  <c r="L23" i="27"/>
</calcChain>
</file>

<file path=xl/sharedStrings.xml><?xml version="1.0" encoding="utf-8"?>
<sst xmlns="http://schemas.openxmlformats.org/spreadsheetml/2006/main" count="1159" uniqueCount="684">
  <si>
    <t>Група рачуна/ рачун</t>
  </si>
  <si>
    <t>ПОЗИЦИЈА</t>
  </si>
  <si>
    <t>АОП</t>
  </si>
  <si>
    <t xml:space="preserve">Текућа година </t>
  </si>
  <si>
    <t>Претходна година</t>
  </si>
  <si>
    <t>А. УКУПНА ИМОВИНА (002+003+010+018+019)</t>
  </si>
  <si>
    <t>100 до 102</t>
  </si>
  <si>
    <t xml:space="preserve">I Готовина </t>
  </si>
  <si>
    <t>II Улагања фонда (004 до 009)</t>
  </si>
  <si>
    <t>200 до 205</t>
  </si>
  <si>
    <t xml:space="preserve">1. Улагања фонда у финансијска средства по фер вриједности кроз биланс успjеха </t>
  </si>
  <si>
    <t>210 до 215</t>
  </si>
  <si>
    <t xml:space="preserve">2. Улагања фонда у финансијска средства расположива за продају </t>
  </si>
  <si>
    <t>220 до 225</t>
  </si>
  <si>
    <t>3. Улагања фонда у финансијска средства која се држе до рока доспиjећа</t>
  </si>
  <si>
    <t>230 до 235</t>
  </si>
  <si>
    <t xml:space="preserve">4. Депозити и пласмани </t>
  </si>
  <si>
    <t>240 до 249</t>
  </si>
  <si>
    <t>5. Улагања у некретнине</t>
  </si>
  <si>
    <t xml:space="preserve">6. Остала улагања </t>
  </si>
  <si>
    <t>III  Потраживања (011 до 017)</t>
  </si>
  <si>
    <t>1. Потраживања по основу продаје хартија од вриједности</t>
  </si>
  <si>
    <t>2. Потраживања по основу продаје некретнина</t>
  </si>
  <si>
    <t>3. Потраживања по основу камата</t>
  </si>
  <si>
    <t>4. Потраживања по основу дивиденди</t>
  </si>
  <si>
    <t>5. Потраживања по основу датих аванса</t>
  </si>
  <si>
    <t>6. Остала потраживања</t>
  </si>
  <si>
    <t>310 до 312</t>
  </si>
  <si>
    <t>7. Потраживања од друштва за управљање</t>
  </si>
  <si>
    <t>IV Одложена пореска средства</t>
  </si>
  <si>
    <t xml:space="preserve">V АВР  </t>
  </si>
  <si>
    <t>Б. ОБАВЕЗЕ (021+025+030+031+034+037+038+039)</t>
  </si>
  <si>
    <t xml:space="preserve">                                                                             БИЛАНС СТАЊА ИНВЕСТИЦИОНОГ ФОНДА </t>
  </si>
  <si>
    <t xml:space="preserve">                                                                       (Извјештај о финансијском положају)</t>
  </si>
  <si>
    <t>I Обавезе из пословања фонда (022 до 024)</t>
  </si>
  <si>
    <t>400, 401</t>
  </si>
  <si>
    <t>1. Обавезе по основу улагања у хартије у вриједности</t>
  </si>
  <si>
    <t>2. Обавезе по основу улагања у некретнине</t>
  </si>
  <si>
    <t>3. Остале обавезе из пословања</t>
  </si>
  <si>
    <t>1. Обавезе према банци депозитару</t>
  </si>
  <si>
    <t>2. Обавезе за учешће у добитку</t>
  </si>
  <si>
    <t>3. Обавезе за порез на добит</t>
  </si>
  <si>
    <t>411,412, 413,419</t>
  </si>
  <si>
    <t>4. Остале обавезе из пословања</t>
  </si>
  <si>
    <t>420 до 429</t>
  </si>
  <si>
    <t>III Обавезе према друштву за управљање</t>
  </si>
  <si>
    <t>IV Краткорочне финансијске обавезе (032+033)</t>
  </si>
  <si>
    <t>1. Краткорочни кредити</t>
  </si>
  <si>
    <t>431, 439</t>
  </si>
  <si>
    <t>2. Остале краткорочне финансијске обавезе</t>
  </si>
  <si>
    <t>V Дугорочне обавезе (035+036)</t>
  </si>
  <si>
    <t>440, 441</t>
  </si>
  <si>
    <t>1. Дугорочни кредити</t>
  </si>
  <si>
    <t>2. Остале дугорочне обавезе</t>
  </si>
  <si>
    <t>VI Остале обавезе фонда</t>
  </si>
  <si>
    <t>VII Одложене пореске обавезе</t>
  </si>
  <si>
    <t>VIII ПВР</t>
  </si>
  <si>
    <t>В. НЕТО ИМОВИНА ФОНДА (001-020)</t>
  </si>
  <si>
    <t>Г. КАПИТАЛ (042+045+048+053+054-057±060)</t>
  </si>
  <si>
    <t>I Основни капитал (043+044)</t>
  </si>
  <si>
    <t>1. Акцијски капитал – редовне акције</t>
  </si>
  <si>
    <t>2. Удјели</t>
  </si>
  <si>
    <t>II Капиталне резерве (046+047)</t>
  </si>
  <si>
    <t>1. Емисиона премија</t>
  </si>
  <si>
    <t xml:space="preserve">2. Остале капиталне резерве  </t>
  </si>
  <si>
    <t>III Ревалоризационе резерве (049 до 052)</t>
  </si>
  <si>
    <t>2. Ревалоризационе резерве по основу инструмената заштите</t>
  </si>
  <si>
    <t>3. Ревалоризационе резерве по основу ревалоризације некретнина</t>
  </si>
  <si>
    <t>4. Остале ревалоризационе резерве</t>
  </si>
  <si>
    <t>IV Резерве из добити</t>
  </si>
  <si>
    <t>V Нераспоређена добит (055+056)</t>
  </si>
  <si>
    <t>1. Нераспоређени добитак ранијих година</t>
  </si>
  <si>
    <t>2. Нераспоређени добитак текуће године</t>
  </si>
  <si>
    <t>VI Непокривени губитак (058+059)</t>
  </si>
  <si>
    <t>1. Непокривени губитак ранијих година</t>
  </si>
  <si>
    <t>2. Непокривени губитак текуће године</t>
  </si>
  <si>
    <t>VII Нереализовани добитак/губитак (061+062)</t>
  </si>
  <si>
    <t>Д. БРОЈ ЕМИТОВАНИХ АКЦИЈА/УДЈЕЛА</t>
  </si>
  <si>
    <t>Ђ. НЕТО ИМОВИНА ПО УДJЕЛУ/АКЦИЈИ (040/063)</t>
  </si>
  <si>
    <t>Е. ВАНБИЛАНСНЕ ЕВИДЕНЦИЈЕ</t>
  </si>
  <si>
    <t>1. Ванбилансна актива</t>
  </si>
  <si>
    <t>2. Ванбилансна пасива</t>
  </si>
  <si>
    <t>(М.П.)</t>
  </si>
  <si>
    <t xml:space="preserve">Група рачуна/ рачун </t>
  </si>
  <si>
    <t xml:space="preserve">А. РЕАЛИЗОВAНИ ПРИХОДИ И РАСХОДИ </t>
  </si>
  <si>
    <t>I Пословни приходи (203 до 206)</t>
  </si>
  <si>
    <t>1. Приходи од дивиденди</t>
  </si>
  <si>
    <t>2. Приходи од камата и амортизација премије (дисконта) по основу ХОВ са фиксним роком доспиjећа</t>
  </si>
  <si>
    <t>3. Приходи од закупа</t>
  </si>
  <si>
    <t>4. Остали пословни приходи</t>
  </si>
  <si>
    <t>II Реализовани добитак (208 до 211)</t>
  </si>
  <si>
    <t xml:space="preserve">1. Реализовани добици по основу продаје хартија од вриједности </t>
  </si>
  <si>
    <t xml:space="preserve">2. Реализовани добитак по основу курсних разлика </t>
  </si>
  <si>
    <t>3. Реализовани добици по основу продаје некретнина</t>
  </si>
  <si>
    <t>4. Остали реализовани добици</t>
  </si>
  <si>
    <t>III Пословни расходи (213 до 219)</t>
  </si>
  <si>
    <t>1. Накнада друштву за управљање</t>
  </si>
  <si>
    <t>2. Трошкови куповине и продаје улагања</t>
  </si>
  <si>
    <t>3. Расходи по основу камата</t>
  </si>
  <si>
    <t>4. Накнада члановима надзорног одбора</t>
  </si>
  <si>
    <t>5. Накнада банци депозитару</t>
  </si>
  <si>
    <t>6. Расходи по основу пореза</t>
  </si>
  <si>
    <t>604,606, 609</t>
  </si>
  <si>
    <t>7. Остали пословни расходи фонда</t>
  </si>
  <si>
    <t>IV Реализовани губитак  (221 до 224)</t>
  </si>
  <si>
    <t>1. Реализовани губици на продаји хартија од вриједности</t>
  </si>
  <si>
    <t>2. Реализовани губитак по основу курсних разлика</t>
  </si>
  <si>
    <t>3. Реализовани губици по основу продаје некретнина</t>
  </si>
  <si>
    <t>6. Остали реализовани губици</t>
  </si>
  <si>
    <t>V РЕАЛИЗОВАНИ ДОБИТАК И ГУБИТАК</t>
  </si>
  <si>
    <t>1. Реализовани добитак (202+207-212-220)</t>
  </si>
  <si>
    <t>2. Реализовани губитак (212+220-202-207)</t>
  </si>
  <si>
    <t xml:space="preserve">VI Финансијски приходи (228+229) </t>
  </si>
  <si>
    <t>1. Приходи од камата</t>
  </si>
  <si>
    <t>2. Остали финансијски приходи</t>
  </si>
  <si>
    <t>VII Финансијски расходи (231+232)</t>
  </si>
  <si>
    <t>1. Расходи по основу камата</t>
  </si>
  <si>
    <t>2. Остали финансијски расходи</t>
  </si>
  <si>
    <t>Б. РЕАЛИЗОВАНИ ДОБИТАК И ГУБИТАК ПРИЈЕ ОПОРЕЗИВАЊА</t>
  </si>
  <si>
    <t>(225+227-230)</t>
  </si>
  <si>
    <t>2. Реализовани губитак прије опорезивања (226+230-227)</t>
  </si>
  <si>
    <t>В. ТЕКУЋИ И ОДЛОЖЕНИ ПОРЕЗ НА ДОБИТ</t>
  </si>
  <si>
    <t xml:space="preserve">1. Порески расход периода </t>
  </si>
  <si>
    <t>822 дио</t>
  </si>
  <si>
    <t>2. Одложени порески расход периода</t>
  </si>
  <si>
    <t>3. Одложени порески приход периода</t>
  </si>
  <si>
    <t>Г. РЕАЛИЗОВАНИ ДОБИТАК И ГУБИТАК ПОСЛИЈЕ ОПОРЕЗИВАЊА</t>
  </si>
  <si>
    <t xml:space="preserve"> (233-234-236-237+238)</t>
  </si>
  <si>
    <t>(234-233+236+237-238)</t>
  </si>
  <si>
    <t>Д. НЕРЕАЛИЗОВАНИ ДОБИЦИ И ГУБИЦИ</t>
  </si>
  <si>
    <t>I Нереализовани добици (242 до 247)</t>
  </si>
  <si>
    <t>1. Нереализовани добици на хартијама од вриједности</t>
  </si>
  <si>
    <t>3. Нереализовани добици по основу курсних разлика на хартијама од вриједности</t>
  </si>
  <si>
    <t>4. Нереализовани добици по основу дериватних инструмената заштите на некретнинама</t>
  </si>
  <si>
    <t xml:space="preserve">5. Нереализовани добици на некретнинама </t>
  </si>
  <si>
    <t xml:space="preserve">6. Остали нереализовани добици </t>
  </si>
  <si>
    <t>II Нереализовани губици (249 до 254)</t>
  </si>
  <si>
    <t>1. Нереализовани губици на хартијама од вриједности</t>
  </si>
  <si>
    <t>3. Нереализовани губици по основу курсних разлика на хартијама од вриједности</t>
  </si>
  <si>
    <t>4. Нереализовани губици по основу деривата</t>
  </si>
  <si>
    <t xml:space="preserve">5. Нереализовани губици на некретнинама </t>
  </si>
  <si>
    <t xml:space="preserve">6. Остали нереализовани губици </t>
  </si>
  <si>
    <t>Ђ. УКУПНИ НЕРЕАЛИЗОВАНИ ДОБИЦИ (ГУБИЦИ) ФОНДА</t>
  </si>
  <si>
    <t>1. Укупни нереализовани добитак (241-248)</t>
  </si>
  <si>
    <t>2. Укупни нереализовани губитак (248-241)</t>
  </si>
  <si>
    <t>1. Повећање нето имовине фонда (239-240+255-256)</t>
  </si>
  <si>
    <t>2. Смањење нето имовине фонда (240-239+256-255)</t>
  </si>
  <si>
    <t>Обична зарада по акцији</t>
  </si>
  <si>
    <t xml:space="preserve"> </t>
  </si>
  <si>
    <t>(износ у КМ)</t>
  </si>
  <si>
    <t>Редни број</t>
  </si>
  <si>
    <t>Повећање (смањење) нето имовине од пословања фонда (302 до 306)</t>
  </si>
  <si>
    <t>Реализовани добитак (губитак) од улагања</t>
  </si>
  <si>
    <t>Укупни нереализовани добици (губици) од улагања</t>
  </si>
  <si>
    <t>Ревалоризационе резерве по основу финансијских улагања расположивих за продају</t>
  </si>
  <si>
    <t>Ревалоризационе резерве по основу деривата</t>
  </si>
  <si>
    <t>Ревалоризационе резерве по основу некретнина</t>
  </si>
  <si>
    <t>Повећање нето имовине по основу трансакција са удјелима/акцијама фонда (308-309)</t>
  </si>
  <si>
    <t>Повећање по основу издатих удјела/акција фонда</t>
  </si>
  <si>
    <t>Смањење по основу повлачења удјела/акција фонда</t>
  </si>
  <si>
    <t>Укупно повећање (смањење) нето имовине фонда (301+308-309)</t>
  </si>
  <si>
    <t>Нето имовина</t>
  </si>
  <si>
    <t>На почетку периода</t>
  </si>
  <si>
    <t>На крају периода</t>
  </si>
  <si>
    <t>Број удјела/акција фонда у периоду</t>
  </si>
  <si>
    <t>Број удјела/акција на почетку периода</t>
  </si>
  <si>
    <t>Издати удјели/акције у току периода</t>
  </si>
  <si>
    <t>Повучени удјели/акције  у току периода</t>
  </si>
  <si>
    <t xml:space="preserve">Број удјела/акција на крају периода </t>
  </si>
  <si>
    <t xml:space="preserve">                                                                                                                              ИЗВЈЕШТАЈ О ПРОМЈЕНАМА НЕТО ИМОВИНЕ</t>
  </si>
  <si>
    <t xml:space="preserve">                                                                                         ИНВЕСТИЦИОНОГ ФОНДА</t>
  </si>
  <si>
    <t>ОПИС</t>
  </si>
  <si>
    <t>Износ</t>
  </si>
  <si>
    <t>Индекс</t>
  </si>
  <si>
    <t>Текућа година</t>
  </si>
  <si>
    <t>А.  Новчани токови из пословних активности</t>
  </si>
  <si>
    <t>1. Приливи по основу продаје улагања</t>
  </si>
  <si>
    <t xml:space="preserve">2. Приливи по основу дивиденди </t>
  </si>
  <si>
    <t>3. Приливи по основу камата</t>
  </si>
  <si>
    <t>4. Приливи по основу рефундирања расхода</t>
  </si>
  <si>
    <t>5. Остали приливи од оперативних активности</t>
  </si>
  <si>
    <t>II Одливи готовине из оперативних активности (408 до 418 )</t>
  </si>
  <si>
    <t>1. Одливи по основу куповине улагања</t>
  </si>
  <si>
    <t>2. Одливи по основу улагања у хартије од вриједности</t>
  </si>
  <si>
    <t>3. Одливи по основу осталих улагања</t>
  </si>
  <si>
    <t>4. Одливи по основу накнада друштву за управљање</t>
  </si>
  <si>
    <t>5. Одливи по основу расхода за камате</t>
  </si>
  <si>
    <t>7. Одливи по основу накнаде екстерном ревизору</t>
  </si>
  <si>
    <t>8. Одливи по основу трошкова банке депозитара</t>
  </si>
  <si>
    <t>9. Одливи по основу осталих расхода из оперативне активности</t>
  </si>
  <si>
    <t>10. Одливи по основу пореза на добит</t>
  </si>
  <si>
    <t>11. Одливи по основу осталих расхода</t>
  </si>
  <si>
    <t>III  Нето прилив готовине из пословних активности (401-407)</t>
  </si>
  <si>
    <t>IV  Нето одлив готовине из пословних активности (407-401)</t>
  </si>
  <si>
    <t>Б. Токови готовине из активности финансирања</t>
  </si>
  <si>
    <t xml:space="preserve">I Приливи готовине из активности финансирања (422 +423) </t>
  </si>
  <si>
    <t>1. Прилив по основу издавања удјела/мисије акција</t>
  </si>
  <si>
    <t xml:space="preserve">2. Приливи по основу задуживања </t>
  </si>
  <si>
    <t>II Одливи готовине из активности финансирања (425 до 428)</t>
  </si>
  <si>
    <t>1. Одливи по основу раздуживања</t>
  </si>
  <si>
    <t>2. Одливи по основу откупа сопствених акција</t>
  </si>
  <si>
    <t>3. Одливи по основу дивиденди</t>
  </si>
  <si>
    <t>4. Одливи по основу учешћа у добитку</t>
  </si>
  <si>
    <t>(421-424)</t>
  </si>
  <si>
    <t xml:space="preserve">IV Нето одлив готовине из активности финансирања </t>
  </si>
  <si>
    <t>(424-421)</t>
  </si>
  <si>
    <t>В. Укупни  приливи готовине (401+421)</t>
  </si>
  <si>
    <t>Г. Укупни одливи готовине (407+424)</t>
  </si>
  <si>
    <t>Д. НЕТО ПРИЛИВ ГОТОВИНЕ (431-432)</t>
  </si>
  <si>
    <t>Ђ. НЕТО ОДЛИВ ГОТОВИНЕ (432-431)</t>
  </si>
  <si>
    <t>Е. Готовина на почетку периода</t>
  </si>
  <si>
    <t>Ж. Позитивне курсне разлике по основу прерачуна готовине</t>
  </si>
  <si>
    <t>З. Негативне курсне разлике по основу прерачуна готовине</t>
  </si>
  <si>
    <t>И.  ГОТОВИНА НА КРАЈУ ОБРАЧУНСКОГ ПЕРИОДА (435+433-434+436-437)</t>
  </si>
  <si>
    <t>I</t>
  </si>
  <si>
    <t>II</t>
  </si>
  <si>
    <t>III</t>
  </si>
  <si>
    <t>Број акција</t>
  </si>
  <si>
    <t xml:space="preserve">  </t>
  </si>
  <si>
    <t>Набавна вриједност</t>
  </si>
  <si>
    <t>Колатерал</t>
  </si>
  <si>
    <t>ISIN</t>
  </si>
  <si>
    <t>Вриједност на дан биланса</t>
  </si>
  <si>
    <t>Номинална вриједност колатерала</t>
  </si>
  <si>
    <t>СТРУКТУРА ОБАВЕЗА</t>
  </si>
  <si>
    <t>I   РЕПО ПОСЛОВИ  (ПАСИВА)</t>
  </si>
  <si>
    <t>Позиција</t>
  </si>
  <si>
    <t xml:space="preserve">Набавна вриједност </t>
  </si>
  <si>
    <t>Учешће у укупној имовини фонда (у%)</t>
  </si>
  <si>
    <t>Учешће у обавезама фонда (у%)</t>
  </si>
  <si>
    <t>Укупно репо послови</t>
  </si>
  <si>
    <t>II  ГАРАНТНИ УЛОГ</t>
  </si>
  <si>
    <t>Учешће у укупној имовини фонда (у %)</t>
  </si>
  <si>
    <t>Учешће у обавезама фонда  (у %)</t>
  </si>
  <si>
    <t>  1.</t>
  </si>
  <si>
    <t>  2.</t>
  </si>
  <si>
    <t>  3.</t>
  </si>
  <si>
    <t>  4.</t>
  </si>
  <si>
    <t>  6.</t>
  </si>
  <si>
    <t>Назив повезаног лица</t>
  </si>
  <si>
    <t>Набавна вриједност акција</t>
  </si>
  <si>
    <t>Фер вриједност на дан биланса</t>
  </si>
  <si>
    <t>Број држаних акција</t>
  </si>
  <si>
    <t>Период држања</t>
  </si>
  <si>
    <t>Приход од камате</t>
  </si>
  <si>
    <t>Укупно приходи од камата</t>
  </si>
  <si>
    <t>Датум продаје</t>
  </si>
  <si>
    <t>Број акција или номинална вриједност обвезница</t>
  </si>
  <si>
    <t>Приход од продаје</t>
  </si>
  <si>
    <t>Укупно:</t>
  </si>
  <si>
    <t>Књиговодствена вриједност</t>
  </si>
  <si>
    <t>Презиме и име повезаног лица</t>
  </si>
  <si>
    <t>Износ исплате</t>
  </si>
  <si>
    <t>Сврха исплате</t>
  </si>
  <si>
    <t xml:space="preserve">                                                                                              (Извјештај о токовима готовине)</t>
  </si>
  <si>
    <t xml:space="preserve">                                                                                                         БИЛАНС ТОКОВА ГОТОВИНЕ </t>
  </si>
  <si>
    <t xml:space="preserve">  (износ у KM)</t>
  </si>
  <si>
    <t>Регистарски број фонда: 01956759</t>
  </si>
  <si>
    <t>Назив друштва за управљање фондом: ЕУРОИНВЕСТМЕНТ АД БАЊАЛУКА</t>
  </si>
  <si>
    <t>Матични број друштва за управљање фондом: 01935780</t>
  </si>
  <si>
    <t>ЈИБ друштва за управљање фондом: 4401509780004</t>
  </si>
  <si>
    <t xml:space="preserve">ЈИБ затвореног инвестиционог фонда:4401663430008 </t>
  </si>
  <si>
    <t>Назив фонда: ЗИФ "ЕУРОИНВЕСТМЕНТ ФОНД" АД БАЊАЛУКА</t>
  </si>
  <si>
    <t>Радислав Вујадин</t>
  </si>
  <si>
    <t xml:space="preserve">Гордана Станојчић 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</si>
  <si>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</si>
  <si>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</si>
  <si>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</si>
  <si>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</si>
  <si>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</si>
  <si>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</si>
  <si>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</si>
  <si>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</si>
  <si>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</si>
  <si>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</si>
  <si>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</si>
  <si>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</si>
  <si>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</si>
  <si>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</si>
  <si>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</si>
  <si>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</si>
  <si>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</si>
  <si>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</si>
  <si>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</si>
  <si>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</si>
  <si>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</si>
  <si>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</si>
  <si>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</si>
  <si>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</si>
  <si>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</si>
  <si>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</si>
  <si>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</si>
  <si>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</si>
  <si>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</si>
  <si>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</si>
  <si>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</si>
  <si>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</si>
  <si>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</si>
  <si>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</si>
  <si>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</si>
  <si>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</si>
  <si>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</si>
  <si>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</si>
  <si>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</si>
  <si>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</si>
  <si>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</si>
  <si>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</si>
  <si>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</si>
  <si>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</si>
  <si>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</si>
  <si>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</si>
  <si>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</si>
  <si>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</si>
  <si>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</si>
  <si>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</si>
  <si>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</si>
  <si>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</si>
  <si>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</si>
  <si>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</si>
  <si>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</si>
  <si>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</si>
  <si>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</si>
  <si>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002</t>
  </si>
  <si>
    <t>003</t>
  </si>
  <si>
    <t>004</t>
  </si>
  <si>
    <t>005</t>
  </si>
  <si>
    <t>006</t>
  </si>
  <si>
    <t>007</t>
  </si>
  <si>
    <t>008</t>
  </si>
  <si>
    <t>009</t>
  </si>
  <si>
    <t>001</t>
  </si>
  <si>
    <t>2. Нереализовани добици по основу курсних разлика на монетарним средствима осим на хартијама од вриједности</t>
  </si>
  <si>
    <t>2. Нереализовани губици по основу курсних разлика на монетарним средствима, осим на хартијама од вриједности</t>
  </si>
  <si>
    <t xml:space="preserve">Naziv fonda: ZIF 'EUROINVESTMENT FOND' AD BANJA LUKA                                 </t>
  </si>
  <si>
    <t>Registarski broj fonda: 01956795</t>
  </si>
  <si>
    <t>Naziv društva za upravljanje fondom: EUROINVESTMENT AD BANJA LUKA</t>
  </si>
  <si>
    <t>JIB  društva za upravljanje fondom: 4401509780004</t>
  </si>
  <si>
    <t>JIB zatvorenog investicionog fonda: 4401663430008</t>
  </si>
  <si>
    <t>Redni broj.</t>
  </si>
  <si>
    <t>Naziv emitenta</t>
  </si>
  <si>
    <t>Kode</t>
  </si>
  <si>
    <t>Oznaka HOV</t>
  </si>
  <si>
    <t>Broj akcija</t>
  </si>
  <si>
    <t>Nabavna vrijednost po akciji</t>
  </si>
  <si>
    <t xml:space="preserve">Ukupna nabavna vrijednost </t>
  </si>
  <si>
    <t>Vrijednost po akciji na dan izvjestavanja</t>
  </si>
  <si>
    <t>Ukupna vrijednot na dan izvjestavanja</t>
  </si>
  <si>
    <t>Učešće u vlasništvu izdavaoca</t>
  </si>
  <si>
    <t>Učešće u vrijednosti imovine fonda</t>
  </si>
  <si>
    <t>Akcije domaćih izavalaca</t>
  </si>
  <si>
    <t>1.</t>
  </si>
  <si>
    <t>Redovne akcije</t>
  </si>
  <si>
    <t>B</t>
  </si>
  <si>
    <t>BIRA-R-A</t>
  </si>
  <si>
    <t>R</t>
  </si>
  <si>
    <t>CJSV-R-A</t>
  </si>
  <si>
    <t>AD DUVAN, BRATUNAC</t>
  </si>
  <si>
    <t>DVAN-R-A</t>
  </si>
  <si>
    <t>ELEKTROKRAJINA AD BANJA LUKA</t>
  </si>
  <si>
    <t>EKBL-R-A</t>
  </si>
  <si>
    <t>FABRIKA ŽICE AD</t>
  </si>
  <si>
    <t>FZIC-R-A</t>
  </si>
  <si>
    <t>HEDR-R-A</t>
  </si>
  <si>
    <t>HELV-R-A</t>
  </si>
  <si>
    <t>HETR-R-A</t>
  </si>
  <si>
    <t>HPKD-R-A</t>
  </si>
  <si>
    <t>JELA-R-A</t>
  </si>
  <si>
    <t>JLLC-R-A</t>
  </si>
  <si>
    <t>KNZM-R-A</t>
  </si>
  <si>
    <t>KORN-R-A</t>
  </si>
  <si>
    <t>LJUB-R-A</t>
  </si>
  <si>
    <t>LKSM-R-A</t>
  </si>
  <si>
    <t>LTRS-R-A</t>
  </si>
  <si>
    <t>MDEL-R-A</t>
  </si>
  <si>
    <t>MEBO-R-A</t>
  </si>
  <si>
    <t>METL-R-A</t>
  </si>
  <si>
    <t>MTLB-R-A</t>
  </si>
  <si>
    <t>RITE-R-A</t>
  </si>
  <si>
    <t>RNAF-R-A</t>
  </si>
  <si>
    <t>RTEU-R-A</t>
  </si>
  <si>
    <t>SEMB-R-A</t>
  </si>
  <si>
    <t>STND-R-A</t>
  </si>
  <si>
    <t>STOČAR AD, BANJA LUKA</t>
  </si>
  <si>
    <t>STOR-R-A</t>
  </si>
  <si>
    <t>TLKM-R-A</t>
  </si>
  <si>
    <t>TRUDBENIK AD, DOBOJ</t>
  </si>
  <si>
    <t>TRDB-R-A</t>
  </si>
  <si>
    <t>TRML-R-A</t>
  </si>
  <si>
    <t>ZPBL-R-A</t>
  </si>
  <si>
    <t>ZVNP-R-A</t>
  </si>
  <si>
    <t>Akcije zatvorenih investicionih fondova</t>
  </si>
  <si>
    <t>BRSP-R-A</t>
  </si>
  <si>
    <t>EKVP-R-A</t>
  </si>
  <si>
    <t>KRIP-R-A</t>
  </si>
  <si>
    <t>VBIP-R-A</t>
  </si>
  <si>
    <t>ZPTP-R-A</t>
  </si>
  <si>
    <t>Akcije stranih izdavalaca</t>
  </si>
  <si>
    <t>CRNOGORSKI TELEKOM AD PODGORICA</t>
  </si>
  <si>
    <t>TECG</t>
  </si>
  <si>
    <t>HT - HRVATSKE TELEKOMUNIKACIJE D.D.</t>
  </si>
  <si>
    <t>HT-R-A</t>
  </si>
  <si>
    <t>UKUPNA ULAGANJA U AKCIJE STRANIH IZDAVALACA:</t>
  </si>
  <si>
    <t xml:space="preserve">III </t>
  </si>
  <si>
    <t>Ukupna ulaganja u akcije:</t>
  </si>
  <si>
    <t xml:space="preserve">Lice odgovorno za sastavljanje izvještaja: </t>
  </si>
  <si>
    <t>Gordana Stanojčić</t>
  </si>
  <si>
    <t>Radislav Vujadin</t>
  </si>
  <si>
    <t xml:space="preserve">Naziv fonda: ZIF"EUROINVESTMENT FOND" AD BANJA LUKA                                 </t>
  </si>
  <si>
    <t>Matični broj društva za upravljanje fondom: 01935780</t>
  </si>
  <si>
    <t>Ulaganje po emitentu (naziv i oznaka HOV)</t>
  </si>
  <si>
    <t>Nabavna vrijednost</t>
  </si>
  <si>
    <t>Fer vrijednost</t>
  </si>
  <si>
    <t>Revalorizacija fin. sredstava raspoloživih za prodaju</t>
  </si>
  <si>
    <t>Revalorizacija po osnovu instrumenenata zaštite</t>
  </si>
  <si>
    <t>Revalorizacija po osnovu nekretnina</t>
  </si>
  <si>
    <t>Nerealizovani  D/G priznat kroz rezultat perioda</t>
  </si>
  <si>
    <t xml:space="preserve">Neto kursne razlike na  HOV </t>
  </si>
  <si>
    <t xml:space="preserve">Amortizacija diskonta (premije) fin.sredstava  </t>
  </si>
  <si>
    <t>Neralizovani dobitak/gubitak tekućeg perioda</t>
  </si>
  <si>
    <t xml:space="preserve">Akcije ZIF-ova </t>
  </si>
  <si>
    <t xml:space="preserve">Obveznice </t>
  </si>
  <si>
    <t>RSRS-O-C</t>
  </si>
  <si>
    <t>Lice odgovorno za sastavljanje izvještaja:</t>
  </si>
  <si>
    <t>Zakonski zastupnik društva
za upravljanje  fondom:</t>
  </si>
  <si>
    <t xml:space="preserve">Redni. br. </t>
  </si>
  <si>
    <t xml:space="preserve">Naziv emitenta </t>
  </si>
  <si>
    <t>KOD</t>
  </si>
  <si>
    <t>Broj obveznica</t>
  </si>
  <si>
    <t>Ukupna nominalna vrijednost</t>
  </si>
  <si>
    <t>Ukupna nabavna vrijednost</t>
  </si>
  <si>
    <t xml:space="preserve">Ukupna vrijednost na dan izvještavanja </t>
  </si>
  <si>
    <t>Učešće u vrijednosti emisije (%)</t>
  </si>
  <si>
    <t>Učešće u vrijednosti imovine fonda (%)</t>
  </si>
  <si>
    <t xml:space="preserve">I. </t>
  </si>
  <si>
    <t>Obveznice domaćih izdavalaca</t>
  </si>
  <si>
    <t>Državne obveznice</t>
  </si>
  <si>
    <t>REPUBLIKA SRPSKA-
MINISTARSTVO FINANSIJA</t>
  </si>
  <si>
    <t>REPUBLIKA SRPSKA-MINISTARSTVO FINANSIJA</t>
  </si>
  <si>
    <t>RSRS-O-A</t>
  </si>
  <si>
    <t>RSRS-O-B</t>
  </si>
  <si>
    <t>2.</t>
  </si>
  <si>
    <t>Ukupna ulaganja u obveznice domaćih izdavalaca:</t>
  </si>
  <si>
    <t>Zakonski zastupnik društva za upravljanje:</t>
  </si>
  <si>
    <t>Redni broj</t>
  </si>
  <si>
    <t>Opis</t>
  </si>
  <si>
    <t>Ukupna vrijednost na dan izvještavanja</t>
  </si>
  <si>
    <t xml:space="preserve">Akcije </t>
  </si>
  <si>
    <t>Obveznice</t>
  </si>
  <si>
    <t>3.</t>
  </si>
  <si>
    <t>Ostale hartije od vrijednosti</t>
  </si>
  <si>
    <t>4.</t>
  </si>
  <si>
    <t xml:space="preserve">Depoziti i plasmani </t>
  </si>
  <si>
    <t>5.</t>
  </si>
  <si>
    <t>Gotovina i gotovinski ekvivalenti</t>
  </si>
  <si>
    <t>6.</t>
  </si>
  <si>
    <t>Nekretnine</t>
  </si>
  <si>
    <t>Ukupno</t>
  </si>
  <si>
    <t xml:space="preserve">   IZVJEŠTAJ O STRUKTURI ULAGANJA INVESTICIONOG FONDA PO VRSTAMA</t>
  </si>
  <si>
    <t>IZVJEŠTAJ O REALIZOVANIM DOBICIMA (GUBICIMA)</t>
  </si>
  <si>
    <t>Datum transakcije</t>
  </si>
  <si>
    <t>Prodate hartije od vrijednosti</t>
  </si>
  <si>
    <t xml:space="preserve">Broj harija </t>
  </si>
  <si>
    <t>Ukupna prodajna vrijednost</t>
  </si>
  <si>
    <t>Realizovani dobitak (gubitak)</t>
  </si>
  <si>
    <t>6 (5-4)</t>
  </si>
  <si>
    <t>AKCIJE</t>
  </si>
  <si>
    <t>Akcije domaćih izdavalaca</t>
  </si>
  <si>
    <t>Prioritetne akcije</t>
  </si>
  <si>
    <t>Akcije investicionih fondova</t>
  </si>
  <si>
    <t>OBVEZNICE I DRUGE DUŽNIČKE HARTIJE OD VRIJEDNOSTI</t>
  </si>
  <si>
    <t>Obveznice i druge dužničke hartije od vrijednosti domaćih izdavalaca</t>
  </si>
  <si>
    <t xml:space="preserve">Obveznice jedinica teritorijalne autonomije i lokalne samouprave i lokalne samouprave i obveznice drugih pravnih lica izdate uz garanciju Vlade Republike Srpske </t>
  </si>
  <si>
    <t>Depozitne potvrde, komercijalni zapisi, obveznice i druge dužničke HOV</t>
  </si>
  <si>
    <t>Obveznice ostalih pravnih lica</t>
  </si>
  <si>
    <t>Komercijalni zapisi ostalih pravnih lica</t>
  </si>
  <si>
    <t>Obveznice i druge dužničke hartije od vrijednosti stranih izdavalaca</t>
  </si>
  <si>
    <t>Obveznice i ostale dužničke hartije od vrijednosti stranih država i centralnih banaka</t>
  </si>
  <si>
    <t>Obveznice i ostale dužničke hartije od vrijednosti stranih banaka i ostalih pravnih lica</t>
  </si>
  <si>
    <t>Udjeli investicionih fondova</t>
  </si>
  <si>
    <t xml:space="preserve">Druge HOV domaćih izdavalaca </t>
  </si>
  <si>
    <t xml:space="preserve">Druge HOV stranih izdavalaca </t>
  </si>
  <si>
    <t xml:space="preserve">UKUPNO REALIZOVNI DOBICI (GUBICI)  NA HARTIJAMA OD VRIJEDNOSTI </t>
  </si>
  <si>
    <t>Otuđenje HOV iz portfelja po drugom osnovu osim prodaje</t>
  </si>
  <si>
    <t>Broj hartija</t>
  </si>
  <si>
    <t>UKUPNO REALIZOVANI DOBICI (GUBICI)  po osnovu otuđenja</t>
  </si>
  <si>
    <t>Prodate nekretnine</t>
  </si>
  <si>
    <t>Prodajna vrijednost</t>
  </si>
  <si>
    <t>   1</t>
  </si>
  <si>
    <t>5 (4-3)</t>
  </si>
  <si>
    <t>Zemljište</t>
  </si>
  <si>
    <t>Poslovni objekti</t>
  </si>
  <si>
    <t>Stambeni objekti</t>
  </si>
  <si>
    <t>Stambeno poslovni objekti</t>
  </si>
  <si>
    <t>Ostale nepokretnosti</t>
  </si>
  <si>
    <t>UKUPNO REALIZOVNI DOBICI  (GUBICI) NA NEKRETNINAMA</t>
  </si>
  <si>
    <r>
      <t xml:space="preserve">ИЗВЕШТАЈИ О ТРАНСАКЦИЈАМА СА ПОВЕЗАНИМ ЛИЦИМА        </t>
    </r>
    <r>
      <rPr>
        <b/>
        <i/>
        <sz val="12"/>
        <rFont val="Times New Roman"/>
        <family val="1"/>
      </rPr>
      <t xml:space="preserve"> </t>
    </r>
  </si>
  <si>
    <t>Ред. Бр.</t>
  </si>
  <si>
    <t xml:space="preserve">Улагања у повезана лица                                                     Назив повезаног лица                                      </t>
  </si>
  <si>
    <t>Нереализовани добитак/губитак</t>
  </si>
  <si>
    <t>А</t>
  </si>
  <si>
    <t>Б</t>
  </si>
  <si>
    <t>В</t>
  </si>
  <si>
    <t>Укупно улагања</t>
  </si>
  <si>
    <t>Приходи од улагања у повезана лица за период од__________</t>
  </si>
  <si>
    <t>Дивиденда/акције</t>
  </si>
  <si>
    <t>Приход од дивиденди</t>
  </si>
  <si>
    <t>Укупно приходи од дивиденди</t>
  </si>
  <si>
    <t>Приходи од камата</t>
  </si>
  <si>
    <t>Номинална вредност обвезница</t>
  </si>
  <si>
    <t>М</t>
  </si>
  <si>
    <t>Х</t>
  </si>
  <si>
    <t>О</t>
  </si>
  <si>
    <t>Добитак/губитак/од продаје</t>
  </si>
  <si>
    <t>Продаја акција</t>
  </si>
  <si>
    <t>Продаја обвезница</t>
  </si>
  <si>
    <t xml:space="preserve">Н </t>
  </si>
  <si>
    <t>Добитак/губитак/</t>
  </si>
  <si>
    <t>Продаја нектретнина</t>
  </si>
  <si>
    <t xml:space="preserve">П </t>
  </si>
  <si>
    <t>Р</t>
  </si>
  <si>
    <t>С</t>
  </si>
  <si>
    <t>ДУИФ Еуроинвестмент а.д Бањалука</t>
  </si>
  <si>
    <t>провизија за управљање</t>
  </si>
  <si>
    <t>накнада депозитара</t>
  </si>
  <si>
    <t>Надзорни одбор фонда</t>
  </si>
  <si>
    <t>накнаде</t>
  </si>
  <si>
    <t>Укупно исплате:</t>
  </si>
  <si>
    <t>М.П.</t>
  </si>
  <si>
    <t>Законски заступник друштва</t>
  </si>
  <si>
    <r>
      <t xml:space="preserve">Matični broj društva za upravljanje fondom: </t>
    </r>
    <r>
      <rPr>
        <u/>
        <sz val="11"/>
        <rFont val="Times New Roman"/>
        <family val="1"/>
        <charset val="238"/>
      </rPr>
      <t>01935780</t>
    </r>
  </si>
  <si>
    <t>IZVJEŠTAJ O FINANSIJSKIM POKAZATELJIMA FONDA</t>
  </si>
  <si>
    <t>(iznos u КМ)</t>
  </si>
  <si>
    <t>Pozicija imovine</t>
  </si>
  <si>
    <t>AOP</t>
  </si>
  <si>
    <t>Tekuća godina</t>
  </si>
  <si>
    <t>Predhodna godina</t>
  </si>
  <si>
    <t>Vrijednost neto imovine po udjelu/akciji fonda na početku perioda</t>
  </si>
  <si>
    <t>Neto imovina fonda na početku perioda</t>
  </si>
  <si>
    <t>Broj udjela/akcija na početku perioda</t>
  </si>
  <si>
    <t>Vrijednost udjela/akcije na početku perioda</t>
  </si>
  <si>
    <t>Vrijednost neto imovine po udjelu/akciji fonda na kraju perioda</t>
  </si>
  <si>
    <t>Neto imovina fonda na kraju perioda</t>
  </si>
  <si>
    <t>Broj udjela/akcija na kraju perioda</t>
  </si>
  <si>
    <t>Vrijednost udjela/akcije na kraju perioda</t>
  </si>
  <si>
    <t>Finansijski pokazatelji</t>
  </si>
  <si>
    <t>Odnos rashoda i prosječne neto imovine</t>
  </si>
  <si>
    <t>Odnos realizovane dobiti od ulaganja i prosječne neto imovine fonda</t>
  </si>
  <si>
    <t>Isplaćeni iznos investitiorima u toku godine</t>
  </si>
  <si>
    <t xml:space="preserve">Stopa prinosa na neto imovinu </t>
  </si>
  <si>
    <t>Banjaluka ,</t>
  </si>
  <si>
    <t xml:space="preserve">                     Gordana Stanojčić</t>
  </si>
  <si>
    <t xml:space="preserve">                     Radislav Vujadin</t>
  </si>
  <si>
    <t>Е. ПОВЕЋАЊЕ (СМАЊЕЊЕ) НЕТО ИМОВИНЕ ОД ПОСЛОВАЊА ФОНДА</t>
  </si>
  <si>
    <t>1. Ревалоризационе резерве по основу ревалоризације
 финансијских средстава расположивих за продају</t>
  </si>
  <si>
    <t>1. Нереализовани добици по основу финансијских 
средстава по фер вриједности кроз биланс успјеха</t>
  </si>
  <si>
    <t>2. Нереализовани губици по основу финансијских средстава по фер 
вриједности кроз биланс успјеха</t>
  </si>
  <si>
    <t>Законски заступник друштва за управљање фондом</t>
  </si>
  <si>
    <t>ЈИБ друштва за управљање фондом:   4401509780004</t>
  </si>
  <si>
    <t xml:space="preserve">                                                                       БИЛАНС УСПЈЕХА ИНВЕСТИЦИОНОГ ФОНДА</t>
  </si>
  <si>
    <t xml:space="preserve">                                                                              (Извјештај о укупном резултату у периоду)</t>
  </si>
  <si>
    <t>Datum zadnje
procjene</t>
  </si>
  <si>
    <t xml:space="preserve">   Redovne akcije</t>
  </si>
  <si>
    <t>Бањалука,                                    Лице са лиценцом;</t>
  </si>
  <si>
    <t>ČAJAVEC ŠTAMP. VEZE, BL u stečaju</t>
  </si>
  <si>
    <t xml:space="preserve">Дана </t>
  </si>
  <si>
    <t>HE NA VRBASU, AD</t>
  </si>
  <si>
    <t>JP HIDROELEKTRANE NA TREBIŠNJICI AD</t>
  </si>
  <si>
    <t>HPK AD, KOZARSKA DUBICA</t>
  </si>
  <si>
    <t>AD JELA, KOZARAC-u stečaju</t>
  </si>
  <si>
    <t>JELŠINGRAD LIVAR LIVNICA ČELIKA ADBANJA  LUKA</t>
  </si>
  <si>
    <t>TP KONZUM AD BANJA LUKA</t>
  </si>
  <si>
    <t>FAMOS FABRIKA. KORAN AD PALE - u stečaju</t>
  </si>
  <si>
    <t>RŽR LJUBIJA AD PRIJEDOR</t>
  </si>
  <si>
    <t>LUKA AD ŠAMAC</t>
  </si>
  <si>
    <t>LUTRIJA RS A.D. BANJA LUKA</t>
  </si>
  <si>
    <t xml:space="preserve">LUTRIJA RS A.D. BANJA LUKA </t>
  </si>
  <si>
    <t>MEBOŠ ŠAMAC AD - u stečaju</t>
  </si>
  <si>
    <t>METAL AD GRADISKA</t>
  </si>
  <si>
    <t>MEDICINSKA ELEKTRONIKA AD BANJA LUKA-u stečaju</t>
  </si>
  <si>
    <t>MH ERA-TREBINJE ZP R I T GACKO,AD GACKO</t>
  </si>
  <si>
    <t>MH ERS-TREBINJE ZP R I T GACKO,AD GACKO</t>
  </si>
  <si>
    <t>RAFINERIJA NAFTE AD SRPSKI BROD</t>
  </si>
  <si>
    <t>R I TE UGLJEVIK AD UGLJEVIK</t>
  </si>
  <si>
    <t>PD SEMBERIJA AD BIJELJINA</t>
  </si>
  <si>
    <t>STANDARD AD GRADIŠKA-u stečaju</t>
  </si>
  <si>
    <t>TELEKOM SRPSKE AD BANJA LUKA</t>
  </si>
  <si>
    <t>TERMAL AD LOPARE - u stečaju</t>
  </si>
  <si>
    <t>ŽITOPRODUKT AD BANJA LUKA u stečaju</t>
  </si>
  <si>
    <t>ŽIVINOPRODUKT AD SRBAC - u stečaju</t>
  </si>
  <si>
    <t>ODP LIGNOŠPER, NOVI GRAD</t>
  </si>
  <si>
    <t>ODP SVILA, ČELINAC</t>
  </si>
  <si>
    <t>ZIF KRISTAL INVEST FUND AD BANJALUKA</t>
  </si>
  <si>
    <t xml:space="preserve">ZIF AKTIVA INVEST FOND AD BANJA LUKA                                                  </t>
  </si>
  <si>
    <t>ZIF VB FOND AD BANJALUKA</t>
  </si>
  <si>
    <t xml:space="preserve">ZEPTER FOND AD BANJA LUKA                                                   </t>
  </si>
  <si>
    <t>UKUPNA ULAGANJA U AKCIJE DOMAĆIH IZDAVALACA:</t>
  </si>
  <si>
    <t>MH ERS AD TREBINJE ZP HIDROELEKTRANE NA DRINI AD V</t>
  </si>
  <si>
    <t>Kolicina</t>
  </si>
  <si>
    <t>RSDS-O-C</t>
  </si>
  <si>
    <t xml:space="preserve">Законски заступник друштва:               </t>
  </si>
  <si>
    <t xml:space="preserve">Законски заступник друштва :               </t>
  </si>
  <si>
    <t>за упраљање фондом:</t>
  </si>
  <si>
    <r>
      <t xml:space="preserve">Matični broj društva za upravljanje fondom: </t>
    </r>
    <r>
      <rPr>
        <b/>
        <u/>
        <sz val="12"/>
        <rFont val="Times New Roman"/>
        <family val="1"/>
        <charset val="238"/>
      </rPr>
      <t>01935780</t>
    </r>
  </si>
  <si>
    <t>Zakonski zastupnik drustva za upravljanje:</t>
  </si>
  <si>
    <t>D 570</t>
  </si>
  <si>
    <t>G 571</t>
  </si>
  <si>
    <t>D IV</t>
  </si>
  <si>
    <t>G IV</t>
  </si>
  <si>
    <t>RAZLIKE
 D</t>
  </si>
  <si>
    <t>RAZLIKE
 G</t>
  </si>
  <si>
    <t>Бањалука ,</t>
  </si>
  <si>
    <t xml:space="preserve">                     Гордана Станојчић</t>
  </si>
  <si>
    <t xml:space="preserve">                     Радислав Вујадин</t>
  </si>
  <si>
    <t>адвокат</t>
  </si>
  <si>
    <t>Banjaluka,</t>
  </si>
  <si>
    <t>Законски заступник друштва за управљање:</t>
  </si>
  <si>
    <r>
      <t>1.</t>
    </r>
    <r>
      <rPr>
        <b/>
        <sz val="18"/>
        <color indexed="8"/>
        <rFont val="Arial"/>
        <family val="2"/>
        <charset val="238"/>
      </rPr>
      <t xml:space="preserve"> </t>
    </r>
    <r>
      <rPr>
        <sz val="18"/>
        <color indexed="8"/>
        <rFont val="Arial"/>
        <family val="2"/>
        <charset val="238"/>
      </rPr>
      <t>Реализовани добитак прије опорезивања</t>
    </r>
  </si>
  <si>
    <r>
      <t>1.</t>
    </r>
    <r>
      <rPr>
        <b/>
        <sz val="18"/>
        <color indexed="8"/>
        <rFont val="Arial"/>
        <family val="2"/>
        <charset val="238"/>
      </rPr>
      <t xml:space="preserve"> </t>
    </r>
    <r>
      <rPr>
        <sz val="18"/>
        <color indexed="8"/>
        <rFont val="Arial"/>
        <family val="2"/>
        <charset val="238"/>
      </rPr>
      <t>Реализовани добитак послије опорезивања</t>
    </r>
  </si>
  <si>
    <r>
      <t>2.</t>
    </r>
    <r>
      <rPr>
        <b/>
        <sz val="18"/>
        <color indexed="8"/>
        <rFont val="Arial"/>
        <family val="2"/>
        <charset val="238"/>
      </rPr>
      <t xml:space="preserve"> </t>
    </r>
    <r>
      <rPr>
        <sz val="18"/>
        <color indexed="8"/>
        <rFont val="Arial"/>
        <family val="2"/>
        <charset val="238"/>
      </rPr>
      <t xml:space="preserve">Реализовани губитак послије опорезивања </t>
    </r>
  </si>
  <si>
    <t>6. Одливи по основу трошкова куповине и
 продаје хартија од вриједности</t>
  </si>
  <si>
    <t>Законски заступник друштва:</t>
  </si>
  <si>
    <t>II Обавезе по основу трошкова  пословања (026 до 029)</t>
  </si>
  <si>
    <t xml:space="preserve">Datum: 30.06.2012.     </t>
  </si>
  <si>
    <t>У Б. Луци,</t>
  </si>
  <si>
    <t>1106104/</t>
  </si>
  <si>
    <t>METAL AD BANJA LUKA</t>
  </si>
  <si>
    <t>Gordana, promjene na nerealizovanim dobicima, odnosno gubicima u izvještaju o promjenama neto vrijednosti imovine su iskazani iz bilansa uspjeha AOP 256. Ova pozicija ne uzima u obzir isknjižavanje početnog stanja nerealizovanih dobitaka, odnosno gubitaka po osnovu hartija od vrijednosti koje su u toku perioda prodane. Ovaj podatak se može uzeti kod sastavljanja finansijskih izvještaja, ako u tekućem periodu nije bilo prodaja. Ukoliko je bilo prodaja podatak relevantan sa sastavljanje izvještaja o promjenama neto vrijednosti imovine fonda u AOP 303 je razlika na AOP 60 (bilans stanja promjene na nerealizovanim dobicima, odnosno gubicima u odnosu na prethodni period).</t>
  </si>
  <si>
    <t>REPUBLIKA SRPSKA - MINISTARSTVO FINANSIJA</t>
  </si>
  <si>
    <t>RSRS-O-H</t>
  </si>
  <si>
    <t>Томакант</t>
  </si>
  <si>
    <t>ревизор</t>
  </si>
  <si>
    <t>BIRAČ AD, ZVORNIK - u stecaju</t>
  </si>
  <si>
    <t>RSBD-O-D</t>
  </si>
  <si>
    <t xml:space="preserve"> U Banjoj Luci</t>
  </si>
  <si>
    <t>Gordana Stanojčić , licenca br. СР 1210-14</t>
  </si>
  <si>
    <t>Gordana Stanojčić , licenca CР 1210-14</t>
  </si>
  <si>
    <t>Gordana Stanojčić , licenca CR 1210-14</t>
  </si>
  <si>
    <t>Лице са лиценцом: CP  1210-14</t>
  </si>
  <si>
    <t>Лице са лиценцом: CP1210-14</t>
  </si>
  <si>
    <t>Лице са лиценцом: CP 1210-14</t>
  </si>
  <si>
    <t>Миљкан Пуцар</t>
  </si>
  <si>
    <t>BORJ-R-A</t>
  </si>
  <si>
    <t>CR 1210-14  Gordana Stanojcic</t>
  </si>
  <si>
    <t>Ружица Топић</t>
  </si>
  <si>
    <t>ZIF BORS INVEST FOND AD BANJALUKA</t>
  </si>
  <si>
    <t>za period 01.01.-30.09.2014. godine</t>
  </si>
  <si>
    <t>Датум:30.09.2014.</t>
  </si>
  <si>
    <t xml:space="preserve">    (износ у КМ)</t>
  </si>
  <si>
    <r>
      <t>I</t>
    </r>
    <r>
      <rPr>
        <b/>
        <sz val="16"/>
        <rFont val="Arial"/>
        <family val="2"/>
        <charset val="238"/>
      </rPr>
      <t xml:space="preserve"> </t>
    </r>
    <r>
      <rPr>
        <sz val="16"/>
        <rFont val="Arial"/>
        <family val="2"/>
        <charset val="238"/>
      </rPr>
      <t>Приливи готовине из пословних активности (402 до 406)</t>
    </r>
  </si>
  <si>
    <r>
      <t>III</t>
    </r>
    <r>
      <rPr>
        <b/>
        <sz val="16"/>
        <rFont val="Arial"/>
        <family val="2"/>
        <charset val="238"/>
      </rPr>
      <t xml:space="preserve"> </t>
    </r>
    <r>
      <rPr>
        <sz val="16"/>
        <rFont val="Arial"/>
        <family val="2"/>
        <charset val="238"/>
      </rPr>
      <t xml:space="preserve">Нето прилив готовине из активности финансирања </t>
    </r>
  </si>
  <si>
    <t>30.03.2014</t>
  </si>
  <si>
    <t>Državne obveznice RSDS-O-C</t>
  </si>
  <si>
    <t>Državne obveznice RSRS-O-A</t>
  </si>
  <si>
    <t>30.06.2014</t>
  </si>
  <si>
    <t>30.09.2014</t>
  </si>
  <si>
    <t>ЦР ХоВ РС-Депозитар</t>
  </si>
  <si>
    <t>Бањалучка берза</t>
  </si>
  <si>
    <t>накнада берзи</t>
  </si>
  <si>
    <t xml:space="preserve">                                      IZVJEŠTAJ O STRUKTURI ULAGANJA INVESTICIONOG FONDA - AKCIJE na dan 31.12.2014. godine</t>
  </si>
  <si>
    <t>Datum: 31.12.2014.</t>
  </si>
  <si>
    <t>IZVJEŠTAJ O NEREALIZOVANIM DOBICIMA (GUBICIMA) INVESTICIONOG FONDA NA DAN 31.12.2014.</t>
  </si>
  <si>
    <t>31.12.2014.</t>
  </si>
  <si>
    <t>IZVJEŠTAJ O STRUKTURI ULAGANJA INVESTICIONOG FONDA - OBVEZNICE na dan 31.12.2014. godine</t>
  </si>
  <si>
    <t>IMOVINE na dan 31.12.2014. godine</t>
  </si>
  <si>
    <t>Dana: 31.12.2014.</t>
  </si>
  <si>
    <t>RSRS-O-I</t>
  </si>
  <si>
    <t>TOTAL:  57</t>
  </si>
  <si>
    <t xml:space="preserve">                                                                              од 01.01. до 31.12.2014. године</t>
  </si>
  <si>
    <t xml:space="preserve">                                                              за период 01.01.- 31.12.2014. год.</t>
  </si>
  <si>
    <t xml:space="preserve">                                                              на дан 31.12.2014. године</t>
  </si>
  <si>
    <t xml:space="preserve">                                                                                                               за период од 01.01. до 31.12.2014. године </t>
  </si>
  <si>
    <t>31.12.2014.                          Гордана Станојчић, CP 1210-14</t>
  </si>
  <si>
    <t xml:space="preserve">                                            ФОНДА ПО ВРСТАМА ИНСТРУМЕНАТА НА ДАН 31.12.2014.</t>
  </si>
  <si>
    <t xml:space="preserve">Датум: 31.12.2014.              Лице одговорно за састављање извјештаја: </t>
  </si>
  <si>
    <t>ИЗВЈЕШТАЈ О УЛАГАЊИМА У ПОВЕЗАНА ЛИЦА на дан 01.01. -31.12.2014.</t>
  </si>
  <si>
    <t>ИЗВЈЕШТАЈ О ПРОДАЈАМА ХАРТИЈА ОД ВРИЈЕДНОСТИ ПОВЕЗАНИМ ЛИЦИМА за период 01.01. -31.12.2014</t>
  </si>
  <si>
    <t>ИЗВЕШТАЈ О ПРОДАЈАМА НЕКРЕТНИНА ПОВЕЗАНИМ ЛИЦИМА за период 01.01. -31.12.2014. године</t>
  </si>
  <si>
    <t>ИЗВЕШТАЈ О ИСПЛАТАМА ПОВЕЗАНИМ ЛИЦИМА за период 01.01. -31.12.2014. године</t>
  </si>
  <si>
    <t>Državne obveznice RSRS-O-C</t>
  </si>
  <si>
    <t>31.10.2014</t>
  </si>
  <si>
    <t>29.12.2014</t>
  </si>
  <si>
    <t>Državne obveznice RSRS-O-B</t>
  </si>
  <si>
    <t>INVESTICIONOG FONDA za period  01.01. - 31.12.2014.godine</t>
  </si>
  <si>
    <t>Banjaluka ,31.12.2014.</t>
  </si>
</sst>
</file>

<file path=xl/styles.xml><?xml version="1.0" encoding="utf-8"?>
<styleSheet xmlns="http://schemas.openxmlformats.org/spreadsheetml/2006/main">
  <numFmts count="24">
    <numFmt numFmtId="41" formatCode="_(* #,##0_);_(* \(#,##0\);_(* &quot;-&quot;_);_(@_)"/>
    <numFmt numFmtId="43" formatCode="_(* #,##0.00_);_(* \(#,##0.00\);_(* &quot;-&quot;??_);_(@_)"/>
    <numFmt numFmtId="164" formatCode="_-* #,##0\ _K_M_-;\-* #,##0\ _K_M_-;_-* &quot;-&quot;\ _K_M_-;_-@_-"/>
    <numFmt numFmtId="165" formatCode="_-* #,##0.00\ _K_M_-;\-* #,##0.00\ _K_M_-;_-* &quot;-&quot;??\ _K_M_-;_-@_-"/>
    <numFmt numFmtId="166" formatCode="_-* #,##0.00\ _D_i_n_._-;\-* #,##0.00\ _D_i_n_._-;_-* &quot;-&quot;??\ _D_i_n_._-;_-@_-"/>
    <numFmt numFmtId="167" formatCode="_-* #,##0\ _k_n_-;\-* #,##0\ _k_n_-;_-* &quot;-&quot;\ _k_n_-;_-@_-"/>
    <numFmt numFmtId="168" formatCode="###,###,###,##0"/>
    <numFmt numFmtId="169" formatCode="###,##0.0000"/>
    <numFmt numFmtId="170" formatCode="#,##0.000000"/>
    <numFmt numFmtId="171" formatCode="0.000000"/>
    <numFmt numFmtId="172" formatCode="0.0000"/>
    <numFmt numFmtId="173" formatCode="0.0000%"/>
    <numFmt numFmtId="174" formatCode="#,##0.0000"/>
    <numFmt numFmtId="175" formatCode="_-* #,##0.00_-;\-* #,##0.00_-;_-* &quot;-&quot;??_-;_-@_-"/>
    <numFmt numFmtId="176" formatCode="#,##0.00\ &quot;Din.&quot;"/>
    <numFmt numFmtId="177" formatCode="#,##0\ _D_i_n_."/>
    <numFmt numFmtId="178" formatCode="#,##0.00\ _D_i_n_."/>
    <numFmt numFmtId="179" formatCode="0.000"/>
    <numFmt numFmtId="180" formatCode="_-* #,##0.00\ _K_M_-;\-* #,##0.00\ _K_M_-;_-* &quot;-&quot;\ _K_M_-;_-@_-"/>
    <numFmt numFmtId="181" formatCode="_-* #,##0.0000\ _K_M_-;\-* #,##0.0000\ _K_M_-;_-* &quot;-&quot;\ _K_M_-;_-@_-"/>
    <numFmt numFmtId="182" formatCode="#,##0.00;[Red]#,##0.00"/>
    <numFmt numFmtId="183" formatCode="#,##0.000000000"/>
    <numFmt numFmtId="184" formatCode="_(* #,##0.000000_);_(* \(#,##0.000000\);_(* &quot;-&quot;??_);_(@_)"/>
    <numFmt numFmtId="185" formatCode="_-* #,##0.0000\ _D_i_n_._-;\-* #,##0.0000\ _D_i_n_._-;_-* &quot;-&quot;??\ _D_i_n_._-;_-@_-"/>
  </numFmts>
  <fonts count="77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u/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color indexed="8"/>
      <name val="Arial"/>
      <family val="2"/>
      <charset val="238"/>
    </font>
    <font>
      <sz val="16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Calibri"/>
      <family val="2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</font>
    <font>
      <u/>
      <sz val="14"/>
      <name val="Arial"/>
      <family val="2"/>
      <charset val="238"/>
    </font>
    <font>
      <b/>
      <sz val="14"/>
      <name val="Times New Roman"/>
      <family val="1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Calibri"/>
      <family val="2"/>
      <charset val="238"/>
    </font>
    <font>
      <b/>
      <sz val="12"/>
      <name val="Arial"/>
      <family val="2"/>
      <charset val="238"/>
    </font>
    <font>
      <sz val="12"/>
      <name val="Times New Roman"/>
      <family val="1"/>
    </font>
    <font>
      <sz val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u/>
      <sz val="12"/>
      <name val="Times New Roman"/>
      <family val="1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b/>
      <sz val="18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6"/>
      <color indexed="60"/>
      <name val="Arial"/>
      <family val="2"/>
      <charset val="238"/>
    </font>
    <font>
      <b/>
      <sz val="15"/>
      <name val="Arial"/>
      <family val="2"/>
      <charset val="238"/>
    </font>
    <font>
      <b/>
      <sz val="15"/>
      <color indexed="8"/>
      <name val="Arial"/>
      <family val="2"/>
      <charset val="238"/>
    </font>
    <font>
      <sz val="15"/>
      <color indexed="8"/>
      <name val="Arial"/>
      <family val="2"/>
      <charset val="238"/>
    </font>
    <font>
      <sz val="15"/>
      <name val="Arial"/>
      <family val="2"/>
      <charset val="238"/>
    </font>
    <font>
      <b/>
      <sz val="15"/>
      <color indexed="60"/>
      <name val="Arial"/>
      <family val="2"/>
      <charset val="238"/>
    </font>
    <font>
      <sz val="15"/>
      <color indexed="9"/>
      <name val="Arial"/>
      <family val="2"/>
      <charset val="238"/>
    </font>
    <font>
      <sz val="12"/>
      <color indexed="8"/>
      <name val="Arial"/>
      <family val="2"/>
      <charset val="238"/>
    </font>
    <font>
      <b/>
      <sz val="18"/>
      <color indexed="8"/>
      <name val="Arial"/>
      <family val="2"/>
    </font>
    <font>
      <b/>
      <sz val="11"/>
      <color indexed="8"/>
      <name val="Calibri"/>
      <family val="2"/>
      <charset val="238"/>
    </font>
    <font>
      <sz val="10"/>
      <name val="Tim"/>
      <charset val="238"/>
    </font>
    <font>
      <sz val="12"/>
      <color rgb="FF00000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9"/>
      <color indexed="9"/>
      <name val="Arial"/>
      <family val="2"/>
    </font>
    <font>
      <sz val="12"/>
      <color rgb="FFFF0000"/>
      <name val="Arial"/>
      <family val="2"/>
    </font>
    <font>
      <sz val="18"/>
      <name val="Arial"/>
      <family val="2"/>
      <charset val="238"/>
    </font>
    <font>
      <b/>
      <sz val="18"/>
      <name val="Arial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8"/>
      <color rgb="FFFF0000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0" fontId="8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9" fontId="18" fillId="0" borderId="0" applyFont="0" applyFill="0" applyBorder="0" applyAlignment="0" applyProtection="0"/>
  </cellStyleXfs>
  <cellXfs count="65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3" fillId="0" borderId="0" xfId="0" applyFont="1"/>
    <xf numFmtId="0" fontId="0" fillId="0" borderId="5" xfId="0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10" fillId="0" borderId="0" xfId="0" applyFont="1" applyFill="1"/>
    <xf numFmtId="0" fontId="4" fillId="0" borderId="0" xfId="0" applyFont="1"/>
    <xf numFmtId="0" fontId="10" fillId="0" borderId="0" xfId="0" applyFont="1"/>
    <xf numFmtId="0" fontId="8" fillId="0" borderId="0" xfId="0" applyFont="1"/>
    <xf numFmtId="0" fontId="5" fillId="0" borderId="0" xfId="0" applyFont="1"/>
    <xf numFmtId="0" fontId="13" fillId="0" borderId="0" xfId="0" applyFont="1"/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/>
    <xf numFmtId="0" fontId="13" fillId="0" borderId="7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14" fontId="13" fillId="0" borderId="7" xfId="0" applyNumberFormat="1" applyFont="1" applyBorder="1" applyAlignment="1">
      <alignment horizontal="center" wrapText="1"/>
    </xf>
    <xf numFmtId="0" fontId="13" fillId="0" borderId="8" xfId="0" applyFont="1" applyBorder="1" applyAlignment="1">
      <alignment wrapText="1"/>
    </xf>
    <xf numFmtId="0" fontId="13" fillId="0" borderId="8" xfId="0" applyFont="1" applyBorder="1" applyAlignment="1">
      <alignment horizontal="right" wrapText="1"/>
    </xf>
    <xf numFmtId="0" fontId="13" fillId="0" borderId="9" xfId="0" applyFont="1" applyBorder="1" applyAlignment="1">
      <alignment horizontal="right" wrapText="1"/>
    </xf>
    <xf numFmtId="0" fontId="14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wrapText="1"/>
    </xf>
    <xf numFmtId="0" fontId="13" fillId="0" borderId="8" xfId="0" applyFont="1" applyFill="1" applyBorder="1" applyAlignment="1">
      <alignment horizontal="left"/>
    </xf>
    <xf numFmtId="177" fontId="13" fillId="0" borderId="8" xfId="0" applyNumberFormat="1" applyFont="1" applyBorder="1" applyAlignment="1">
      <alignment horizontal="right" wrapText="1"/>
    </xf>
    <xf numFmtId="43" fontId="13" fillId="0" borderId="9" xfId="0" applyNumberFormat="1" applyFont="1" applyBorder="1" applyAlignment="1">
      <alignment horizontal="right" wrapText="1"/>
    </xf>
    <xf numFmtId="0" fontId="13" fillId="2" borderId="8" xfId="0" applyFont="1" applyFill="1" applyBorder="1" applyAlignment="1">
      <alignment horizontal="left"/>
    </xf>
    <xf numFmtId="177" fontId="13" fillId="0" borderId="8" xfId="0" applyNumberFormat="1" applyFont="1" applyBorder="1" applyAlignment="1">
      <alignment wrapText="1"/>
    </xf>
    <xf numFmtId="14" fontId="13" fillId="2" borderId="7" xfId="0" applyNumberFormat="1" applyFont="1" applyFill="1" applyBorder="1" applyAlignment="1">
      <alignment horizontal="center" wrapText="1"/>
    </xf>
    <xf numFmtId="177" fontId="13" fillId="2" borderId="8" xfId="0" applyNumberFormat="1" applyFont="1" applyFill="1" applyBorder="1" applyAlignment="1">
      <alignment wrapText="1"/>
    </xf>
    <xf numFmtId="43" fontId="13" fillId="2" borderId="9" xfId="0" applyNumberFormat="1" applyFont="1" applyFill="1" applyBorder="1" applyAlignment="1">
      <alignment horizontal="right" wrapText="1"/>
    </xf>
    <xf numFmtId="43" fontId="0" fillId="0" borderId="0" xfId="0" applyNumberFormat="1"/>
    <xf numFmtId="14" fontId="13" fillId="0" borderId="7" xfId="0" applyNumberFormat="1" applyFont="1" applyBorder="1" applyAlignment="1">
      <alignment horizontal="center"/>
    </xf>
    <xf numFmtId="0" fontId="0" fillId="2" borderId="0" xfId="0" applyFill="1"/>
    <xf numFmtId="178" fontId="0" fillId="0" borderId="0" xfId="0" applyNumberFormat="1"/>
    <xf numFmtId="177" fontId="13" fillId="0" borderId="8" xfId="0" applyNumberFormat="1" applyFont="1" applyFill="1" applyBorder="1" applyAlignment="1">
      <alignment horizontal="right" wrapText="1"/>
    </xf>
    <xf numFmtId="0" fontId="13" fillId="0" borderId="8" xfId="0" applyFont="1" applyBorder="1" applyAlignment="1">
      <alignment vertical="center" wrapText="1"/>
    </xf>
    <xf numFmtId="0" fontId="13" fillId="0" borderId="8" xfId="0" applyFont="1" applyBorder="1" applyAlignment="1">
      <alignment vertical="top" wrapText="1"/>
    </xf>
    <xf numFmtId="0" fontId="13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wrapText="1"/>
    </xf>
    <xf numFmtId="0" fontId="5" fillId="0" borderId="11" xfId="0" applyFont="1" applyBorder="1" applyAlignment="1">
      <alignment horizontal="right" wrapText="1"/>
    </xf>
    <xf numFmtId="0" fontId="13" fillId="0" borderId="10" xfId="0" applyFont="1" applyBorder="1" applyAlignment="1">
      <alignment horizontal="center" vertical="center" wrapText="1"/>
    </xf>
    <xf numFmtId="43" fontId="8" fillId="0" borderId="0" xfId="0" applyNumberFormat="1" applyFont="1"/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wrapText="1"/>
    </xf>
    <xf numFmtId="0" fontId="13" fillId="0" borderId="9" xfId="0" applyFont="1" applyBorder="1" applyAlignment="1">
      <alignment wrapText="1"/>
    </xf>
    <xf numFmtId="0" fontId="13" fillId="0" borderId="11" xfId="0" applyFont="1" applyBorder="1" applyAlignment="1">
      <alignment wrapText="1"/>
    </xf>
    <xf numFmtId="0" fontId="13" fillId="0" borderId="17" xfId="0" applyFont="1" applyBorder="1" applyAlignment="1">
      <alignment wrapText="1"/>
    </xf>
    <xf numFmtId="0" fontId="13" fillId="0" borderId="0" xfId="0" applyFont="1" applyBorder="1"/>
    <xf numFmtId="0" fontId="0" fillId="0" borderId="0" xfId="0" applyAlignment="1"/>
    <xf numFmtId="0" fontId="13" fillId="0" borderId="0" xfId="0" applyFont="1" applyBorder="1" applyAlignment="1">
      <alignment horizontal="center"/>
    </xf>
    <xf numFmtId="0" fontId="15" fillId="0" borderId="0" xfId="3" applyFont="1" applyAlignment="1"/>
    <xf numFmtId="0" fontId="6" fillId="0" borderId="0" xfId="0" applyFont="1"/>
    <xf numFmtId="0" fontId="12" fillId="0" borderId="0" xfId="0" applyFon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0" xfId="0" applyNumberFormat="1" applyBorder="1" applyAlignment="1">
      <alignment horizontal="left"/>
    </xf>
    <xf numFmtId="0" fontId="19" fillId="0" borderId="0" xfId="0" applyFont="1" applyFill="1"/>
    <xf numFmtId="0" fontId="20" fillId="0" borderId="0" xfId="0" applyFont="1" applyFill="1"/>
    <xf numFmtId="0" fontId="21" fillId="0" borderId="0" xfId="0" applyFont="1" applyFill="1"/>
    <xf numFmtId="0" fontId="22" fillId="0" borderId="0" xfId="0" applyFont="1" applyFill="1" applyAlignment="1">
      <alignment horizontal="left" indent="2"/>
    </xf>
    <xf numFmtId="0" fontId="22" fillId="0" borderId="0" xfId="0" applyFont="1" applyFill="1"/>
    <xf numFmtId="0" fontId="23" fillId="0" borderId="0" xfId="0" applyFont="1" applyFill="1"/>
    <xf numFmtId="0" fontId="22" fillId="0" borderId="0" xfId="0" applyFont="1" applyFill="1" applyAlignment="1"/>
    <xf numFmtId="0" fontId="21" fillId="0" borderId="0" xfId="0" applyFont="1" applyFill="1" applyAlignment="1">
      <alignment horizontal="center"/>
    </xf>
    <xf numFmtId="0" fontId="21" fillId="0" borderId="0" xfId="0" applyFont="1" applyFill="1" applyAlignment="1">
      <alignment horizontal="right"/>
    </xf>
    <xf numFmtId="0" fontId="22" fillId="0" borderId="8" xfId="0" applyFont="1" applyFill="1" applyBorder="1" applyAlignment="1">
      <alignment horizontal="center" wrapText="1"/>
    </xf>
    <xf numFmtId="0" fontId="21" fillId="0" borderId="8" xfId="0" applyFont="1" applyFill="1" applyBorder="1" applyAlignment="1">
      <alignment horizontal="center" vertical="top" wrapText="1"/>
    </xf>
    <xf numFmtId="1" fontId="21" fillId="0" borderId="0" xfId="0" applyNumberFormat="1" applyFont="1" applyFill="1"/>
    <xf numFmtId="1" fontId="21" fillId="0" borderId="0" xfId="0" applyNumberFormat="1" applyFont="1" applyFill="1" applyBorder="1" applyAlignment="1">
      <alignment vertical="top" wrapText="1"/>
    </xf>
    <xf numFmtId="0" fontId="21" fillId="0" borderId="0" xfId="0" applyFont="1" applyFill="1" applyBorder="1"/>
    <xf numFmtId="164" fontId="21" fillId="0" borderId="0" xfId="0" applyNumberFormat="1" applyFont="1" applyFill="1"/>
    <xf numFmtId="0" fontId="24" fillId="0" borderId="0" xfId="0" applyFont="1"/>
    <xf numFmtId="0" fontId="20" fillId="0" borderId="0" xfId="0" applyFont="1"/>
    <xf numFmtId="0" fontId="25" fillId="0" borderId="0" xfId="0" applyFont="1"/>
    <xf numFmtId="0" fontId="26" fillId="0" borderId="0" xfId="0" applyFont="1"/>
    <xf numFmtId="4" fontId="25" fillId="0" borderId="0" xfId="0" applyNumberFormat="1" applyFont="1"/>
    <xf numFmtId="0" fontId="27" fillId="0" borderId="0" xfId="0" applyFont="1"/>
    <xf numFmtId="0" fontId="20" fillId="0" borderId="0" xfId="3" applyFont="1"/>
    <xf numFmtId="0" fontId="28" fillId="0" borderId="0" xfId="3" applyFont="1"/>
    <xf numFmtId="0" fontId="27" fillId="0" borderId="0" xfId="3" applyFont="1"/>
    <xf numFmtId="0" fontId="27" fillId="0" borderId="12" xfId="3" applyFont="1" applyBorder="1" applyAlignment="1">
      <alignment horizontal="center" vertical="center" wrapText="1"/>
    </xf>
    <xf numFmtId="0" fontId="27" fillId="0" borderId="13" xfId="3" applyFont="1" applyBorder="1" applyAlignment="1">
      <alignment horizontal="center" vertical="center" wrapText="1"/>
    </xf>
    <xf numFmtId="0" fontId="27" fillId="0" borderId="15" xfId="3" applyFont="1" applyBorder="1" applyAlignment="1">
      <alignment horizontal="center" vertical="center" wrapText="1"/>
    </xf>
    <xf numFmtId="0" fontId="27" fillId="0" borderId="7" xfId="3" applyFont="1" applyBorder="1" applyAlignment="1">
      <alignment horizontal="center" vertical="top" wrapText="1"/>
    </xf>
    <xf numFmtId="0" fontId="27" fillId="0" borderId="8" xfId="3" applyFont="1" applyBorder="1" applyAlignment="1">
      <alignment horizontal="center" wrapText="1"/>
    </xf>
    <xf numFmtId="0" fontId="27" fillId="0" borderId="9" xfId="3" applyFont="1" applyBorder="1" applyAlignment="1">
      <alignment horizontal="center" wrapText="1"/>
    </xf>
    <xf numFmtId="0" fontId="27" fillId="0" borderId="7" xfId="3" applyFont="1" applyBorder="1" applyAlignment="1">
      <alignment horizontal="center" vertical="center" wrapText="1"/>
    </xf>
    <xf numFmtId="0" fontId="27" fillId="0" borderId="8" xfId="3" applyFont="1" applyBorder="1" applyAlignment="1">
      <alignment horizontal="left" vertical="center" wrapText="1"/>
    </xf>
    <xf numFmtId="174" fontId="27" fillId="0" borderId="9" xfId="3" applyNumberFormat="1" applyFont="1" applyBorder="1" applyAlignment="1">
      <alignment horizontal="right" wrapText="1"/>
    </xf>
    <xf numFmtId="0" fontId="27" fillId="0" borderId="10" xfId="3" applyFont="1" applyBorder="1" applyAlignment="1">
      <alignment horizontal="center" vertical="center" wrapText="1"/>
    </xf>
    <xf numFmtId="0" fontId="27" fillId="0" borderId="11" xfId="3" applyFont="1" applyBorder="1" applyAlignment="1">
      <alignment horizontal="left" vertical="center" wrapText="1"/>
    </xf>
    <xf numFmtId="174" fontId="27" fillId="0" borderId="17" xfId="3" applyNumberFormat="1" applyFont="1" applyBorder="1" applyAlignment="1">
      <alignment horizontal="right" wrapText="1"/>
    </xf>
    <xf numFmtId="43" fontId="20" fillId="0" borderId="0" xfId="1" applyFont="1"/>
    <xf numFmtId="165" fontId="20" fillId="0" borderId="0" xfId="3" applyNumberFormat="1" applyFont="1"/>
    <xf numFmtId="0" fontId="19" fillId="0" borderId="0" xfId="3" applyFont="1"/>
    <xf numFmtId="0" fontId="31" fillId="0" borderId="0" xfId="0" applyFont="1"/>
    <xf numFmtId="0" fontId="19" fillId="0" borderId="0" xfId="0" applyFont="1"/>
    <xf numFmtId="0" fontId="15" fillId="0" borderId="0" xfId="3" applyFont="1"/>
    <xf numFmtId="0" fontId="19" fillId="0" borderId="10" xfId="3" applyFont="1" applyBorder="1"/>
    <xf numFmtId="0" fontId="19" fillId="0" borderId="7" xfId="3" applyFont="1" applyBorder="1"/>
    <xf numFmtId="0" fontId="19" fillId="0" borderId="0" xfId="3" applyFont="1" applyAlignment="1">
      <alignment horizontal="left"/>
    </xf>
    <xf numFmtId="0" fontId="19" fillId="0" borderId="0" xfId="3" applyFont="1" applyBorder="1" applyAlignment="1">
      <alignment horizontal="center"/>
    </xf>
    <xf numFmtId="0" fontId="19" fillId="0" borderId="0" xfId="3" applyFont="1" applyFill="1"/>
    <xf numFmtId="0" fontId="32" fillId="0" borderId="0" xfId="0" applyFont="1"/>
    <xf numFmtId="0" fontId="19" fillId="0" borderId="0" xfId="3" applyFont="1" applyAlignment="1">
      <alignment vertical="center" wrapText="1"/>
    </xf>
    <xf numFmtId="0" fontId="19" fillId="0" borderId="0" xfId="3" applyFont="1" applyAlignment="1"/>
    <xf numFmtId="4" fontId="20" fillId="0" borderId="0" xfId="3" applyNumberFormat="1" applyFont="1"/>
    <xf numFmtId="0" fontId="26" fillId="0" borderId="0" xfId="0" applyFont="1" applyFill="1"/>
    <xf numFmtId="4" fontId="31" fillId="0" borderId="0" xfId="0" applyNumberFormat="1" applyFont="1"/>
    <xf numFmtId="0" fontId="33" fillId="0" borderId="0" xfId="3" applyFont="1"/>
    <xf numFmtId="0" fontId="33" fillId="0" borderId="0" xfId="0" applyFont="1"/>
    <xf numFmtId="183" fontId="20" fillId="0" borderId="0" xfId="3" applyNumberFormat="1" applyFont="1"/>
    <xf numFmtId="183" fontId="25" fillId="0" borderId="0" xfId="0" applyNumberFormat="1" applyFont="1"/>
    <xf numFmtId="0" fontId="34" fillId="0" borderId="0" xfId="0" applyFont="1" applyFill="1" applyAlignment="1">
      <alignment horizontal="center"/>
    </xf>
    <xf numFmtId="0" fontId="32" fillId="0" borderId="0" xfId="0" applyFont="1" applyFill="1" applyAlignment="1">
      <alignment horizontal="center"/>
    </xf>
    <xf numFmtId="0" fontId="27" fillId="0" borderId="15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top" wrapText="1"/>
    </xf>
    <xf numFmtId="164" fontId="27" fillId="0" borderId="9" xfId="0" applyNumberFormat="1" applyFont="1" applyFill="1" applyBorder="1" applyAlignment="1">
      <alignment horizontal="right" vertical="top" wrapText="1"/>
    </xf>
    <xf numFmtId="0" fontId="25" fillId="0" borderId="0" xfId="0" applyFont="1" applyFill="1"/>
    <xf numFmtId="0" fontId="25" fillId="0" borderId="0" xfId="0" applyFont="1" applyFill="1" applyBorder="1"/>
    <xf numFmtId="2" fontId="21" fillId="0" borderId="0" xfId="0" applyNumberFormat="1" applyFont="1" applyFill="1"/>
    <xf numFmtId="167" fontId="21" fillId="0" borderId="0" xfId="0" applyNumberFormat="1" applyFont="1" applyFill="1"/>
    <xf numFmtId="0" fontId="4" fillId="0" borderId="0" xfId="0" applyFont="1" applyFill="1"/>
    <xf numFmtId="0" fontId="36" fillId="0" borderId="0" xfId="0" applyFont="1" applyFill="1"/>
    <xf numFmtId="0" fontId="32" fillId="0" borderId="0" xfId="0" applyFont="1" applyFill="1"/>
    <xf numFmtId="181" fontId="12" fillId="0" borderId="8" xfId="1" applyNumberFormat="1" applyFont="1" applyFill="1" applyBorder="1" applyAlignment="1">
      <alignment horizontal="right" vertical="top" wrapText="1"/>
    </xf>
    <xf numFmtId="0" fontId="27" fillId="0" borderId="12" xfId="0" applyFont="1" applyFill="1" applyBorder="1" applyAlignment="1">
      <alignment horizont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top" wrapText="1"/>
    </xf>
    <xf numFmtId="0" fontId="27" fillId="0" borderId="8" xfId="0" applyFont="1" applyFill="1" applyBorder="1" applyAlignment="1">
      <alignment horizontal="center" vertical="top" wrapText="1"/>
    </xf>
    <xf numFmtId="0" fontId="29" fillId="0" borderId="7" xfId="0" applyFont="1" applyFill="1" applyBorder="1" applyAlignment="1">
      <alignment horizontal="center" vertical="top" wrapText="1"/>
    </xf>
    <xf numFmtId="0" fontId="29" fillId="0" borderId="8" xfId="0" applyFont="1" applyFill="1" applyBorder="1" applyAlignment="1">
      <alignment vertical="top" wrapText="1"/>
    </xf>
    <xf numFmtId="164" fontId="27" fillId="0" borderId="8" xfId="0" applyNumberFormat="1" applyFont="1" applyFill="1" applyBorder="1" applyAlignment="1">
      <alignment horizontal="right" vertical="top" wrapText="1"/>
    </xf>
    <xf numFmtId="0" fontId="27" fillId="0" borderId="8" xfId="0" applyFont="1" applyFill="1" applyBorder="1" applyAlignment="1">
      <alignment vertical="top" wrapText="1"/>
    </xf>
    <xf numFmtId="164" fontId="27" fillId="0" borderId="8" xfId="1" applyNumberFormat="1" applyFont="1" applyFill="1" applyBorder="1" applyAlignment="1">
      <alignment horizontal="right" vertical="top" wrapText="1"/>
    </xf>
    <xf numFmtId="164" fontId="0" fillId="0" borderId="0" xfId="0" applyNumberFormat="1" applyFill="1"/>
    <xf numFmtId="180" fontId="27" fillId="0" borderId="8" xfId="0" applyNumberFormat="1" applyFont="1" applyFill="1" applyBorder="1" applyAlignment="1">
      <alignment horizontal="right" vertical="top" wrapText="1"/>
    </xf>
    <xf numFmtId="181" fontId="27" fillId="0" borderId="8" xfId="1" applyNumberFormat="1" applyFont="1" applyFill="1" applyBorder="1" applyAlignment="1">
      <alignment horizontal="right" vertical="top" wrapText="1"/>
    </xf>
    <xf numFmtId="0" fontId="27" fillId="0" borderId="10" xfId="0" applyFont="1" applyFill="1" applyBorder="1" applyAlignment="1">
      <alignment horizontal="center" vertical="top" wrapText="1"/>
    </xf>
    <xf numFmtId="0" fontId="27" fillId="0" borderId="11" xfId="0" applyFont="1" applyFill="1" applyBorder="1" applyAlignment="1">
      <alignment vertical="top" wrapText="1"/>
    </xf>
    <xf numFmtId="0" fontId="27" fillId="0" borderId="11" xfId="0" applyFont="1" applyFill="1" applyBorder="1" applyAlignment="1">
      <alignment horizontal="center" vertical="top" wrapText="1"/>
    </xf>
    <xf numFmtId="0" fontId="27" fillId="0" borderId="0" xfId="0" applyFont="1" applyFill="1" applyBorder="1"/>
    <xf numFmtId="3" fontId="0" fillId="0" borderId="0" xfId="0" applyNumberFormat="1" applyFill="1" applyBorder="1"/>
    <xf numFmtId="179" fontId="0" fillId="0" borderId="0" xfId="0" applyNumberFormat="1" applyFill="1" applyBorder="1"/>
    <xf numFmtId="0" fontId="13" fillId="0" borderId="0" xfId="0" applyFont="1" applyFill="1" applyBorder="1" applyAlignment="1">
      <alignment horizontal="center" wrapText="1"/>
    </xf>
    <xf numFmtId="0" fontId="39" fillId="0" borderId="0" xfId="0" applyFont="1"/>
    <xf numFmtId="0" fontId="51" fillId="0" borderId="0" xfId="0" applyFont="1"/>
    <xf numFmtId="43" fontId="13" fillId="0" borderId="8" xfId="0" applyNumberFormat="1" applyFont="1" applyBorder="1" applyAlignment="1">
      <alignment horizontal="right" wrapText="1"/>
    </xf>
    <xf numFmtId="43" fontId="13" fillId="2" borderId="8" xfId="0" applyNumberFormat="1" applyFont="1" applyFill="1" applyBorder="1" applyAlignment="1">
      <alignment horizontal="right" wrapText="1"/>
    </xf>
    <xf numFmtId="43" fontId="13" fillId="0" borderId="8" xfId="0" applyNumberFormat="1" applyFont="1" applyFill="1" applyBorder="1" applyAlignment="1">
      <alignment horizontal="right" wrapText="1"/>
    </xf>
    <xf numFmtId="43" fontId="5" fillId="0" borderId="11" xfId="0" applyNumberFormat="1" applyFont="1" applyBorder="1" applyAlignment="1">
      <alignment horizontal="right" wrapText="1"/>
    </xf>
    <xf numFmtId="0" fontId="40" fillId="0" borderId="8" xfId="0" applyFont="1" applyFill="1" applyBorder="1" applyAlignment="1">
      <alignment vertical="top" wrapText="1"/>
    </xf>
    <xf numFmtId="0" fontId="41" fillId="0" borderId="16" xfId="0" applyFont="1" applyFill="1" applyBorder="1" applyAlignment="1">
      <alignment horizontal="center" wrapText="1"/>
    </xf>
    <xf numFmtId="0" fontId="41" fillId="0" borderId="8" xfId="0" applyFont="1" applyFill="1" applyBorder="1" applyAlignment="1">
      <alignment vertical="top" wrapText="1"/>
    </xf>
    <xf numFmtId="41" fontId="40" fillId="0" borderId="8" xfId="0" applyNumberFormat="1" applyFont="1" applyFill="1" applyBorder="1" applyAlignment="1">
      <alignment horizontal="right" vertical="top" wrapText="1"/>
    </xf>
    <xf numFmtId="41" fontId="41" fillId="0" borderId="8" xfId="0" applyNumberFormat="1" applyFont="1" applyFill="1" applyBorder="1" applyAlignment="1">
      <alignment horizontal="right" vertical="top" wrapText="1"/>
    </xf>
    <xf numFmtId="3" fontId="41" fillId="0" borderId="8" xfId="0" applyNumberFormat="1" applyFont="1" applyFill="1" applyBorder="1" applyAlignment="1">
      <alignment horizontal="center" vertical="top" wrapText="1"/>
    </xf>
    <xf numFmtId="41" fontId="41" fillId="0" borderId="8" xfId="0" applyNumberFormat="1" applyFont="1" applyFill="1" applyBorder="1" applyAlignment="1">
      <alignment horizontal="right" wrapText="1"/>
    </xf>
    <xf numFmtId="0" fontId="41" fillId="0" borderId="8" xfId="0" applyFont="1" applyFill="1" applyBorder="1"/>
    <xf numFmtId="41" fontId="41" fillId="0" borderId="8" xfId="0" applyNumberFormat="1" applyFont="1" applyFill="1" applyBorder="1" applyAlignment="1">
      <alignment horizontal="right"/>
    </xf>
    <xf numFmtId="0" fontId="41" fillId="0" borderId="8" xfId="0" applyFont="1" applyFill="1" applyBorder="1" applyAlignment="1">
      <alignment horizontal="center" wrapText="1"/>
    </xf>
    <xf numFmtId="0" fontId="40" fillId="0" borderId="20" xfId="0" applyFont="1" applyFill="1" applyBorder="1" applyAlignment="1">
      <alignment vertical="top" wrapText="1"/>
    </xf>
    <xf numFmtId="0" fontId="41" fillId="0" borderId="0" xfId="0" applyFont="1" applyFill="1"/>
    <xf numFmtId="0" fontId="41" fillId="0" borderId="21" xfId="0" applyFont="1" applyFill="1" applyBorder="1" applyAlignment="1">
      <alignment vertical="top" wrapText="1"/>
    </xf>
    <xf numFmtId="0" fontId="41" fillId="0" borderId="8" xfId="0" applyFont="1" applyFill="1" applyBorder="1" applyAlignment="1">
      <alignment wrapText="1"/>
    </xf>
    <xf numFmtId="0" fontId="41" fillId="0" borderId="19" xfId="0" applyFont="1" applyFill="1" applyBorder="1" applyAlignment="1">
      <alignment vertical="top" wrapText="1"/>
    </xf>
    <xf numFmtId="0" fontId="41" fillId="0" borderId="22" xfId="0" applyFont="1" applyFill="1" applyBorder="1" applyAlignment="1">
      <alignment horizontal="center" wrapText="1"/>
    </xf>
    <xf numFmtId="0" fontId="41" fillId="0" borderId="0" xfId="0" applyFont="1" applyFill="1" applyAlignment="1">
      <alignment horizontal="center"/>
    </xf>
    <xf numFmtId="0" fontId="41" fillId="0" borderId="16" xfId="0" applyFont="1" applyFill="1" applyBorder="1" applyAlignment="1">
      <alignment horizontal="center"/>
    </xf>
    <xf numFmtId="0" fontId="40" fillId="0" borderId="19" xfId="0" applyFont="1" applyFill="1" applyBorder="1" applyAlignment="1">
      <alignment vertical="top" wrapText="1"/>
    </xf>
    <xf numFmtId="41" fontId="41" fillId="0" borderId="0" xfId="0" applyNumberFormat="1" applyFont="1" applyFill="1" applyAlignment="1">
      <alignment horizontal="right"/>
    </xf>
    <xf numFmtId="0" fontId="41" fillId="0" borderId="0" xfId="0" applyFont="1" applyFill="1" applyAlignment="1">
      <alignment horizontal="left" indent="4"/>
    </xf>
    <xf numFmtId="0" fontId="43" fillId="0" borderId="0" xfId="0" applyFont="1" applyFill="1"/>
    <xf numFmtId="0" fontId="43" fillId="0" borderId="0" xfId="0" applyFont="1" applyFill="1" applyAlignment="1">
      <alignment horizontal="left"/>
    </xf>
    <xf numFmtId="4" fontId="43" fillId="0" borderId="0" xfId="0" applyNumberFormat="1" applyFont="1" applyFill="1" applyAlignment="1">
      <alignment horizontal="right"/>
    </xf>
    <xf numFmtId="0" fontId="44" fillId="0" borderId="0" xfId="0" applyFont="1" applyFill="1"/>
    <xf numFmtId="0" fontId="45" fillId="0" borderId="0" xfId="0" applyFont="1" applyFill="1"/>
    <xf numFmtId="4" fontId="45" fillId="0" borderId="0" xfId="0" applyNumberFormat="1" applyFont="1" applyFill="1"/>
    <xf numFmtId="0" fontId="44" fillId="0" borderId="0" xfId="0" applyFont="1" applyFill="1" applyAlignment="1">
      <alignment horizontal="left"/>
    </xf>
    <xf numFmtId="4" fontId="44" fillId="0" borderId="0" xfId="0" applyNumberFormat="1" applyFont="1" applyFill="1" applyAlignment="1">
      <alignment horizontal="right"/>
    </xf>
    <xf numFmtId="0" fontId="43" fillId="0" borderId="0" xfId="0" applyFont="1" applyFill="1" applyAlignment="1"/>
    <xf numFmtId="4" fontId="44" fillId="0" borderId="0" xfId="0" applyNumberFormat="1" applyFont="1" applyFill="1"/>
    <xf numFmtId="182" fontId="45" fillId="0" borderId="0" xfId="0" applyNumberFormat="1" applyFont="1" applyFill="1"/>
    <xf numFmtId="0" fontId="44" fillId="0" borderId="0" xfId="0" applyFont="1" applyFill="1" applyAlignment="1">
      <alignment horizontal="right"/>
    </xf>
    <xf numFmtId="0" fontId="45" fillId="0" borderId="24" xfId="0" applyFont="1" applyFill="1" applyBorder="1"/>
    <xf numFmtId="0" fontId="45" fillId="0" borderId="0" xfId="0" applyFont="1" applyFill="1" applyAlignment="1">
      <alignment horizontal="left"/>
    </xf>
    <xf numFmtId="0" fontId="45" fillId="0" borderId="0" xfId="0" applyFont="1" applyFill="1" applyAlignment="1">
      <alignment horizontal="right"/>
    </xf>
    <xf numFmtId="0" fontId="45" fillId="0" borderId="0" xfId="0" applyFont="1" applyFill="1" applyAlignment="1">
      <alignment wrapText="1"/>
    </xf>
    <xf numFmtId="0" fontId="44" fillId="0" borderId="23" xfId="0" applyFont="1" applyFill="1" applyBorder="1" applyAlignment="1">
      <alignment horizontal="center"/>
    </xf>
    <xf numFmtId="0" fontId="43" fillId="0" borderId="25" xfId="0" applyFont="1" applyFill="1" applyBorder="1" applyAlignment="1">
      <alignment horizontal="center" vertical="top" wrapText="1"/>
    </xf>
    <xf numFmtId="3" fontId="43" fillId="0" borderId="23" xfId="0" applyNumberFormat="1" applyFont="1" applyFill="1" applyBorder="1" applyAlignment="1">
      <alignment horizontal="center" vertical="top" wrapText="1"/>
    </xf>
    <xf numFmtId="0" fontId="43" fillId="0" borderId="23" xfId="0" applyFont="1" applyFill="1" applyBorder="1" applyAlignment="1">
      <alignment horizontal="center" vertical="top" wrapText="1"/>
    </xf>
    <xf numFmtId="0" fontId="43" fillId="0" borderId="23" xfId="0" applyNumberFormat="1" applyFont="1" applyFill="1" applyBorder="1" applyAlignment="1">
      <alignment horizontal="center" vertical="top" wrapText="1"/>
    </xf>
    <xf numFmtId="14" fontId="46" fillId="0" borderId="8" xfId="0" applyNumberFormat="1" applyFont="1" applyFill="1" applyBorder="1" applyAlignment="1">
      <alignment horizontal="center"/>
    </xf>
    <xf numFmtId="0" fontId="46" fillId="0" borderId="26" xfId="0" applyFont="1" applyFill="1" applyBorder="1" applyAlignment="1">
      <alignment horizontal="center" vertical="top" wrapText="1"/>
    </xf>
    <xf numFmtId="4" fontId="46" fillId="0" borderId="8" xfId="0" applyNumberFormat="1" applyFont="1" applyFill="1" applyBorder="1" applyAlignment="1" applyProtection="1">
      <alignment horizontal="right" vertical="top"/>
    </xf>
    <xf numFmtId="2" fontId="46" fillId="0" borderId="8" xfId="0" applyNumberFormat="1" applyFont="1" applyFill="1" applyBorder="1" applyAlignment="1" applyProtection="1">
      <alignment horizontal="right" vertical="top"/>
    </xf>
    <xf numFmtId="0" fontId="46" fillId="0" borderId="0" xfId="0" applyFont="1" applyFill="1"/>
    <xf numFmtId="2" fontId="46" fillId="0" borderId="0" xfId="0" applyNumberFormat="1" applyFont="1" applyFill="1"/>
    <xf numFmtId="0" fontId="46" fillId="0" borderId="26" xfId="0" applyFont="1" applyFill="1" applyBorder="1" applyAlignment="1">
      <alignment horizontal="right" vertical="top" wrapText="1"/>
    </xf>
    <xf numFmtId="2" fontId="46" fillId="0" borderId="8" xfId="0" applyNumberFormat="1" applyFont="1" applyFill="1" applyBorder="1"/>
    <xf numFmtId="4" fontId="46" fillId="0" borderId="8" xfId="0" applyNumberFormat="1" applyFont="1" applyFill="1" applyBorder="1" applyAlignment="1">
      <alignment horizontal="right" vertical="top" wrapText="1"/>
    </xf>
    <xf numFmtId="0" fontId="45" fillId="0" borderId="27" xfId="5" applyFont="1" applyFill="1" applyBorder="1" applyAlignment="1">
      <alignment horizontal="center" wrapText="1"/>
    </xf>
    <xf numFmtId="0" fontId="45" fillId="0" borderId="27" xfId="5" applyFont="1" applyFill="1" applyBorder="1" applyAlignment="1">
      <alignment horizontal="right" vertical="center" wrapText="1"/>
    </xf>
    <xf numFmtId="4" fontId="46" fillId="0" borderId="19" xfId="0" applyNumberFormat="1" applyFont="1" applyFill="1" applyBorder="1" applyAlignment="1" applyProtection="1">
      <alignment horizontal="right" vertical="top"/>
    </xf>
    <xf numFmtId="2" fontId="46" fillId="0" borderId="19" xfId="0" applyNumberFormat="1" applyFont="1" applyFill="1" applyBorder="1" applyAlignment="1" applyProtection="1">
      <alignment horizontal="right" vertical="top"/>
    </xf>
    <xf numFmtId="0" fontId="45" fillId="0" borderId="26" xfId="5" applyFont="1" applyFill="1" applyBorder="1" applyAlignment="1">
      <alignment horizontal="center"/>
    </xf>
    <xf numFmtId="0" fontId="45" fillId="0" borderId="26" xfId="5" applyFont="1" applyFill="1" applyBorder="1" applyAlignment="1">
      <alignment horizontal="right" vertical="center"/>
    </xf>
    <xf numFmtId="0" fontId="46" fillId="0" borderId="27" xfId="0" applyNumberFormat="1" applyFont="1" applyFill="1" applyBorder="1" applyAlignment="1" applyProtection="1">
      <alignment horizontal="center" vertical="top"/>
    </xf>
    <xf numFmtId="0" fontId="46" fillId="0" borderId="27" xfId="0" applyNumberFormat="1" applyFont="1" applyFill="1" applyBorder="1" applyAlignment="1" applyProtection="1">
      <alignment horizontal="right" vertical="top"/>
    </xf>
    <xf numFmtId="0" fontId="46" fillId="0" borderId="26" xfId="0" applyNumberFormat="1" applyFont="1" applyFill="1" applyBorder="1" applyAlignment="1" applyProtection="1">
      <alignment horizontal="center" vertical="top"/>
    </xf>
    <xf numFmtId="0" fontId="46" fillId="0" borderId="26" xfId="0" applyNumberFormat="1" applyFont="1" applyFill="1" applyBorder="1" applyAlignment="1" applyProtection="1">
      <alignment horizontal="right" vertical="top"/>
    </xf>
    <xf numFmtId="0" fontId="46" fillId="0" borderId="8" xfId="0" applyNumberFormat="1" applyFont="1" applyFill="1" applyBorder="1" applyAlignment="1" applyProtection="1">
      <alignment horizontal="center" vertical="top"/>
    </xf>
    <xf numFmtId="0" fontId="46" fillId="0" borderId="8" xfId="0" applyNumberFormat="1" applyFont="1" applyFill="1" applyBorder="1" applyAlignment="1" applyProtection="1">
      <alignment horizontal="right" vertical="top"/>
    </xf>
    <xf numFmtId="4" fontId="46" fillId="0" borderId="20" xfId="0" applyNumberFormat="1" applyFont="1" applyFill="1" applyBorder="1" applyAlignment="1" applyProtection="1">
      <alignment horizontal="right" vertical="top"/>
    </xf>
    <xf numFmtId="4" fontId="46" fillId="0" borderId="21" xfId="0" applyNumberFormat="1" applyFont="1" applyFill="1" applyBorder="1" applyAlignment="1" applyProtection="1">
      <alignment horizontal="right" vertical="top"/>
    </xf>
    <xf numFmtId="2" fontId="46" fillId="0" borderId="21" xfId="0" applyNumberFormat="1" applyFont="1" applyFill="1" applyBorder="1" applyAlignment="1" applyProtection="1">
      <alignment horizontal="right" vertical="top"/>
    </xf>
    <xf numFmtId="0" fontId="45" fillId="0" borderId="8" xfId="0" applyFont="1" applyFill="1" applyBorder="1"/>
    <xf numFmtId="0" fontId="46" fillId="0" borderId="28" xfId="0" applyNumberFormat="1" applyFont="1" applyFill="1" applyBorder="1" applyAlignment="1" applyProtection="1">
      <alignment horizontal="left" vertical="top" wrapText="1"/>
    </xf>
    <xf numFmtId="0" fontId="46" fillId="0" borderId="28" xfId="0" applyNumberFormat="1" applyFont="1" applyFill="1" applyBorder="1" applyAlignment="1" applyProtection="1">
      <alignment horizontal="center" vertical="top" wrapText="1"/>
    </xf>
    <xf numFmtId="0" fontId="46" fillId="0" borderId="28" xfId="0" applyNumberFormat="1" applyFont="1" applyFill="1" applyBorder="1" applyAlignment="1" applyProtection="1">
      <alignment horizontal="right" vertical="top" wrapText="1"/>
    </xf>
    <xf numFmtId="4" fontId="46" fillId="0" borderId="11" xfId="0" applyNumberFormat="1" applyFont="1" applyFill="1" applyBorder="1"/>
    <xf numFmtId="0" fontId="45" fillId="0" borderId="0" xfId="0" applyFont="1" applyFill="1" applyBorder="1"/>
    <xf numFmtId="14" fontId="45" fillId="0" borderId="0" xfId="0" applyNumberFormat="1" applyFont="1" applyFill="1" applyBorder="1"/>
    <xf numFmtId="2" fontId="45" fillId="0" borderId="0" xfId="0" applyNumberFormat="1" applyFont="1" applyFill="1" applyBorder="1"/>
    <xf numFmtId="2" fontId="44" fillId="0" borderId="0" xfId="0" applyNumberFormat="1" applyFont="1" applyFill="1" applyBorder="1"/>
    <xf numFmtId="2" fontId="47" fillId="0" borderId="0" xfId="0" applyNumberFormat="1" applyFont="1" applyFill="1" applyBorder="1"/>
    <xf numFmtId="2" fontId="45" fillId="0" borderId="0" xfId="0" applyNumberFormat="1" applyFont="1" applyFill="1" applyAlignment="1">
      <alignment horizontal="right"/>
    </xf>
    <xf numFmtId="0" fontId="46" fillId="0" borderId="0" xfId="0" applyFont="1" applyFill="1" applyAlignment="1">
      <alignment horizontal="left"/>
    </xf>
    <xf numFmtId="0" fontId="46" fillId="0" borderId="0" xfId="0" applyFont="1" applyFill="1" applyAlignment="1">
      <alignment horizontal="right"/>
    </xf>
    <xf numFmtId="4" fontId="46" fillId="0" borderId="0" xfId="0" applyNumberFormat="1" applyFont="1" applyFill="1"/>
    <xf numFmtId="0" fontId="48" fillId="0" borderId="0" xfId="0" applyFont="1" applyFill="1" applyAlignment="1">
      <alignment horizontal="left"/>
    </xf>
    <xf numFmtId="0" fontId="48" fillId="0" borderId="0" xfId="0" applyFont="1" applyFill="1"/>
    <xf numFmtId="0" fontId="48" fillId="0" borderId="0" xfId="0" applyFont="1" applyFill="1" applyAlignment="1">
      <alignment horizontal="right"/>
    </xf>
    <xf numFmtId="4" fontId="48" fillId="0" borderId="0" xfId="0" applyNumberFormat="1" applyFont="1" applyFill="1"/>
    <xf numFmtId="0" fontId="21" fillId="0" borderId="8" xfId="0" applyFont="1" applyFill="1" applyBorder="1" applyAlignment="1">
      <alignment vertical="top" wrapText="1"/>
    </xf>
    <xf numFmtId="1" fontId="22" fillId="0" borderId="8" xfId="0" applyNumberFormat="1" applyFont="1" applyFill="1" applyBorder="1" applyAlignment="1">
      <alignment vertical="top" wrapText="1"/>
    </xf>
    <xf numFmtId="1" fontId="21" fillId="0" borderId="8" xfId="0" applyNumberFormat="1" applyFont="1" applyFill="1" applyBorder="1" applyAlignment="1">
      <alignment vertical="top" wrapText="1"/>
    </xf>
    <xf numFmtId="1" fontId="21" fillId="0" borderId="8" xfId="0" applyNumberFormat="1" applyFont="1" applyFill="1" applyBorder="1" applyAlignment="1">
      <alignment horizontal="right" wrapText="1"/>
    </xf>
    <xf numFmtId="2" fontId="21" fillId="0" borderId="8" xfId="0" applyNumberFormat="1" applyFont="1" applyFill="1" applyBorder="1"/>
    <xf numFmtId="1" fontId="21" fillId="0" borderId="8" xfId="0" applyNumberFormat="1" applyFont="1" applyFill="1" applyBorder="1"/>
    <xf numFmtId="41" fontId="21" fillId="0" borderId="0" xfId="0" applyNumberFormat="1" applyFont="1" applyFill="1"/>
    <xf numFmtId="41" fontId="50" fillId="0" borderId="8" xfId="0" applyNumberFormat="1" applyFont="1" applyFill="1" applyBorder="1" applyAlignment="1">
      <alignment horizontal="right" vertical="top" wrapText="1"/>
    </xf>
    <xf numFmtId="3" fontId="13" fillId="0" borderId="8" xfId="0" applyNumberFormat="1" applyFont="1" applyBorder="1" applyAlignment="1">
      <alignment horizontal="right" wrapText="1"/>
    </xf>
    <xf numFmtId="43" fontId="0" fillId="0" borderId="0" xfId="0" applyNumberFormat="1" applyFill="1"/>
    <xf numFmtId="184" fontId="0" fillId="0" borderId="0" xfId="0" applyNumberFormat="1" applyFill="1"/>
    <xf numFmtId="181" fontId="27" fillId="0" borderId="11" xfId="1" applyNumberFormat="1" applyFont="1" applyFill="1" applyBorder="1" applyAlignment="1">
      <alignment horizontal="right" vertical="top" wrapText="1"/>
    </xf>
    <xf numFmtId="0" fontId="46" fillId="0" borderId="27" xfId="0" applyNumberFormat="1" applyFont="1" applyFill="1" applyBorder="1" applyAlignment="1" applyProtection="1">
      <alignment horizontal="left" vertical="top"/>
    </xf>
    <xf numFmtId="0" fontId="0" fillId="0" borderId="8" xfId="0" applyBorder="1"/>
    <xf numFmtId="39" fontId="13" fillId="0" borderId="9" xfId="0" applyNumberFormat="1" applyFont="1" applyBorder="1" applyAlignment="1">
      <alignment horizontal="right" wrapText="1"/>
    </xf>
    <xf numFmtId="166" fontId="0" fillId="0" borderId="0" xfId="0" applyNumberFormat="1" applyFill="1"/>
    <xf numFmtId="185" fontId="0" fillId="0" borderId="0" xfId="0" applyNumberFormat="1" applyFill="1"/>
    <xf numFmtId="0" fontId="0" fillId="0" borderId="0" xfId="0" applyNumberFormat="1" applyFill="1"/>
    <xf numFmtId="0" fontId="13" fillId="0" borderId="0" xfId="0" applyFont="1" applyBorder="1" applyAlignment="1"/>
    <xf numFmtId="0" fontId="13" fillId="0" borderId="0" xfId="0" applyFont="1" applyAlignment="1">
      <alignment horizontal="right"/>
    </xf>
    <xf numFmtId="0" fontId="52" fillId="0" borderId="0" xfId="0" applyFont="1" applyFill="1" applyAlignment="1">
      <alignment horizontal="right"/>
    </xf>
    <xf numFmtId="164" fontId="21" fillId="0" borderId="8" xfId="0" applyNumberFormat="1" applyFont="1" applyFill="1" applyBorder="1" applyAlignment="1">
      <alignment horizontal="right" vertical="top" wrapText="1"/>
    </xf>
    <xf numFmtId="164" fontId="23" fillId="0" borderId="0" xfId="0" applyNumberFormat="1" applyFont="1" applyFill="1"/>
    <xf numFmtId="0" fontId="22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 wrapText="1"/>
    </xf>
    <xf numFmtId="0" fontId="21" fillId="0" borderId="0" xfId="0" applyFont="1" applyFill="1" applyAlignment="1">
      <alignment horizontal="center" wrapText="1"/>
    </xf>
    <xf numFmtId="0" fontId="22" fillId="0" borderId="8" xfId="0" applyFont="1" applyFill="1" applyBorder="1" applyAlignment="1">
      <alignment vertical="top" wrapText="1"/>
    </xf>
    <xf numFmtId="164" fontId="42" fillId="0" borderId="8" xfId="0" applyNumberFormat="1" applyFont="1" applyFill="1" applyBorder="1" applyAlignment="1">
      <alignment horizontal="right" vertical="top" wrapText="1"/>
    </xf>
    <xf numFmtId="0" fontId="21" fillId="0" borderId="0" xfId="0" applyFont="1" applyFill="1" applyAlignment="1">
      <alignment wrapText="1"/>
    </xf>
    <xf numFmtId="0" fontId="49" fillId="0" borderId="0" xfId="0" applyFont="1" applyFill="1" applyAlignment="1">
      <alignment horizontal="center" wrapText="1"/>
    </xf>
    <xf numFmtId="14" fontId="21" fillId="0" borderId="0" xfId="0" applyNumberFormat="1" applyFont="1" applyFill="1" applyAlignment="1">
      <alignment horizontal="center" wrapText="1"/>
    </xf>
    <xf numFmtId="0" fontId="46" fillId="0" borderId="26" xfId="0" applyFont="1" applyFill="1" applyBorder="1" applyAlignment="1">
      <alignment horizontal="left" vertical="top" wrapText="1"/>
    </xf>
    <xf numFmtId="0" fontId="45" fillId="0" borderId="27" xfId="5" applyFont="1" applyFill="1" applyBorder="1" applyAlignment="1">
      <alignment horizontal="left" wrapText="1"/>
    </xf>
    <xf numFmtId="0" fontId="45" fillId="0" borderId="26" xfId="5" applyFont="1" applyFill="1" applyBorder="1" applyAlignment="1">
      <alignment horizontal="left"/>
    </xf>
    <xf numFmtId="0" fontId="46" fillId="0" borderId="26" xfId="0" applyNumberFormat="1" applyFont="1" applyFill="1" applyBorder="1" applyAlignment="1" applyProtection="1">
      <alignment horizontal="left" vertical="top"/>
    </xf>
    <xf numFmtId="0" fontId="53" fillId="0" borderId="0" xfId="0" applyFont="1"/>
    <xf numFmtId="0" fontId="54" fillId="0" borderId="18" xfId="0" applyFont="1" applyBorder="1" applyAlignment="1">
      <alignment horizontal="center" wrapText="1"/>
    </xf>
    <xf numFmtId="0" fontId="54" fillId="0" borderId="19" xfId="0" applyFont="1" applyBorder="1" applyAlignment="1">
      <alignment horizontal="center" wrapText="1"/>
    </xf>
    <xf numFmtId="0" fontId="54" fillId="0" borderId="8" xfId="0" applyFont="1" applyBorder="1" applyAlignment="1">
      <alignment horizontal="center" vertical="justify" wrapText="1"/>
    </xf>
    <xf numFmtId="0" fontId="54" fillId="0" borderId="8" xfId="0" applyFont="1" applyBorder="1" applyAlignment="1">
      <alignment horizontal="center" wrapText="1"/>
    </xf>
    <xf numFmtId="0" fontId="54" fillId="0" borderId="8" xfId="0" applyFont="1" applyBorder="1" applyAlignment="1">
      <alignment horizontal="center" vertical="top" wrapText="1"/>
    </xf>
    <xf numFmtId="0" fontId="54" fillId="0" borderId="9" xfId="0" applyFont="1" applyBorder="1" applyAlignment="1">
      <alignment horizontal="center" vertical="justify" wrapText="1"/>
    </xf>
    <xf numFmtId="0" fontId="55" fillId="0" borderId="7" xfId="0" applyFont="1" applyBorder="1" applyAlignment="1">
      <alignment horizontal="center" vertical="justify" wrapText="1"/>
    </xf>
    <xf numFmtId="0" fontId="55" fillId="0" borderId="18" xfId="0" applyFont="1" applyBorder="1" applyAlignment="1">
      <alignment horizontal="center" wrapText="1"/>
    </xf>
    <xf numFmtId="0" fontId="55" fillId="0" borderId="8" xfId="0" applyFont="1" applyFill="1" applyBorder="1" applyAlignment="1">
      <alignment wrapText="1"/>
    </xf>
    <xf numFmtId="0" fontId="55" fillId="0" borderId="8" xfId="0" applyFont="1" applyFill="1" applyBorder="1" applyAlignment="1">
      <alignment horizontal="center" vertical="center" wrapText="1"/>
    </xf>
    <xf numFmtId="4" fontId="55" fillId="0" borderId="8" xfId="0" applyNumberFormat="1" applyFont="1" applyFill="1" applyBorder="1" applyAlignment="1">
      <alignment vertical="center"/>
    </xf>
    <xf numFmtId="4" fontId="55" fillId="0" borderId="8" xfId="0" applyNumberFormat="1" applyFont="1" applyFill="1" applyBorder="1" applyAlignment="1">
      <alignment horizontal="center" vertical="center" wrapText="1"/>
    </xf>
    <xf numFmtId="171" fontId="55" fillId="0" borderId="8" xfId="0" applyNumberFormat="1" applyFont="1" applyFill="1" applyBorder="1" applyAlignment="1">
      <alignment horizontal="center" vertical="center" wrapText="1"/>
    </xf>
    <xf numFmtId="0" fontId="55" fillId="0" borderId="10" xfId="0" applyFont="1" applyBorder="1" applyAlignment="1">
      <alignment horizontal="center"/>
    </xf>
    <xf numFmtId="4" fontId="55" fillId="0" borderId="11" xfId="0" applyNumberFormat="1" applyFont="1" applyFill="1" applyBorder="1" applyAlignment="1">
      <alignment horizontal="center" vertical="top" wrapText="1"/>
    </xf>
    <xf numFmtId="173" fontId="55" fillId="0" borderId="17" xfId="9" applyNumberFormat="1" applyFont="1" applyFill="1" applyBorder="1" applyAlignment="1">
      <alignment horizontal="center" vertical="top" wrapText="1"/>
    </xf>
    <xf numFmtId="4" fontId="32" fillId="0" borderId="0" xfId="0" applyNumberFormat="1" applyFont="1" applyFill="1"/>
    <xf numFmtId="172" fontId="32" fillId="0" borderId="0" xfId="0" applyNumberFormat="1" applyFont="1" applyFill="1"/>
    <xf numFmtId="0" fontId="34" fillId="0" borderId="0" xfId="0" applyFont="1"/>
    <xf numFmtId="0" fontId="34" fillId="0" borderId="0" xfId="0" applyFont="1" applyBorder="1"/>
    <xf numFmtId="0" fontId="30" fillId="0" borderId="0" xfId="0" applyFont="1"/>
    <xf numFmtId="0" fontId="34" fillId="0" borderId="0" xfId="0" applyFont="1" applyBorder="1" applyAlignment="1">
      <alignment horizontal="center"/>
    </xf>
    <xf numFmtId="4" fontId="27" fillId="0" borderId="8" xfId="1" applyNumberFormat="1" applyFont="1" applyBorder="1" applyAlignment="1">
      <alignment horizontal="right" wrapText="1"/>
    </xf>
    <xf numFmtId="4" fontId="27" fillId="0" borderId="11" xfId="1" applyNumberFormat="1" applyFont="1" applyBorder="1" applyAlignment="1">
      <alignment horizontal="right" wrapText="1"/>
    </xf>
    <xf numFmtId="165" fontId="56" fillId="0" borderId="0" xfId="3" applyNumberFormat="1" applyFont="1"/>
    <xf numFmtId="171" fontId="55" fillId="0" borderId="9" xfId="0" applyNumberFormat="1" applyFont="1" applyFill="1" applyBorder="1" applyAlignment="1">
      <alignment horizontal="center" vertical="center" wrapText="1"/>
    </xf>
    <xf numFmtId="0" fontId="46" fillId="0" borderId="20" xfId="0" applyNumberFormat="1" applyFont="1" applyFill="1" applyBorder="1" applyAlignment="1" applyProtection="1">
      <alignment horizontal="left" vertical="top"/>
    </xf>
    <xf numFmtId="0" fontId="46" fillId="0" borderId="20" xfId="0" applyNumberFormat="1" applyFont="1" applyFill="1" applyBorder="1" applyAlignment="1" applyProtection="1">
      <alignment horizontal="center" vertical="top"/>
    </xf>
    <xf numFmtId="0" fontId="46" fillId="0" borderId="20" xfId="0" applyNumberFormat="1" applyFont="1" applyFill="1" applyBorder="1" applyAlignment="1" applyProtection="1">
      <alignment horizontal="right" vertical="top"/>
    </xf>
    <xf numFmtId="14" fontId="46" fillId="0" borderId="20" xfId="0" applyNumberFormat="1" applyFont="1" applyFill="1" applyBorder="1" applyAlignment="1">
      <alignment horizontal="center"/>
    </xf>
    <xf numFmtId="0" fontId="55" fillId="0" borderId="7" xfId="0" applyFont="1" applyBorder="1" applyAlignment="1">
      <alignment horizontal="center" wrapText="1"/>
    </xf>
    <xf numFmtId="0" fontId="13" fillId="0" borderId="8" xfId="0" applyFont="1" applyBorder="1" applyAlignment="1">
      <alignment wrapText="1"/>
    </xf>
    <xf numFmtId="0" fontId="19" fillId="0" borderId="13" xfId="3" applyFont="1" applyBorder="1" applyAlignment="1">
      <alignment horizontal="center" vertical="center" wrapText="1"/>
    </xf>
    <xf numFmtId="0" fontId="19" fillId="0" borderId="8" xfId="3" applyFont="1" applyBorder="1" applyAlignment="1">
      <alignment horizontal="center" vertical="center" wrapText="1"/>
    </xf>
    <xf numFmtId="0" fontId="19" fillId="0" borderId="12" xfId="3" applyFont="1" applyBorder="1" applyAlignment="1">
      <alignment horizontal="center" vertical="center" wrapText="1"/>
    </xf>
    <xf numFmtId="0" fontId="19" fillId="0" borderId="11" xfId="3" applyFont="1" applyBorder="1" applyAlignment="1">
      <alignment horizontal="center" vertical="center" wrapText="1"/>
    </xf>
    <xf numFmtId="0" fontId="19" fillId="0" borderId="7" xfId="3" applyFont="1" applyBorder="1" applyAlignment="1">
      <alignment horizontal="center"/>
    </xf>
    <xf numFmtId="0" fontId="19" fillId="0" borderId="10" xfId="3" applyFont="1" applyBorder="1" applyAlignment="1">
      <alignment horizontal="center"/>
    </xf>
    <xf numFmtId="0" fontId="57" fillId="0" borderId="0" xfId="0" applyFont="1" applyFill="1"/>
    <xf numFmtId="0" fontId="58" fillId="0" borderId="0" xfId="0" applyFont="1" applyFill="1"/>
    <xf numFmtId="0" fontId="59" fillId="0" borderId="0" xfId="0" applyFont="1" applyFill="1"/>
    <xf numFmtId="0" fontId="60" fillId="0" borderId="0" xfId="0" applyFont="1" applyFill="1"/>
    <xf numFmtId="0" fontId="61" fillId="0" borderId="0" xfId="0" applyFont="1" applyFill="1" applyAlignment="1">
      <alignment horizontal="center"/>
    </xf>
    <xf numFmtId="0" fontId="61" fillId="0" borderId="0" xfId="0" applyFont="1" applyFill="1"/>
    <xf numFmtId="4" fontId="61" fillId="0" borderId="0" xfId="0" applyNumberFormat="1" applyFont="1" applyFill="1"/>
    <xf numFmtId="0" fontId="62" fillId="0" borderId="12" xfId="0" applyFont="1" applyFill="1" applyBorder="1" applyAlignment="1">
      <alignment horizontal="center" vertical="center" wrapText="1"/>
    </xf>
    <xf numFmtId="0" fontId="62" fillId="0" borderId="13" xfId="0" applyFont="1" applyFill="1" applyBorder="1" applyAlignment="1">
      <alignment horizontal="center" vertical="center" wrapText="1"/>
    </xf>
    <xf numFmtId="4" fontId="62" fillId="0" borderId="13" xfId="0" applyNumberFormat="1" applyFont="1" applyFill="1" applyBorder="1" applyAlignment="1">
      <alignment horizontal="center" vertical="center" wrapText="1"/>
    </xf>
    <xf numFmtId="0" fontId="62" fillId="0" borderId="15" xfId="0" applyFont="1" applyFill="1" applyBorder="1" applyAlignment="1">
      <alignment horizontal="center" vertical="center" wrapText="1"/>
    </xf>
    <xf numFmtId="0" fontId="62" fillId="0" borderId="7" xfId="0" applyFont="1" applyFill="1" applyBorder="1" applyAlignment="1">
      <alignment horizontal="center"/>
    </xf>
    <xf numFmtId="0" fontId="62" fillId="0" borderId="8" xfId="0" applyFont="1" applyFill="1" applyBorder="1" applyAlignment="1">
      <alignment horizontal="center"/>
    </xf>
    <xf numFmtId="3" fontId="62" fillId="0" borderId="8" xfId="0" applyNumberFormat="1" applyFont="1" applyFill="1" applyBorder="1" applyAlignment="1">
      <alignment horizontal="center"/>
    </xf>
    <xf numFmtId="0" fontId="62" fillId="0" borderId="9" xfId="0" applyFont="1" applyFill="1" applyBorder="1" applyAlignment="1">
      <alignment horizontal="center"/>
    </xf>
    <xf numFmtId="0" fontId="61" fillId="0" borderId="7" xfId="0" applyFont="1" applyFill="1" applyBorder="1" applyAlignment="1">
      <alignment horizontal="center"/>
    </xf>
    <xf numFmtId="0" fontId="62" fillId="0" borderId="8" xfId="0" applyFont="1" applyFill="1" applyBorder="1"/>
    <xf numFmtId="0" fontId="61" fillId="0" borderId="8" xfId="0" applyFont="1" applyFill="1" applyBorder="1"/>
    <xf numFmtId="4" fontId="61" fillId="0" borderId="8" xfId="0" applyNumberFormat="1" applyFont="1" applyFill="1" applyBorder="1"/>
    <xf numFmtId="0" fontId="61" fillId="0" borderId="9" xfId="0" applyFont="1" applyFill="1" applyBorder="1"/>
    <xf numFmtId="0" fontId="61" fillId="0" borderId="8" xfId="3" applyFont="1" applyFill="1" applyBorder="1" applyAlignment="1">
      <alignment horizontal="left"/>
    </xf>
    <xf numFmtId="4" fontId="58" fillId="0" borderId="0" xfId="0" applyNumberFormat="1" applyFont="1" applyFill="1"/>
    <xf numFmtId="0" fontId="62" fillId="0" borderId="10" xfId="0" applyFont="1" applyFill="1" applyBorder="1" applyAlignment="1">
      <alignment horizontal="center"/>
    </xf>
    <xf numFmtId="4" fontId="62" fillId="0" borderId="11" xfId="0" applyNumberFormat="1" applyFont="1" applyFill="1" applyBorder="1"/>
    <xf numFmtId="0" fontId="62" fillId="0" borderId="11" xfId="0" applyFont="1" applyFill="1" applyBorder="1"/>
    <xf numFmtId="171" fontId="62" fillId="0" borderId="11" xfId="0" applyNumberFormat="1" applyFont="1" applyFill="1" applyBorder="1"/>
    <xf numFmtId="173" fontId="62" fillId="0" borderId="17" xfId="0" applyNumberFormat="1" applyFont="1" applyFill="1" applyBorder="1" applyAlignment="1">
      <alignment horizontal="right"/>
    </xf>
    <xf numFmtId="0" fontId="57" fillId="0" borderId="0" xfId="0" applyFont="1" applyFill="1" applyAlignment="1">
      <alignment horizontal="center"/>
    </xf>
    <xf numFmtId="0" fontId="62" fillId="0" borderId="0" xfId="3" applyFont="1" applyFill="1" applyBorder="1" applyAlignment="1">
      <alignment horizontal="left"/>
    </xf>
    <xf numFmtId="4" fontId="63" fillId="0" borderId="0" xfId="0" applyNumberFormat="1" applyFont="1" applyFill="1"/>
    <xf numFmtId="0" fontId="58" fillId="0" borderId="8" xfId="0" applyFont="1" applyFill="1" applyBorder="1"/>
    <xf numFmtId="0" fontId="57" fillId="0" borderId="8" xfId="0" applyFont="1" applyFill="1" applyBorder="1" applyAlignment="1">
      <alignment horizontal="center"/>
    </xf>
    <xf numFmtId="4" fontId="57" fillId="0" borderId="8" xfId="0" applyNumberFormat="1" applyFont="1" applyFill="1" applyBorder="1"/>
    <xf numFmtId="173" fontId="57" fillId="0" borderId="8" xfId="0" applyNumberFormat="1" applyFont="1" applyFill="1" applyBorder="1"/>
    <xf numFmtId="0" fontId="57" fillId="0" borderId="0" xfId="0" applyFont="1" applyFill="1" applyBorder="1" applyAlignment="1">
      <alignment horizontal="center"/>
    </xf>
    <xf numFmtId="0" fontId="61" fillId="0" borderId="0" xfId="3" applyFont="1" applyFill="1" applyBorder="1" applyAlignment="1">
      <alignment horizontal="left"/>
    </xf>
    <xf numFmtId="0" fontId="58" fillId="0" borderId="0" xfId="0" applyFont="1" applyFill="1" applyBorder="1"/>
    <xf numFmtId="4" fontId="57" fillId="0" borderId="0" xfId="0" applyNumberFormat="1" applyFont="1" applyFill="1" applyBorder="1"/>
    <xf numFmtId="10" fontId="58" fillId="0" borderId="0" xfId="0" applyNumberFormat="1" applyFont="1" applyFill="1" applyBorder="1"/>
    <xf numFmtId="2" fontId="58" fillId="0" borderId="0" xfId="0" applyNumberFormat="1" applyFont="1" applyFill="1"/>
    <xf numFmtId="0" fontId="46" fillId="0" borderId="26" xfId="0" applyFont="1" applyFill="1" applyBorder="1" applyAlignment="1">
      <alignment horizontal="right" vertical="top"/>
    </xf>
    <xf numFmtId="4" fontId="45" fillId="0" borderId="8" xfId="6" applyNumberFormat="1" applyFont="1" applyFill="1" applyBorder="1"/>
    <xf numFmtId="0" fontId="64" fillId="0" borderId="7" xfId="0" applyFont="1" applyFill="1" applyBorder="1" applyAlignment="1">
      <alignment horizontal="center"/>
    </xf>
    <xf numFmtId="0" fontId="65" fillId="0" borderId="8" xfId="0" applyFont="1" applyFill="1" applyBorder="1" applyAlignment="1">
      <alignment horizontal="justify" vertical="top" wrapText="1"/>
    </xf>
    <xf numFmtId="0" fontId="64" fillId="0" borderId="8" xfId="0" applyFont="1" applyFill="1" applyBorder="1"/>
    <xf numFmtId="0" fontId="65" fillId="0" borderId="8" xfId="0" applyFont="1" applyFill="1" applyBorder="1" applyAlignment="1">
      <alignment horizontal="center" vertical="top" wrapText="1"/>
    </xf>
    <xf numFmtId="168" fontId="64" fillId="0" borderId="8" xfId="6" applyNumberFormat="1" applyFont="1" applyFill="1" applyBorder="1"/>
    <xf numFmtId="169" fontId="64" fillId="0" borderId="8" xfId="7" applyNumberFormat="1" applyFont="1" applyFill="1" applyBorder="1"/>
    <xf numFmtId="4" fontId="64" fillId="0" borderId="8" xfId="0" applyNumberFormat="1" applyFont="1" applyFill="1" applyBorder="1"/>
    <xf numFmtId="169" fontId="64" fillId="0" borderId="8" xfId="4" applyNumberFormat="1" applyFont="1" applyFill="1" applyBorder="1"/>
    <xf numFmtId="4" fontId="65" fillId="0" borderId="8" xfId="0" applyNumberFormat="1" applyFont="1" applyFill="1" applyBorder="1"/>
    <xf numFmtId="170" fontId="64" fillId="0" borderId="8" xfId="8" applyNumberFormat="1" applyFont="1" applyFill="1" applyBorder="1"/>
    <xf numFmtId="171" fontId="65" fillId="0" borderId="9" xfId="0" applyNumberFormat="1" applyFont="1" applyFill="1" applyBorder="1" applyAlignment="1">
      <alignment horizontal="right" wrapText="1"/>
    </xf>
    <xf numFmtId="0" fontId="65" fillId="0" borderId="0" xfId="0" applyFont="1" applyFill="1"/>
    <xf numFmtId="3" fontId="65" fillId="0" borderId="8" xfId="0" applyNumberFormat="1" applyFont="1" applyFill="1" applyBorder="1" applyAlignment="1">
      <alignment horizontal="right" vertical="top" wrapText="1"/>
    </xf>
    <xf numFmtId="0" fontId="65" fillId="0" borderId="16" xfId="0" applyFont="1" applyFill="1" applyBorder="1" applyAlignment="1">
      <alignment horizontal="justify" vertical="top" wrapText="1"/>
    </xf>
    <xf numFmtId="0" fontId="64" fillId="0" borderId="8" xfId="3" applyFont="1" applyFill="1" applyBorder="1" applyAlignment="1">
      <alignment horizontal="left"/>
    </xf>
    <xf numFmtId="0" fontId="64" fillId="0" borderId="8" xfId="5" applyFont="1" applyFill="1" applyBorder="1" applyAlignment="1">
      <alignment horizontal="left"/>
    </xf>
    <xf numFmtId="171" fontId="64" fillId="0" borderId="8" xfId="8" applyNumberFormat="1" applyFont="1" applyFill="1" applyBorder="1"/>
    <xf numFmtId="4" fontId="65" fillId="0" borderId="0" xfId="0" applyNumberFormat="1" applyFont="1" applyFill="1"/>
    <xf numFmtId="0" fontId="65" fillId="0" borderId="8" xfId="0" applyFont="1" applyFill="1" applyBorder="1"/>
    <xf numFmtId="4" fontId="66" fillId="0" borderId="8" xfId="0" applyNumberFormat="1" applyFont="1" applyFill="1" applyBorder="1"/>
    <xf numFmtId="43" fontId="65" fillId="0" borderId="8" xfId="0" applyNumberFormat="1" applyFont="1" applyFill="1" applyBorder="1"/>
    <xf numFmtId="171" fontId="65" fillId="0" borderId="8" xfId="0" applyNumberFormat="1" applyFont="1" applyFill="1" applyBorder="1"/>
    <xf numFmtId="174" fontId="65" fillId="0" borderId="8" xfId="0" applyNumberFormat="1" applyFont="1" applyFill="1" applyBorder="1"/>
    <xf numFmtId="170" fontId="65" fillId="0" borderId="8" xfId="0" applyNumberFormat="1" applyFont="1" applyFill="1" applyBorder="1"/>
    <xf numFmtId="2" fontId="65" fillId="0" borderId="8" xfId="0" applyNumberFormat="1" applyFont="1" applyFill="1" applyBorder="1"/>
    <xf numFmtId="173" fontId="65" fillId="0" borderId="8" xfId="0" applyNumberFormat="1" applyFont="1" applyFill="1" applyBorder="1" applyAlignment="1">
      <alignment horizontal="right"/>
    </xf>
    <xf numFmtId="0" fontId="65" fillId="0" borderId="0" xfId="0" applyFont="1" applyFill="1" applyBorder="1"/>
    <xf numFmtId="0" fontId="65" fillId="0" borderId="0" xfId="0" applyFont="1" applyFill="1" applyBorder="1" applyAlignment="1">
      <alignment horizontal="center"/>
    </xf>
    <xf numFmtId="0" fontId="67" fillId="0" borderId="0" xfId="3" applyFont="1" applyFill="1"/>
    <xf numFmtId="0" fontId="41" fillId="0" borderId="8" xfId="0" applyFont="1" applyFill="1" applyBorder="1" applyAlignment="1">
      <alignment horizontal="center" vertical="top" wrapText="1"/>
    </xf>
    <xf numFmtId="0" fontId="40" fillId="0" borderId="8" xfId="0" applyFont="1" applyFill="1" applyBorder="1" applyAlignment="1">
      <alignment horizontal="center" vertical="top" wrapText="1"/>
    </xf>
    <xf numFmtId="0" fontId="41" fillId="0" borderId="0" xfId="0" applyFont="1" applyFill="1" applyAlignment="1">
      <alignment horizontal="center" wrapText="1"/>
    </xf>
    <xf numFmtId="0" fontId="22" fillId="0" borderId="8" xfId="0" applyFont="1" applyFill="1" applyBorder="1" applyAlignment="1">
      <alignment horizontal="center" wrapText="1"/>
    </xf>
    <xf numFmtId="0" fontId="21" fillId="0" borderId="0" xfId="0" applyFont="1" applyFill="1" applyAlignment="1"/>
    <xf numFmtId="0" fontId="21" fillId="0" borderId="8" xfId="0" applyFont="1" applyFill="1" applyBorder="1" applyAlignment="1">
      <alignment horizontal="center" vertical="top" wrapText="1"/>
    </xf>
    <xf numFmtId="41" fontId="68" fillId="0" borderId="8" xfId="0" applyNumberFormat="1" applyFont="1" applyFill="1" applyBorder="1" applyAlignment="1">
      <alignment horizontal="right" vertical="top" wrapText="1"/>
    </xf>
    <xf numFmtId="41" fontId="69" fillId="0" borderId="8" xfId="0" applyNumberFormat="1" applyFont="1" applyFill="1" applyBorder="1" applyAlignment="1">
      <alignment horizontal="right" vertical="top" wrapText="1"/>
    </xf>
    <xf numFmtId="0" fontId="68" fillId="0" borderId="8" xfId="0" applyFont="1" applyFill="1" applyBorder="1" applyAlignment="1">
      <alignment vertical="top" wrapText="1"/>
    </xf>
    <xf numFmtId="0" fontId="68" fillId="0" borderId="16" xfId="0" applyFont="1" applyFill="1" applyBorder="1" applyAlignment="1">
      <alignment horizontal="center" wrapText="1"/>
    </xf>
    <xf numFmtId="0" fontId="38" fillId="0" borderId="0" xfId="0" applyFont="1" applyFill="1" applyAlignment="1"/>
    <xf numFmtId="0" fontId="38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0" fontId="23" fillId="0" borderId="8" xfId="0" applyFont="1" applyFill="1" applyBorder="1" applyAlignment="1">
      <alignment horizontal="center" vertical="top" wrapText="1"/>
    </xf>
    <xf numFmtId="0" fontId="38" fillId="0" borderId="8" xfId="0" applyFont="1" applyFill="1" applyBorder="1" applyAlignment="1">
      <alignment wrapText="1"/>
    </xf>
    <xf numFmtId="0" fontId="23" fillId="0" borderId="0" xfId="0" applyFont="1" applyFill="1" applyAlignment="1">
      <alignment horizontal="left" wrapText="1"/>
    </xf>
    <xf numFmtId="0" fontId="23" fillId="0" borderId="0" xfId="0" applyFont="1" applyFill="1" applyAlignment="1">
      <alignment horizontal="center" wrapText="1"/>
    </xf>
    <xf numFmtId="167" fontId="23" fillId="0" borderId="8" xfId="0" applyNumberFormat="1" applyFont="1" applyFill="1" applyBorder="1" applyAlignment="1">
      <alignment horizontal="right" vertical="top" wrapText="1"/>
    </xf>
    <xf numFmtId="0" fontId="23" fillId="0" borderId="0" xfId="0" applyFont="1" applyFill="1" applyAlignment="1">
      <alignment horizontal="left" indent="2"/>
    </xf>
    <xf numFmtId="0" fontId="38" fillId="0" borderId="8" xfId="0" applyFont="1" applyFill="1" applyBorder="1" applyAlignment="1">
      <alignment horizontal="center" vertical="top" wrapText="1"/>
    </xf>
    <xf numFmtId="0" fontId="38" fillId="0" borderId="8" xfId="0" applyFont="1" applyFill="1" applyBorder="1" applyAlignment="1">
      <alignment vertical="top" wrapText="1"/>
    </xf>
    <xf numFmtId="0" fontId="38" fillId="0" borderId="8" xfId="0" applyFont="1" applyFill="1" applyBorder="1" applyAlignment="1">
      <alignment horizontal="justify" vertical="top" wrapText="1"/>
    </xf>
    <xf numFmtId="0" fontId="23" fillId="0" borderId="8" xfId="0" applyFont="1" applyFill="1" applyBorder="1" applyAlignment="1">
      <alignment vertical="top" wrapText="1"/>
    </xf>
    <xf numFmtId="0" fontId="23" fillId="0" borderId="8" xfId="0" applyFont="1" applyFill="1" applyBorder="1" applyAlignment="1">
      <alignment horizontal="justify" vertical="top" wrapText="1"/>
    </xf>
    <xf numFmtId="167" fontId="38" fillId="0" borderId="8" xfId="0" applyNumberFormat="1" applyFont="1" applyFill="1" applyBorder="1" applyAlignment="1">
      <alignment horizontal="justify" vertical="top" wrapText="1"/>
    </xf>
    <xf numFmtId="167" fontId="23" fillId="0" borderId="8" xfId="0" applyNumberFormat="1" applyFont="1" applyFill="1" applyBorder="1" applyAlignment="1">
      <alignment horizontal="justify" vertical="top" wrapText="1"/>
    </xf>
    <xf numFmtId="167" fontId="38" fillId="0" borderId="8" xfId="0" applyNumberFormat="1" applyFont="1" applyFill="1" applyBorder="1" applyAlignment="1">
      <alignment horizontal="right" vertical="top" wrapText="1"/>
    </xf>
    <xf numFmtId="167" fontId="38" fillId="0" borderId="8" xfId="0" applyNumberFormat="1" applyFont="1" applyFill="1" applyBorder="1" applyAlignment="1">
      <alignment horizontal="center" vertical="top" wrapText="1"/>
    </xf>
    <xf numFmtId="167" fontId="23" fillId="0" borderId="0" xfId="0" applyNumberFormat="1" applyFont="1" applyFill="1"/>
    <xf numFmtId="0" fontId="23" fillId="0" borderId="0" xfId="0" applyFont="1" applyFill="1" applyAlignment="1">
      <alignment wrapText="1"/>
    </xf>
    <xf numFmtId="0" fontId="23" fillId="0" borderId="0" xfId="0" applyFont="1" applyFill="1" applyAlignment="1"/>
    <xf numFmtId="43" fontId="14" fillId="0" borderId="8" xfId="0" applyNumberFormat="1" applyFont="1" applyBorder="1" applyAlignment="1">
      <alignment horizontal="right" wrapText="1"/>
    </xf>
    <xf numFmtId="0" fontId="14" fillId="0" borderId="8" xfId="0" applyFont="1" applyBorder="1" applyAlignment="1">
      <alignment horizontal="center" wrapText="1"/>
    </xf>
    <xf numFmtId="39" fontId="14" fillId="0" borderId="8" xfId="0" applyNumberFormat="1" applyFont="1" applyBorder="1" applyAlignment="1">
      <alignment horizontal="right" wrapText="1"/>
    </xf>
    <xf numFmtId="0" fontId="71" fillId="0" borderId="0" xfId="0" applyFont="1" applyFill="1"/>
    <xf numFmtId="164" fontId="27" fillId="0" borderId="9" xfId="0" applyNumberFormat="1" applyFont="1" applyFill="1" applyBorder="1" applyAlignment="1">
      <alignment horizontal="right" vertical="center" wrapText="1"/>
    </xf>
    <xf numFmtId="164" fontId="27" fillId="0" borderId="9" xfId="1" applyNumberFormat="1" applyFont="1" applyFill="1" applyBorder="1" applyAlignment="1">
      <alignment horizontal="right" vertical="top" wrapText="1"/>
    </xf>
    <xf numFmtId="180" fontId="27" fillId="0" borderId="9" xfId="0" applyNumberFormat="1" applyFont="1" applyFill="1" applyBorder="1" applyAlignment="1">
      <alignment horizontal="right" vertical="top" wrapText="1"/>
    </xf>
    <xf numFmtId="3" fontId="71" fillId="0" borderId="0" xfId="0" applyNumberFormat="1" applyFont="1" applyFill="1"/>
    <xf numFmtId="0" fontId="71" fillId="0" borderId="0" xfId="0" applyFont="1" applyFill="1" applyBorder="1"/>
    <xf numFmtId="3" fontId="71" fillId="0" borderId="0" xfId="0" applyNumberFormat="1" applyFont="1" applyFill="1" applyBorder="1"/>
    <xf numFmtId="3" fontId="71" fillId="0" borderId="0" xfId="0" applyNumberFormat="1" applyFont="1" applyFill="1" applyBorder="1" applyAlignment="1">
      <alignment horizontal="left"/>
    </xf>
    <xf numFmtId="0" fontId="72" fillId="0" borderId="0" xfId="0" applyFont="1" applyFill="1" applyBorder="1"/>
    <xf numFmtId="3" fontId="72" fillId="0" borderId="0" xfId="0" applyNumberFormat="1" applyFont="1" applyFill="1" applyBorder="1"/>
    <xf numFmtId="179" fontId="72" fillId="0" borderId="0" xfId="0" applyNumberFormat="1" applyFont="1" applyFill="1" applyBorder="1"/>
    <xf numFmtId="0" fontId="55" fillId="0" borderId="50" xfId="0" applyFont="1" applyBorder="1" applyAlignment="1">
      <alignment horizontal="center" wrapText="1"/>
    </xf>
    <xf numFmtId="2" fontId="46" fillId="0" borderId="20" xfId="0" applyNumberFormat="1" applyFont="1" applyFill="1" applyBorder="1" applyAlignment="1" applyProtection="1">
      <alignment horizontal="right" vertical="top"/>
    </xf>
    <xf numFmtId="0" fontId="19" fillId="0" borderId="0" xfId="0" applyFont="1" applyFill="1" applyAlignment="1">
      <alignment horizontal="left" wrapText="1"/>
    </xf>
    <xf numFmtId="0" fontId="73" fillId="0" borderId="0" xfId="0" applyFont="1" applyFill="1" applyAlignment="1">
      <alignment horizontal="center" wrapText="1"/>
    </xf>
    <xf numFmtId="41" fontId="74" fillId="0" borderId="8" xfId="0" applyNumberFormat="1" applyFont="1" applyFill="1" applyBorder="1" applyAlignment="1">
      <alignment horizontal="right" vertical="top" wrapText="1"/>
    </xf>
    <xf numFmtId="41" fontId="74" fillId="0" borderId="8" xfId="0" applyNumberFormat="1" applyFont="1" applyFill="1" applyBorder="1" applyAlignment="1">
      <alignment horizontal="right"/>
    </xf>
    <xf numFmtId="0" fontId="19" fillId="0" borderId="0" xfId="0" applyFont="1" applyFill="1" applyAlignment="1">
      <alignment horizontal="center" wrapText="1"/>
    </xf>
    <xf numFmtId="0" fontId="33" fillId="0" borderId="0" xfId="0" applyFont="1" applyFill="1"/>
    <xf numFmtId="164" fontId="19" fillId="0" borderId="0" xfId="0" applyNumberFormat="1" applyFont="1" applyFill="1"/>
    <xf numFmtId="0" fontId="33" fillId="0" borderId="0" xfId="0" applyFont="1" applyFill="1" applyAlignment="1"/>
    <xf numFmtId="0" fontId="33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33" fillId="0" borderId="8" xfId="0" applyFont="1" applyFill="1" applyBorder="1" applyAlignment="1">
      <alignment horizontal="center" wrapText="1"/>
    </xf>
    <xf numFmtId="164" fontId="33" fillId="0" borderId="8" xfId="0" applyNumberFormat="1" applyFont="1" applyFill="1" applyBorder="1" applyAlignment="1">
      <alignment horizontal="center" wrapText="1"/>
    </xf>
    <xf numFmtId="0" fontId="19" fillId="0" borderId="8" xfId="0" applyFont="1" applyFill="1" applyBorder="1" applyAlignment="1">
      <alignment horizontal="center" wrapText="1"/>
    </xf>
    <xf numFmtId="0" fontId="19" fillId="0" borderId="8" xfId="0" applyFont="1" applyFill="1" applyBorder="1" applyAlignment="1">
      <alignment horizontal="center" vertical="top" wrapText="1"/>
    </xf>
    <xf numFmtId="164" fontId="19" fillId="0" borderId="8" xfId="0" applyNumberFormat="1" applyFont="1" applyFill="1" applyBorder="1" applyAlignment="1">
      <alignment vertical="top" wrapText="1"/>
    </xf>
    <xf numFmtId="0" fontId="33" fillId="0" borderId="8" xfId="0" applyFont="1" applyFill="1" applyBorder="1" applyAlignment="1">
      <alignment wrapText="1"/>
    </xf>
    <xf numFmtId="49" fontId="19" fillId="0" borderId="8" xfId="0" applyNumberFormat="1" applyFont="1" applyFill="1" applyBorder="1" applyAlignment="1">
      <alignment horizontal="center" vertical="top" wrapText="1"/>
    </xf>
    <xf numFmtId="164" fontId="33" fillId="0" borderId="8" xfId="0" applyNumberFormat="1" applyFont="1" applyFill="1" applyBorder="1" applyAlignment="1">
      <alignment horizontal="right" wrapText="1"/>
    </xf>
    <xf numFmtId="164" fontId="19" fillId="0" borderId="8" xfId="0" applyNumberFormat="1" applyFont="1" applyFill="1" applyBorder="1" applyAlignment="1">
      <alignment horizontal="right" wrapText="1"/>
    </xf>
    <xf numFmtId="0" fontId="19" fillId="0" borderId="8" xfId="0" applyFont="1" applyFill="1" applyBorder="1" applyAlignment="1">
      <alignment wrapText="1"/>
    </xf>
    <xf numFmtId="0" fontId="19" fillId="0" borderId="8" xfId="0" applyFont="1" applyFill="1" applyBorder="1" applyAlignment="1">
      <alignment horizontal="justify" wrapText="1"/>
    </xf>
    <xf numFmtId="49" fontId="19" fillId="0" borderId="8" xfId="0" applyNumberFormat="1" applyFont="1" applyFill="1" applyBorder="1" applyAlignment="1">
      <alignment horizontal="center" wrapText="1"/>
    </xf>
    <xf numFmtId="166" fontId="19" fillId="0" borderId="0" xfId="0" applyNumberFormat="1" applyFont="1" applyFill="1"/>
    <xf numFmtId="4" fontId="19" fillId="0" borderId="0" xfId="0" applyNumberFormat="1" applyFont="1" applyFill="1"/>
    <xf numFmtId="167" fontId="33" fillId="0" borderId="8" xfId="0" applyNumberFormat="1" applyFont="1" applyFill="1" applyBorder="1" applyAlignment="1">
      <alignment horizontal="right" wrapText="1"/>
    </xf>
    <xf numFmtId="164" fontId="19" fillId="0" borderId="8" xfId="0" applyNumberFormat="1" applyFont="1" applyFill="1" applyBorder="1" applyAlignment="1">
      <alignment wrapText="1"/>
    </xf>
    <xf numFmtId="49" fontId="19" fillId="0" borderId="20" xfId="0" applyNumberFormat="1" applyFont="1" applyFill="1" applyBorder="1" applyAlignment="1">
      <alignment horizontal="center" wrapText="1"/>
    </xf>
    <xf numFmtId="0" fontId="33" fillId="0" borderId="0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wrapText="1"/>
    </xf>
    <xf numFmtId="49" fontId="19" fillId="0" borderId="0" xfId="0" applyNumberFormat="1" applyFont="1" applyFill="1" applyBorder="1" applyAlignment="1">
      <alignment horizontal="center" wrapText="1"/>
    </xf>
    <xf numFmtId="164" fontId="19" fillId="0" borderId="0" xfId="0" applyNumberFormat="1" applyFont="1" applyFill="1" applyBorder="1" applyAlignment="1">
      <alignment horizontal="right" wrapText="1"/>
    </xf>
    <xf numFmtId="0" fontId="19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horizontal="left" indent="4"/>
    </xf>
    <xf numFmtId="167" fontId="23" fillId="0" borderId="8" xfId="0" applyNumberFormat="1" applyFont="1" applyFill="1" applyBorder="1" applyAlignment="1">
      <alignment horizontal="right" vertical="top" wrapText="1"/>
    </xf>
    <xf numFmtId="0" fontId="13" fillId="0" borderId="7" xfId="0" applyFont="1" applyBorder="1" applyAlignment="1">
      <alignment horizontal="center" wrapText="1"/>
    </xf>
    <xf numFmtId="0" fontId="13" fillId="0" borderId="8" xfId="0" applyFont="1" applyBorder="1" applyAlignment="1">
      <alignment horizontal="right" wrapText="1"/>
    </xf>
    <xf numFmtId="43" fontId="13" fillId="0" borderId="8" xfId="0" applyNumberFormat="1" applyFont="1" applyBorder="1" applyAlignment="1">
      <alignment horizontal="right" wrapText="1"/>
    </xf>
    <xf numFmtId="43" fontId="13" fillId="0" borderId="9" xfId="0" applyNumberFormat="1" applyFont="1" applyBorder="1" applyAlignment="1">
      <alignment horizontal="right" wrapText="1"/>
    </xf>
    <xf numFmtId="0" fontId="13" fillId="0" borderId="8" xfId="0" applyFont="1" applyBorder="1" applyAlignment="1">
      <alignment wrapText="1"/>
    </xf>
    <xf numFmtId="181" fontId="27" fillId="0" borderId="17" xfId="1" applyNumberFormat="1" applyFont="1" applyFill="1" applyBorder="1" applyAlignment="1">
      <alignment horizontal="right" vertical="top" wrapText="1"/>
    </xf>
    <xf numFmtId="0" fontId="75" fillId="0" borderId="8" xfId="0" applyFont="1" applyFill="1" applyBorder="1" applyAlignment="1">
      <alignment vertical="top" wrapText="1"/>
    </xf>
    <xf numFmtId="0" fontId="75" fillId="0" borderId="8" xfId="0" applyFont="1" applyFill="1" applyBorder="1" applyAlignment="1">
      <alignment horizontal="center" vertical="top" wrapText="1"/>
    </xf>
    <xf numFmtId="164" fontId="76" fillId="0" borderId="8" xfId="0" applyNumberFormat="1" applyFont="1" applyFill="1" applyBorder="1" applyAlignment="1">
      <alignment horizontal="right" wrapText="1"/>
    </xf>
    <xf numFmtId="0" fontId="41" fillId="0" borderId="0" xfId="0" applyFont="1" applyFill="1" applyBorder="1" applyAlignment="1">
      <alignment horizontal="center" wrapText="1"/>
    </xf>
    <xf numFmtId="0" fontId="41" fillId="0" borderId="8" xfId="0" applyFont="1" applyFill="1" applyBorder="1" applyAlignment="1">
      <alignment horizontal="center" vertical="top" wrapText="1"/>
    </xf>
    <xf numFmtId="0" fontId="40" fillId="0" borderId="8" xfId="0" applyFont="1" applyFill="1" applyBorder="1" applyAlignment="1">
      <alignment horizontal="center" vertical="top" wrapText="1"/>
    </xf>
    <xf numFmtId="0" fontId="41" fillId="0" borderId="16" xfId="0" applyFont="1" applyFill="1" applyBorder="1" applyAlignment="1">
      <alignment horizontal="center" vertical="top" wrapText="1"/>
    </xf>
    <xf numFmtId="0" fontId="41" fillId="0" borderId="0" xfId="0" applyFont="1" applyFill="1" applyAlignment="1">
      <alignment horizontal="center" wrapText="1"/>
    </xf>
    <xf numFmtId="0" fontId="19" fillId="0" borderId="0" xfId="0" applyFont="1" applyFill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0" fontId="33" fillId="0" borderId="8" xfId="0" applyFont="1" applyFill="1" applyBorder="1" applyAlignment="1">
      <alignment horizontal="center" wrapText="1"/>
    </xf>
    <xf numFmtId="0" fontId="19" fillId="0" borderId="8" xfId="0" applyFont="1" applyFill="1" applyBorder="1" applyAlignment="1">
      <alignment horizontal="center" wrapText="1"/>
    </xf>
    <xf numFmtId="0" fontId="19" fillId="0" borderId="8" xfId="0" applyFont="1" applyFill="1" applyBorder="1" applyAlignment="1">
      <alignment wrapText="1"/>
    </xf>
    <xf numFmtId="49" fontId="19" fillId="0" borderId="8" xfId="0" applyNumberFormat="1" applyFont="1" applyFill="1" applyBorder="1" applyAlignment="1">
      <alignment horizontal="center" vertical="top" wrapText="1"/>
    </xf>
    <xf numFmtId="164" fontId="19" fillId="0" borderId="8" xfId="0" applyNumberFormat="1" applyFont="1" applyFill="1" applyBorder="1" applyAlignment="1">
      <alignment horizontal="right" wrapText="1"/>
    </xf>
    <xf numFmtId="0" fontId="21" fillId="0" borderId="0" xfId="0" applyFont="1" applyFill="1" applyAlignment="1"/>
    <xf numFmtId="0" fontId="21" fillId="0" borderId="0" xfId="0" applyFont="1" applyFill="1" applyAlignment="1">
      <alignment horizontal="center" wrapText="1"/>
    </xf>
    <xf numFmtId="0" fontId="21" fillId="0" borderId="0" xfId="0" applyFont="1" applyFill="1" applyBorder="1" applyAlignment="1">
      <alignment horizontal="center" wrapText="1"/>
    </xf>
    <xf numFmtId="0" fontId="21" fillId="0" borderId="8" xfId="0" applyFont="1" applyFill="1" applyBorder="1" applyAlignment="1">
      <alignment horizontal="center" vertical="top" wrapText="1"/>
    </xf>
    <xf numFmtId="0" fontId="22" fillId="0" borderId="8" xfId="0" applyFont="1" applyFill="1" applyBorder="1" applyAlignment="1">
      <alignment vertical="top" wrapText="1"/>
    </xf>
    <xf numFmtId="164" fontId="21" fillId="0" borderId="8" xfId="0" applyNumberFormat="1" applyFont="1" applyFill="1" applyBorder="1" applyAlignment="1">
      <alignment horizontal="right" vertical="top" wrapText="1"/>
    </xf>
    <xf numFmtId="164" fontId="21" fillId="0" borderId="20" xfId="0" applyNumberFormat="1" applyFont="1" applyFill="1" applyBorder="1" applyAlignment="1">
      <alignment horizontal="right" vertical="top" wrapText="1"/>
    </xf>
    <xf numFmtId="164" fontId="21" fillId="0" borderId="19" xfId="0" applyNumberFormat="1" applyFont="1" applyFill="1" applyBorder="1" applyAlignment="1">
      <alignment horizontal="right" vertical="top" wrapText="1"/>
    </xf>
    <xf numFmtId="0" fontId="23" fillId="0" borderId="8" xfId="0" applyFont="1" applyFill="1" applyBorder="1" applyAlignment="1">
      <alignment horizontal="center" vertical="top" wrapText="1"/>
    </xf>
    <xf numFmtId="167" fontId="23" fillId="0" borderId="8" xfId="0" applyNumberFormat="1" applyFont="1" applyFill="1" applyBorder="1" applyAlignment="1">
      <alignment horizontal="right" vertical="top" wrapText="1"/>
    </xf>
    <xf numFmtId="167" fontId="38" fillId="0" borderId="20" xfId="0" applyNumberFormat="1" applyFont="1" applyFill="1" applyBorder="1" applyAlignment="1">
      <alignment horizontal="center" vertical="top" wrapText="1"/>
    </xf>
    <xf numFmtId="167" fontId="38" fillId="0" borderId="19" xfId="0" applyNumberFormat="1" applyFont="1" applyFill="1" applyBorder="1" applyAlignment="1">
      <alignment horizontal="center" vertical="top" wrapText="1"/>
    </xf>
    <xf numFmtId="0" fontId="38" fillId="0" borderId="8" xfId="0" applyFont="1" applyFill="1" applyBorder="1" applyAlignment="1">
      <alignment horizontal="center" wrapText="1"/>
    </xf>
    <xf numFmtId="0" fontId="23" fillId="0" borderId="0" xfId="0" applyFont="1" applyFill="1" applyBorder="1" applyAlignment="1">
      <alignment horizontal="left" wrapText="1"/>
    </xf>
    <xf numFmtId="167" fontId="38" fillId="0" borderId="8" xfId="0" applyNumberFormat="1" applyFont="1" applyFill="1" applyBorder="1" applyAlignment="1">
      <alignment horizontal="right" vertical="top" wrapText="1"/>
    </xf>
    <xf numFmtId="167" fontId="38" fillId="0" borderId="8" xfId="0" applyNumberFormat="1" applyFont="1" applyFill="1" applyBorder="1" applyAlignment="1">
      <alignment horizontal="justify" vertical="top" wrapText="1"/>
    </xf>
    <xf numFmtId="0" fontId="57" fillId="0" borderId="0" xfId="0" applyFont="1" applyFill="1" applyAlignment="1">
      <alignment horizontal="left" wrapText="1"/>
    </xf>
    <xf numFmtId="0" fontId="62" fillId="0" borderId="16" xfId="0" applyFont="1" applyFill="1" applyBorder="1" applyAlignment="1">
      <alignment wrapText="1"/>
    </xf>
    <xf numFmtId="0" fontId="57" fillId="0" borderId="31" xfId="0" applyFont="1" applyFill="1" applyBorder="1" applyAlignment="1">
      <alignment wrapText="1"/>
    </xf>
    <xf numFmtId="0" fontId="57" fillId="0" borderId="32" xfId="0" applyFont="1" applyFill="1" applyBorder="1" applyAlignment="1">
      <alignment wrapText="1"/>
    </xf>
    <xf numFmtId="0" fontId="57" fillId="0" borderId="16" xfId="0" applyFont="1" applyFill="1" applyBorder="1" applyAlignment="1">
      <alignment horizontal="justify" vertical="top" wrapText="1"/>
    </xf>
    <xf numFmtId="0" fontId="62" fillId="0" borderId="33" xfId="0" applyFont="1" applyFill="1" applyBorder="1" applyAlignment="1">
      <alignment wrapText="1"/>
    </xf>
    <xf numFmtId="0" fontId="62" fillId="0" borderId="28" xfId="0" applyFont="1" applyFill="1" applyBorder="1" applyAlignment="1">
      <alignment wrapText="1"/>
    </xf>
    <xf numFmtId="0" fontId="62" fillId="0" borderId="34" xfId="0" applyFont="1" applyFill="1" applyBorder="1" applyAlignment="1">
      <alignment wrapText="1"/>
    </xf>
    <xf numFmtId="0" fontId="65" fillId="0" borderId="0" xfId="0" applyFont="1" applyFill="1" applyAlignment="1"/>
    <xf numFmtId="0" fontId="45" fillId="0" borderId="0" xfId="0" applyFont="1" applyFill="1" applyAlignment="1">
      <alignment horizontal="center"/>
    </xf>
    <xf numFmtId="0" fontId="46" fillId="0" borderId="13" xfId="0" applyFont="1" applyFill="1" applyBorder="1" applyAlignment="1">
      <alignment horizontal="center" vertical="center" wrapText="1"/>
    </xf>
    <xf numFmtId="0" fontId="46" fillId="0" borderId="8" xfId="0" applyFont="1" applyFill="1" applyBorder="1" applyAlignment="1">
      <alignment horizontal="center" vertical="center" wrapText="1"/>
    </xf>
    <xf numFmtId="0" fontId="46" fillId="0" borderId="35" xfId="0" applyFont="1" applyFill="1" applyBorder="1" applyAlignment="1">
      <alignment horizontal="justify" vertical="justify" wrapText="1"/>
    </xf>
    <xf numFmtId="0" fontId="46" fillId="0" borderId="30" xfId="0" applyFont="1" applyFill="1" applyBorder="1" applyAlignment="1">
      <alignment horizontal="justify" vertical="justify" wrapText="1"/>
    </xf>
    <xf numFmtId="0" fontId="46" fillId="0" borderId="35" xfId="0" applyNumberFormat="1" applyFont="1" applyFill="1" applyBorder="1" applyAlignment="1" applyProtection="1">
      <alignment horizontal="justify" vertical="justify" wrapText="1"/>
    </xf>
    <xf numFmtId="0" fontId="46" fillId="0" borderId="30" xfId="0" applyNumberFormat="1" applyFont="1" applyFill="1" applyBorder="1" applyAlignment="1" applyProtection="1">
      <alignment horizontal="justify" vertical="justify" wrapText="1"/>
    </xf>
    <xf numFmtId="0" fontId="46" fillId="0" borderId="0" xfId="0" applyFont="1" applyFill="1" applyAlignment="1">
      <alignment horizontal="center" vertical="center" wrapText="1"/>
    </xf>
    <xf numFmtId="4" fontId="46" fillId="0" borderId="13" xfId="0" applyNumberFormat="1" applyFont="1" applyFill="1" applyBorder="1" applyAlignment="1">
      <alignment horizontal="center" vertical="center" wrapText="1"/>
    </xf>
    <xf numFmtId="4" fontId="46" fillId="0" borderId="8" xfId="0" applyNumberFormat="1" applyFont="1" applyFill="1" applyBorder="1" applyAlignment="1">
      <alignment horizontal="center" vertical="center" wrapText="1"/>
    </xf>
    <xf numFmtId="0" fontId="44" fillId="0" borderId="36" xfId="0" applyFont="1" applyFill="1" applyBorder="1" applyAlignment="1">
      <alignment horizontal="left"/>
    </xf>
    <xf numFmtId="0" fontId="46" fillId="0" borderId="22" xfId="0" applyNumberFormat="1" applyFont="1" applyFill="1" applyBorder="1" applyAlignment="1" applyProtection="1">
      <alignment horizontal="justify" vertical="justify" wrapText="1"/>
    </xf>
    <xf numFmtId="0" fontId="46" fillId="0" borderId="29" xfId="0" applyNumberFormat="1" applyFont="1" applyFill="1" applyBorder="1" applyAlignment="1" applyProtection="1">
      <alignment horizontal="justify" vertical="justify" wrapText="1"/>
    </xf>
    <xf numFmtId="0" fontId="43" fillId="0" borderId="0" xfId="0" applyFont="1" applyFill="1" applyAlignment="1">
      <alignment horizontal="center"/>
    </xf>
    <xf numFmtId="0" fontId="45" fillId="0" borderId="37" xfId="0" applyFont="1" applyFill="1" applyBorder="1" applyAlignment="1">
      <alignment horizontal="center" vertical="center" wrapText="1"/>
    </xf>
    <xf numFmtId="0" fontId="45" fillId="0" borderId="19" xfId="0" applyFont="1" applyFill="1" applyBorder="1" applyAlignment="1">
      <alignment horizontal="center" vertical="center" wrapText="1"/>
    </xf>
    <xf numFmtId="0" fontId="46" fillId="0" borderId="38" xfId="0" applyFont="1" applyFill="1" applyBorder="1" applyAlignment="1">
      <alignment horizontal="left" vertical="center" wrapText="1"/>
    </xf>
    <xf numFmtId="0" fontId="46" fillId="0" borderId="26" xfId="0" applyFont="1" applyFill="1" applyBorder="1" applyAlignment="1">
      <alignment horizontal="left" vertical="center" wrapText="1"/>
    </xf>
    <xf numFmtId="0" fontId="46" fillId="0" borderId="37" xfId="0" applyFont="1" applyFill="1" applyBorder="1" applyAlignment="1">
      <alignment horizontal="center" vertical="center" wrapText="1"/>
    </xf>
    <xf numFmtId="0" fontId="46" fillId="0" borderId="19" xfId="0" applyFont="1" applyFill="1" applyBorder="1" applyAlignment="1">
      <alignment horizontal="center" vertical="center" wrapText="1"/>
    </xf>
    <xf numFmtId="0" fontId="46" fillId="0" borderId="37" xfId="0" applyFont="1" applyFill="1" applyBorder="1" applyAlignment="1">
      <alignment horizontal="right" vertical="center" wrapText="1"/>
    </xf>
    <xf numFmtId="0" fontId="46" fillId="0" borderId="19" xfId="0" applyFont="1" applyFill="1" applyBorder="1" applyAlignment="1">
      <alignment horizontal="right" vertical="center" wrapText="1"/>
    </xf>
    <xf numFmtId="0" fontId="31" fillId="0" borderId="0" xfId="0" applyFont="1" applyAlignment="1">
      <alignment horizontal="left" wrapText="1"/>
    </xf>
    <xf numFmtId="0" fontId="33" fillId="0" borderId="39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176" fontId="33" fillId="0" borderId="37" xfId="0" applyNumberFormat="1" applyFont="1" applyBorder="1" applyAlignment="1">
      <alignment horizontal="center" vertical="center" wrapText="1"/>
    </xf>
    <xf numFmtId="176" fontId="33" fillId="0" borderId="19" xfId="0" applyNumberFormat="1" applyFont="1" applyBorder="1" applyAlignment="1">
      <alignment horizontal="center" vertical="center" wrapText="1"/>
    </xf>
    <xf numFmtId="0" fontId="55" fillId="0" borderId="40" xfId="0" applyFont="1" applyFill="1" applyBorder="1" applyAlignment="1">
      <alignment horizontal="justify" vertical="justify" wrapText="1"/>
    </xf>
    <xf numFmtId="0" fontId="55" fillId="0" borderId="24" xfId="0" applyFont="1" applyFill="1" applyBorder="1" applyAlignment="1">
      <alignment horizontal="justify" vertical="justify" wrapText="1"/>
    </xf>
    <xf numFmtId="0" fontId="55" fillId="0" borderId="41" xfId="0" applyFont="1" applyFill="1" applyBorder="1" applyAlignment="1">
      <alignment horizontal="justify" vertical="justify" wrapText="1"/>
    </xf>
    <xf numFmtId="0" fontId="55" fillId="0" borderId="16" xfId="0" applyFont="1" applyBorder="1" applyAlignment="1">
      <alignment horizontal="justify" vertical="justify" wrapText="1"/>
    </xf>
    <xf numFmtId="0" fontId="55" fillId="0" borderId="31" xfId="0" applyFont="1" applyBorder="1" applyAlignment="1">
      <alignment horizontal="justify" vertical="justify" wrapText="1"/>
    </xf>
    <xf numFmtId="0" fontId="55" fillId="0" borderId="32" xfId="0" applyFont="1" applyBorder="1" applyAlignment="1">
      <alignment horizontal="justify" vertical="justify" wrapText="1"/>
    </xf>
    <xf numFmtId="0" fontId="55" fillId="0" borderId="16" xfId="0" applyFont="1" applyFill="1" applyBorder="1" applyAlignment="1">
      <alignment wrapText="1"/>
    </xf>
    <xf numFmtId="0" fontId="55" fillId="0" borderId="31" xfId="0" applyFont="1" applyFill="1" applyBorder="1" applyAlignment="1">
      <alignment wrapText="1"/>
    </xf>
    <xf numFmtId="0" fontId="55" fillId="0" borderId="32" xfId="0" applyFont="1" applyFill="1" applyBorder="1" applyAlignment="1">
      <alignment wrapText="1"/>
    </xf>
    <xf numFmtId="0" fontId="33" fillId="0" borderId="42" xfId="0" applyFont="1" applyBorder="1" applyAlignment="1">
      <alignment horizontal="center" vertical="center" wrapText="1"/>
    </xf>
    <xf numFmtId="0" fontId="33" fillId="0" borderId="43" xfId="0" applyFont="1" applyBorder="1" applyAlignment="1">
      <alignment horizontal="center" vertical="center" wrapText="1"/>
    </xf>
    <xf numFmtId="0" fontId="20" fillId="0" borderId="0" xfId="0" applyFont="1" applyAlignment="1">
      <alignment horizontal="justify" vertical="justify"/>
    </xf>
    <xf numFmtId="0" fontId="25" fillId="0" borderId="0" xfId="0" applyFont="1" applyAlignment="1">
      <alignment horizontal="justify" vertical="justify"/>
    </xf>
    <xf numFmtId="0" fontId="29" fillId="0" borderId="0" xfId="3" applyFont="1" applyAlignment="1">
      <alignment horizontal="center"/>
    </xf>
    <xf numFmtId="49" fontId="20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3" fillId="0" borderId="8" xfId="0" applyFont="1" applyBorder="1" applyAlignment="1">
      <alignment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/>
    </xf>
    <xf numFmtId="0" fontId="13" fillId="0" borderId="11" xfId="0" applyFont="1" applyBorder="1" applyAlignment="1">
      <alignment wrapText="1"/>
    </xf>
    <xf numFmtId="0" fontId="13" fillId="0" borderId="14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wrapText="1"/>
    </xf>
    <xf numFmtId="0" fontId="13" fillId="0" borderId="26" xfId="0" applyFont="1" applyBorder="1" applyAlignment="1">
      <alignment horizont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wrapText="1"/>
    </xf>
    <xf numFmtId="0" fontId="13" fillId="0" borderId="20" xfId="0" applyFont="1" applyBorder="1" applyAlignment="1">
      <alignment vertical="top" wrapText="1"/>
    </xf>
    <xf numFmtId="0" fontId="13" fillId="0" borderId="19" xfId="0" applyFont="1" applyBorder="1" applyAlignment="1">
      <alignment vertical="top" wrapText="1"/>
    </xf>
    <xf numFmtId="0" fontId="13" fillId="0" borderId="8" xfId="0" applyFont="1" applyBorder="1" applyAlignment="1">
      <alignment horizontal="right" wrapText="1"/>
    </xf>
    <xf numFmtId="43" fontId="13" fillId="0" borderId="8" xfId="0" applyNumberFormat="1" applyFont="1" applyBorder="1" applyAlignment="1">
      <alignment horizontal="right" wrapText="1"/>
    </xf>
    <xf numFmtId="43" fontId="13" fillId="0" borderId="9" xfId="0" applyNumberFormat="1" applyFont="1" applyBorder="1" applyAlignment="1">
      <alignment horizontal="right" wrapText="1"/>
    </xf>
    <xf numFmtId="0" fontId="13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4" fillId="0" borderId="1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9" fillId="0" borderId="8" xfId="3" applyFont="1" applyFill="1" applyBorder="1" applyAlignment="1">
      <alignment horizontal="left"/>
    </xf>
    <xf numFmtId="0" fontId="32" fillId="0" borderId="8" xfId="0" applyFont="1" applyFill="1" applyBorder="1" applyAlignment="1">
      <alignment horizontal="left"/>
    </xf>
    <xf numFmtId="0" fontId="32" fillId="0" borderId="9" xfId="0" applyFont="1" applyFill="1" applyBorder="1" applyAlignment="1">
      <alignment horizontal="left"/>
    </xf>
    <xf numFmtId="0" fontId="19" fillId="0" borderId="13" xfId="3" applyFont="1" applyFill="1" applyBorder="1" applyAlignment="1">
      <alignment horizontal="center"/>
    </xf>
    <xf numFmtId="0" fontId="19" fillId="0" borderId="15" xfId="3" applyFont="1" applyFill="1" applyBorder="1" applyAlignment="1">
      <alignment horizontal="center"/>
    </xf>
    <xf numFmtId="0" fontId="19" fillId="0" borderId="11" xfId="3" applyFont="1" applyFill="1" applyBorder="1" applyAlignment="1">
      <alignment horizontal="center"/>
    </xf>
    <xf numFmtId="0" fontId="19" fillId="0" borderId="17" xfId="3" applyFont="1" applyFill="1" applyBorder="1" applyAlignment="1">
      <alignment horizontal="center"/>
    </xf>
    <xf numFmtId="0" fontId="19" fillId="0" borderId="11" xfId="3" applyFont="1" applyBorder="1" applyAlignment="1">
      <alignment horizontal="center"/>
    </xf>
    <xf numFmtId="0" fontId="19" fillId="0" borderId="17" xfId="3" applyFont="1" applyBorder="1" applyAlignment="1">
      <alignment horizontal="center"/>
    </xf>
    <xf numFmtId="0" fontId="19" fillId="0" borderId="7" xfId="3" applyFont="1" applyFill="1" applyBorder="1" applyAlignment="1">
      <alignment horizontal="left"/>
    </xf>
    <xf numFmtId="0" fontId="19" fillId="0" borderId="10" xfId="3" applyFont="1" applyBorder="1" applyAlignment="1">
      <alignment horizontal="center"/>
    </xf>
    <xf numFmtId="0" fontId="19" fillId="0" borderId="7" xfId="3" applyFont="1" applyFill="1" applyBorder="1" applyAlignment="1"/>
    <xf numFmtId="0" fontId="70" fillId="0" borderId="8" xfId="0" applyFont="1" applyFill="1" applyBorder="1" applyAlignment="1"/>
    <xf numFmtId="166" fontId="19" fillId="0" borderId="16" xfId="1" applyNumberFormat="1" applyFont="1" applyFill="1" applyBorder="1" applyAlignment="1">
      <alignment horizontal="left"/>
    </xf>
    <xf numFmtId="166" fontId="19" fillId="0" borderId="31" xfId="1" applyNumberFormat="1" applyFont="1" applyFill="1" applyBorder="1" applyAlignment="1">
      <alignment horizontal="left"/>
    </xf>
    <xf numFmtId="166" fontId="19" fillId="0" borderId="26" xfId="1" applyNumberFormat="1" applyFont="1" applyFill="1" applyBorder="1" applyAlignment="1">
      <alignment horizontal="left"/>
    </xf>
    <xf numFmtId="166" fontId="19" fillId="0" borderId="8" xfId="3" applyNumberFormat="1" applyFont="1" applyFill="1" applyBorder="1" applyAlignment="1">
      <alignment horizontal="left"/>
    </xf>
    <xf numFmtId="166" fontId="70" fillId="0" borderId="8" xfId="0" applyNumberFormat="1" applyFont="1" applyFill="1" applyBorder="1" applyAlignment="1">
      <alignment horizontal="left"/>
    </xf>
    <xf numFmtId="166" fontId="19" fillId="0" borderId="8" xfId="1" applyNumberFormat="1" applyFont="1" applyFill="1" applyBorder="1" applyAlignment="1">
      <alignment horizontal="left"/>
    </xf>
    <xf numFmtId="0" fontId="19" fillId="0" borderId="12" xfId="3" applyFont="1" applyFill="1" applyBorder="1" applyAlignment="1">
      <alignment horizontal="center"/>
    </xf>
    <xf numFmtId="0" fontId="19" fillId="0" borderId="9" xfId="3" applyFont="1" applyFill="1" applyBorder="1" applyAlignment="1">
      <alignment horizontal="left"/>
    </xf>
    <xf numFmtId="166" fontId="19" fillId="0" borderId="16" xfId="3" applyNumberFormat="1" applyFont="1" applyFill="1" applyBorder="1" applyAlignment="1">
      <alignment horizontal="left"/>
    </xf>
    <xf numFmtId="166" fontId="19" fillId="0" borderId="31" xfId="3" applyNumberFormat="1" applyFont="1" applyFill="1" applyBorder="1" applyAlignment="1">
      <alignment horizontal="left"/>
    </xf>
    <xf numFmtId="166" fontId="19" fillId="0" borderId="26" xfId="3" applyNumberFormat="1" applyFont="1" applyFill="1" applyBorder="1" applyAlignment="1">
      <alignment horizontal="left"/>
    </xf>
    <xf numFmtId="0" fontId="19" fillId="0" borderId="49" xfId="3" applyFont="1" applyFill="1" applyBorder="1" applyAlignment="1">
      <alignment horizontal="left"/>
    </xf>
    <xf numFmtId="0" fontId="19" fillId="0" borderId="31" xfId="3" applyFont="1" applyFill="1" applyBorder="1" applyAlignment="1">
      <alignment horizontal="left"/>
    </xf>
    <xf numFmtId="0" fontId="19" fillId="0" borderId="26" xfId="3" applyFont="1" applyFill="1" applyBorder="1" applyAlignment="1">
      <alignment horizontal="left"/>
    </xf>
    <xf numFmtId="0" fontId="19" fillId="0" borderId="16" xfId="3" applyFont="1" applyFill="1" applyBorder="1" applyAlignment="1">
      <alignment horizontal="left"/>
    </xf>
    <xf numFmtId="0" fontId="19" fillId="0" borderId="32" xfId="3" applyFont="1" applyFill="1" applyBorder="1" applyAlignment="1">
      <alignment horizontal="left"/>
    </xf>
    <xf numFmtId="0" fontId="19" fillId="0" borderId="8" xfId="3" applyFont="1" applyBorder="1" applyAlignment="1">
      <alignment horizontal="center"/>
    </xf>
    <xf numFmtId="0" fontId="19" fillId="0" borderId="9" xfId="3" applyFont="1" applyBorder="1" applyAlignment="1">
      <alignment horizontal="center"/>
    </xf>
    <xf numFmtId="0" fontId="19" fillId="0" borderId="8" xfId="3" applyFont="1" applyBorder="1" applyAlignment="1">
      <alignment horizontal="center" vertical="center" wrapText="1"/>
    </xf>
    <xf numFmtId="0" fontId="19" fillId="0" borderId="9" xfId="3" applyFont="1" applyBorder="1" applyAlignment="1">
      <alignment horizontal="center" vertical="center" wrapText="1"/>
    </xf>
    <xf numFmtId="0" fontId="19" fillId="0" borderId="7" xfId="3" applyFont="1" applyBorder="1" applyAlignment="1">
      <alignment horizontal="center"/>
    </xf>
    <xf numFmtId="0" fontId="19" fillId="0" borderId="12" xfId="3" applyFont="1" applyBorder="1" applyAlignment="1">
      <alignment horizontal="center" vertical="center" wrapText="1"/>
    </xf>
    <xf numFmtId="0" fontId="19" fillId="0" borderId="13" xfId="3" applyFont="1" applyBorder="1" applyAlignment="1">
      <alignment horizontal="center" vertical="center" wrapText="1"/>
    </xf>
    <xf numFmtId="0" fontId="19" fillId="0" borderId="15" xfId="3" applyFont="1" applyBorder="1" applyAlignment="1">
      <alignment horizontal="center" vertical="center" wrapText="1"/>
    </xf>
    <xf numFmtId="0" fontId="19" fillId="0" borderId="11" xfId="3" applyFont="1" applyBorder="1" applyAlignment="1">
      <alignment horizontal="center" vertical="center" wrapText="1"/>
    </xf>
    <xf numFmtId="0" fontId="19" fillId="0" borderId="17" xfId="3" applyFont="1" applyBorder="1" applyAlignment="1">
      <alignment horizontal="center" vertical="center" wrapText="1"/>
    </xf>
    <xf numFmtId="0" fontId="19" fillId="0" borderId="7" xfId="3" applyFont="1" applyBorder="1" applyAlignment="1">
      <alignment horizontal="center" vertical="center" wrapText="1"/>
    </xf>
    <xf numFmtId="0" fontId="19" fillId="0" borderId="10" xfId="3" applyFont="1" applyBorder="1" applyAlignment="1">
      <alignment horizontal="center" vertical="center" wrapText="1"/>
    </xf>
    <xf numFmtId="0" fontId="15" fillId="0" borderId="0" xfId="3" applyFont="1" applyAlignment="1">
      <alignment horizontal="center"/>
    </xf>
    <xf numFmtId="0" fontId="30" fillId="0" borderId="0" xfId="0" applyFont="1" applyAlignment="1">
      <alignment horizontal="left" vertical="top" wrapText="1"/>
    </xf>
    <xf numFmtId="0" fontId="19" fillId="0" borderId="0" xfId="0" applyFont="1" applyAlignment="1">
      <alignment horizontal="center"/>
    </xf>
    <xf numFmtId="14" fontId="30" fillId="0" borderId="0" xfId="0" applyNumberFormat="1" applyFont="1" applyAlignment="1">
      <alignment horizontal="left" vertical="top" wrapText="1"/>
    </xf>
    <xf numFmtId="0" fontId="19" fillId="0" borderId="10" xfId="3" applyFont="1" applyFill="1" applyBorder="1" applyAlignment="1">
      <alignment horizontal="left"/>
    </xf>
    <xf numFmtId="0" fontId="19" fillId="0" borderId="11" xfId="3" applyFont="1" applyFill="1" applyBorder="1" applyAlignment="1">
      <alignment horizontal="left"/>
    </xf>
    <xf numFmtId="4" fontId="33" fillId="0" borderId="33" xfId="1" applyNumberFormat="1" applyFont="1" applyFill="1" applyBorder="1" applyAlignment="1">
      <alignment horizontal="center"/>
    </xf>
    <xf numFmtId="4" fontId="33" fillId="0" borderId="28" xfId="1" applyNumberFormat="1" applyFont="1" applyFill="1" applyBorder="1" applyAlignment="1">
      <alignment horizontal="center"/>
    </xf>
    <xf numFmtId="4" fontId="33" fillId="0" borderId="34" xfId="1" applyNumberFormat="1" applyFont="1" applyFill="1" applyBorder="1" applyAlignment="1">
      <alignment horizontal="center"/>
    </xf>
    <xf numFmtId="0" fontId="29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2" fillId="0" borderId="44" xfId="0" applyFont="1" applyBorder="1" applyAlignment="1">
      <alignment horizontal="center" wrapText="1"/>
    </xf>
    <xf numFmtId="0" fontId="2" fillId="0" borderId="45" xfId="0" applyFont="1" applyBorder="1" applyAlignment="1">
      <alignment horizontal="center" wrapText="1"/>
    </xf>
    <xf numFmtId="0" fontId="2" fillId="0" borderId="46" xfId="0" applyFont="1" applyBorder="1" applyAlignment="1">
      <alignment horizontal="center" wrapText="1"/>
    </xf>
    <xf numFmtId="0" fontId="2" fillId="0" borderId="47" xfId="0" applyFont="1" applyBorder="1" applyAlignment="1">
      <alignment horizontal="center" wrapText="1"/>
    </xf>
    <xf numFmtId="0" fontId="2" fillId="0" borderId="48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10">
    <cellStyle name="Comma 2" xfId="1"/>
    <cellStyle name="Comma 3" xfId="2"/>
    <cellStyle name="Normal" xfId="0" builtinId="0"/>
    <cellStyle name="Normal 2" xfId="3"/>
    <cellStyle name="Normal 28" xfId="4"/>
    <cellStyle name="Normal 3" xfId="5"/>
    <cellStyle name="Normal 4" xfId="6"/>
    <cellStyle name="Normal 5" xfId="7"/>
    <cellStyle name="Normal 7" xfId="8"/>
    <cellStyle name="Percent" xfId="9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3:L91"/>
  <sheetViews>
    <sheetView tabSelected="1" topLeftCell="A88" zoomScale="75" zoomScaleNormal="75" workbookViewId="0">
      <selection activeCell="D82" sqref="D82"/>
    </sheetView>
  </sheetViews>
  <sheetFormatPr defaultColWidth="24.7109375" defaultRowHeight="20.25"/>
  <cols>
    <col min="1" max="1" width="14.7109375" style="71" customWidth="1"/>
    <col min="2" max="2" width="100.7109375" style="71" customWidth="1"/>
    <col min="3" max="3" width="10.7109375" style="71" customWidth="1"/>
    <col min="4" max="5" width="21.7109375" style="71" customWidth="1"/>
    <col min="6" max="6" width="23.140625" style="71" hidden="1" customWidth="1"/>
    <col min="7" max="8" width="0" style="71" hidden="1" customWidth="1"/>
    <col min="9" max="16384" width="24.7109375" style="71"/>
  </cols>
  <sheetData>
    <row r="3" spans="1:6">
      <c r="A3" s="72" t="s">
        <v>262</v>
      </c>
      <c r="B3" s="73"/>
      <c r="C3" s="73"/>
    </row>
    <row r="4" spans="1:6">
      <c r="A4" s="72" t="s">
        <v>257</v>
      </c>
      <c r="B4" s="73"/>
      <c r="C4" s="73"/>
    </row>
    <row r="5" spans="1:6">
      <c r="A5" s="72" t="s">
        <v>258</v>
      </c>
      <c r="B5" s="73"/>
      <c r="C5" s="73"/>
      <c r="F5" s="74"/>
    </row>
    <row r="6" spans="1:6">
      <c r="A6" s="72" t="s">
        <v>259</v>
      </c>
      <c r="B6" s="73"/>
      <c r="C6" s="73"/>
      <c r="F6" s="74"/>
    </row>
    <row r="7" spans="1:6">
      <c r="A7" s="72" t="s">
        <v>260</v>
      </c>
      <c r="B7" s="73"/>
      <c r="C7" s="73"/>
      <c r="F7" s="74"/>
    </row>
    <row r="8" spans="1:6">
      <c r="A8" s="72" t="s">
        <v>261</v>
      </c>
      <c r="B8" s="73"/>
      <c r="C8" s="73"/>
      <c r="F8" s="74"/>
    </row>
    <row r="9" spans="1:6" ht="6" customHeight="1"/>
    <row r="10" spans="1:6">
      <c r="A10" s="75" t="s">
        <v>558</v>
      </c>
      <c r="B10" s="77"/>
      <c r="C10" s="76"/>
      <c r="D10" s="76"/>
    </row>
    <row r="11" spans="1:6">
      <c r="A11" s="397" t="s">
        <v>559</v>
      </c>
      <c r="B11" s="77"/>
      <c r="C11" s="76"/>
      <c r="D11" s="76"/>
    </row>
    <row r="12" spans="1:6">
      <c r="A12" s="397" t="s">
        <v>667</v>
      </c>
      <c r="B12" s="77"/>
      <c r="C12" s="76"/>
      <c r="D12" s="76"/>
    </row>
    <row r="13" spans="1:6" ht="18" customHeight="1">
      <c r="A13" s="77"/>
      <c r="D13" s="71" t="s">
        <v>256</v>
      </c>
    </row>
    <row r="14" spans="1:6" ht="62.25" customHeight="1">
      <c r="A14" s="396" t="s">
        <v>83</v>
      </c>
      <c r="B14" s="396" t="s">
        <v>1</v>
      </c>
      <c r="C14" s="396" t="s">
        <v>2</v>
      </c>
      <c r="D14" s="396" t="s">
        <v>3</v>
      </c>
      <c r="E14" s="396" t="s">
        <v>4</v>
      </c>
    </row>
    <row r="15" spans="1:6">
      <c r="A15" s="398">
        <v>1</v>
      </c>
      <c r="B15" s="398">
        <v>2</v>
      </c>
      <c r="C15" s="398">
        <v>3</v>
      </c>
      <c r="D15" s="398">
        <v>4</v>
      </c>
      <c r="E15" s="398">
        <v>5</v>
      </c>
      <c r="F15" s="398"/>
    </row>
    <row r="16" spans="1:6" ht="23.25">
      <c r="A16" s="394"/>
      <c r="B16" s="164" t="s">
        <v>84</v>
      </c>
      <c r="C16" s="165">
        <v>201</v>
      </c>
      <c r="D16" s="166"/>
      <c r="E16" s="166"/>
      <c r="F16" s="248"/>
    </row>
    <row r="17" spans="1:7" ht="23.25">
      <c r="A17" s="394"/>
      <c r="B17" s="164" t="s">
        <v>85</v>
      </c>
      <c r="C17" s="165">
        <v>202</v>
      </c>
      <c r="D17" s="167">
        <f>+D18+D19+D20+D21</f>
        <v>1311643.1299999999</v>
      </c>
      <c r="E17" s="167">
        <f>+E18+E19+E20+E21</f>
        <v>1381418</v>
      </c>
      <c r="F17" s="249"/>
      <c r="G17" s="80"/>
    </row>
    <row r="18" spans="1:7" ht="23.25">
      <c r="A18" s="393">
        <v>700</v>
      </c>
      <c r="B18" s="166" t="s">
        <v>86</v>
      </c>
      <c r="C18" s="165">
        <v>203</v>
      </c>
      <c r="D18" s="168">
        <v>1289158.92</v>
      </c>
      <c r="E18" s="168">
        <v>1360169</v>
      </c>
      <c r="F18" s="250"/>
    </row>
    <row r="19" spans="1:7" ht="46.5">
      <c r="A19" s="169">
        <v>701702</v>
      </c>
      <c r="B19" s="166" t="s">
        <v>87</v>
      </c>
      <c r="C19" s="165">
        <v>204</v>
      </c>
      <c r="D19" s="170">
        <v>22484.21</v>
      </c>
      <c r="E19" s="170">
        <v>21249</v>
      </c>
      <c r="F19" s="251"/>
      <c r="G19" s="134"/>
    </row>
    <row r="20" spans="1:7" ht="23.25">
      <c r="A20" s="393">
        <v>703</v>
      </c>
      <c r="B20" s="166" t="s">
        <v>88</v>
      </c>
      <c r="C20" s="165">
        <v>205</v>
      </c>
      <c r="D20" s="168"/>
      <c r="E20" s="168"/>
      <c r="F20" s="250"/>
    </row>
    <row r="21" spans="1:7" ht="23.25">
      <c r="A21" s="393">
        <v>709</v>
      </c>
      <c r="B21" s="166" t="s">
        <v>89</v>
      </c>
      <c r="C21" s="165">
        <v>206</v>
      </c>
      <c r="D21" s="168"/>
      <c r="E21" s="442"/>
      <c r="F21" s="250"/>
    </row>
    <row r="22" spans="1:7" ht="23.25">
      <c r="A22" s="393"/>
      <c r="B22" s="164" t="s">
        <v>90</v>
      </c>
      <c r="C22" s="165">
        <v>207</v>
      </c>
      <c r="D22" s="400">
        <f>+D23+D24+D25+D26</f>
        <v>5599.24</v>
      </c>
      <c r="E22" s="167">
        <f>+E23+E24+E25+E26</f>
        <v>1277</v>
      </c>
      <c r="F22" s="249"/>
    </row>
    <row r="23" spans="1:7" ht="46.5">
      <c r="A23" s="393">
        <v>710</v>
      </c>
      <c r="B23" s="166" t="s">
        <v>91</v>
      </c>
      <c r="C23" s="165">
        <v>208</v>
      </c>
      <c r="D23" s="399">
        <v>5599.24</v>
      </c>
      <c r="E23" s="168">
        <v>1277</v>
      </c>
      <c r="F23" s="250"/>
    </row>
    <row r="24" spans="1:7" ht="23.25">
      <c r="A24" s="393">
        <v>711</v>
      </c>
      <c r="B24" s="166" t="s">
        <v>92</v>
      </c>
      <c r="C24" s="165">
        <v>209</v>
      </c>
      <c r="D24" s="168"/>
      <c r="E24" s="168"/>
      <c r="F24" s="250"/>
    </row>
    <row r="25" spans="1:7" ht="23.25">
      <c r="A25" s="393">
        <v>712</v>
      </c>
      <c r="B25" s="166" t="s">
        <v>93</v>
      </c>
      <c r="C25" s="165">
        <v>210</v>
      </c>
      <c r="D25" s="168"/>
      <c r="E25" s="168"/>
      <c r="F25" s="250"/>
      <c r="G25" s="254"/>
    </row>
    <row r="26" spans="1:7" ht="23.25">
      <c r="A26" s="393">
        <v>719</v>
      </c>
      <c r="B26" s="166" t="s">
        <v>94</v>
      </c>
      <c r="C26" s="165">
        <v>211</v>
      </c>
      <c r="D26" s="168"/>
      <c r="E26" s="168"/>
      <c r="F26" s="250"/>
    </row>
    <row r="27" spans="1:7" ht="23.25">
      <c r="A27" s="394">
        <v>73</v>
      </c>
      <c r="B27" s="164" t="s">
        <v>95</v>
      </c>
      <c r="C27" s="165">
        <v>212</v>
      </c>
      <c r="D27" s="167">
        <f>+D28+D29+D30+D31+D32+D33+D34</f>
        <v>669547.63000000012</v>
      </c>
      <c r="E27" s="167">
        <f>+E28+E29+E30+E31+E32+E33+E34</f>
        <v>715263</v>
      </c>
      <c r="F27" s="249"/>
    </row>
    <row r="28" spans="1:7" ht="23.25">
      <c r="A28" s="393">
        <v>600</v>
      </c>
      <c r="B28" s="166" t="s">
        <v>96</v>
      </c>
      <c r="C28" s="165">
        <v>213</v>
      </c>
      <c r="D28" s="168">
        <v>562074.66</v>
      </c>
      <c r="E28" s="168">
        <v>613592</v>
      </c>
      <c r="F28" s="250"/>
    </row>
    <row r="29" spans="1:7" ht="23.25">
      <c r="A29" s="393">
        <v>601</v>
      </c>
      <c r="B29" s="166" t="s">
        <v>97</v>
      </c>
      <c r="C29" s="165">
        <v>214</v>
      </c>
      <c r="D29" s="168">
        <v>0</v>
      </c>
      <c r="E29" s="168"/>
      <c r="F29" s="250"/>
    </row>
    <row r="30" spans="1:7" ht="23.25">
      <c r="A30" s="393">
        <v>602</v>
      </c>
      <c r="B30" s="166" t="s">
        <v>98</v>
      </c>
      <c r="C30" s="165">
        <v>215</v>
      </c>
      <c r="D30" s="168"/>
      <c r="E30" s="168"/>
      <c r="F30" s="250"/>
    </row>
    <row r="31" spans="1:7" ht="23.25">
      <c r="A31" s="393">
        <v>603</v>
      </c>
      <c r="B31" s="166" t="s">
        <v>99</v>
      </c>
      <c r="C31" s="165">
        <v>216</v>
      </c>
      <c r="D31" s="168">
        <v>36815.93</v>
      </c>
      <c r="E31" s="168">
        <v>37062</v>
      </c>
      <c r="F31" s="250"/>
    </row>
    <row r="32" spans="1:7" ht="23.25">
      <c r="A32" s="393">
        <v>605</v>
      </c>
      <c r="B32" s="166" t="s">
        <v>100</v>
      </c>
      <c r="C32" s="165">
        <v>217</v>
      </c>
      <c r="D32" s="399">
        <v>20887</v>
      </c>
      <c r="E32" s="168">
        <v>22818</v>
      </c>
      <c r="F32" s="250"/>
      <c r="G32" s="81"/>
    </row>
    <row r="33" spans="1:10" ht="23.25">
      <c r="A33" s="393">
        <v>607</v>
      </c>
      <c r="B33" s="401" t="s">
        <v>101</v>
      </c>
      <c r="C33" s="402">
        <v>218</v>
      </c>
      <c r="D33" s="399">
        <f>5360+919.97+525.7</f>
        <v>6805.67</v>
      </c>
      <c r="E33" s="168">
        <v>6881</v>
      </c>
      <c r="F33" s="250"/>
    </row>
    <row r="34" spans="1:10" ht="25.5" customHeight="1">
      <c r="A34" s="393" t="s">
        <v>102</v>
      </c>
      <c r="B34" s="166" t="s">
        <v>103</v>
      </c>
      <c r="C34" s="165">
        <v>219</v>
      </c>
      <c r="D34" s="399">
        <f>39570.72-D33+2164.5+2184.82+5850</f>
        <v>42964.37</v>
      </c>
      <c r="E34" s="168">
        <v>34910</v>
      </c>
      <c r="F34" s="250"/>
    </row>
    <row r="35" spans="1:10" ht="23.25">
      <c r="A35" s="394"/>
      <c r="B35" s="164" t="s">
        <v>104</v>
      </c>
      <c r="C35" s="165">
        <v>220</v>
      </c>
      <c r="D35" s="167">
        <f>+D36+D37+D38+D39</f>
        <v>347928</v>
      </c>
      <c r="E35" s="167">
        <f>+E36+E37+E38+E39</f>
        <v>1417215</v>
      </c>
      <c r="F35" s="249"/>
    </row>
    <row r="36" spans="1:10" ht="23.25">
      <c r="A36" s="393">
        <v>610</v>
      </c>
      <c r="B36" s="166" t="s">
        <v>105</v>
      </c>
      <c r="C36" s="165">
        <v>221</v>
      </c>
      <c r="D36" s="442">
        <v>0</v>
      </c>
      <c r="E36" s="168">
        <v>398446</v>
      </c>
      <c r="F36" s="250"/>
    </row>
    <row r="37" spans="1:10" ht="23.25">
      <c r="A37" s="393">
        <v>611</v>
      </c>
      <c r="B37" s="166" t="s">
        <v>106</v>
      </c>
      <c r="C37" s="165">
        <v>222</v>
      </c>
      <c r="D37" s="168"/>
      <c r="E37" s="168"/>
      <c r="F37" s="250"/>
    </row>
    <row r="38" spans="1:10" ht="23.25">
      <c r="A38" s="393">
        <v>612</v>
      </c>
      <c r="B38" s="166" t="s">
        <v>107</v>
      </c>
      <c r="C38" s="165">
        <v>223</v>
      </c>
      <c r="D38" s="168"/>
      <c r="E38" s="168"/>
      <c r="F38" s="250"/>
    </row>
    <row r="39" spans="1:10" ht="23.25">
      <c r="A39" s="393">
        <v>619</v>
      </c>
      <c r="B39" s="166" t="s">
        <v>108</v>
      </c>
      <c r="C39" s="165">
        <v>224</v>
      </c>
      <c r="D39" s="168">
        <v>347928</v>
      </c>
      <c r="E39" s="168">
        <v>1018769</v>
      </c>
      <c r="F39" s="250"/>
    </row>
    <row r="40" spans="1:10" ht="23.25">
      <c r="A40" s="485"/>
      <c r="B40" s="164" t="s">
        <v>109</v>
      </c>
      <c r="C40" s="171"/>
      <c r="D40" s="443"/>
      <c r="E40" s="168"/>
      <c r="F40" s="252"/>
      <c r="G40" s="80"/>
    </row>
    <row r="41" spans="1:10" ht="23.25">
      <c r="A41" s="485"/>
      <c r="B41" s="166" t="s">
        <v>110</v>
      </c>
      <c r="C41" s="173">
        <v>225</v>
      </c>
      <c r="D41" s="167">
        <f>IF(D17+D22-D27-D35&gt;0,D17+D22-D27-D35,0)</f>
        <v>299766.73999999976</v>
      </c>
      <c r="E41" s="167">
        <f>IF(E17+E22-E27-E35&gt;0,E17+E22-E27-E35,0)</f>
        <v>0</v>
      </c>
      <c r="F41" s="249"/>
    </row>
    <row r="42" spans="1:10" ht="23.25">
      <c r="A42" s="393"/>
      <c r="B42" s="166" t="s">
        <v>111</v>
      </c>
      <c r="C42" s="165">
        <v>226</v>
      </c>
      <c r="D42" s="167">
        <f>IF(D17+D22-D27-D35&lt;0,-D17-D22+D27+D35,0)</f>
        <v>0</v>
      </c>
      <c r="E42" s="167">
        <f>IF(E17+E22-E27-E35&lt;0,-E17-E22+E27+E35,0)</f>
        <v>749783</v>
      </c>
      <c r="F42" s="249"/>
    </row>
    <row r="43" spans="1:10" ht="23.25">
      <c r="A43" s="394"/>
      <c r="B43" s="164" t="s">
        <v>112</v>
      </c>
      <c r="C43" s="165">
        <v>227</v>
      </c>
      <c r="D43" s="167">
        <f>+D44+D45</f>
        <v>0</v>
      </c>
      <c r="E43" s="167">
        <f>+E44+E45</f>
        <v>101</v>
      </c>
      <c r="F43" s="249"/>
      <c r="G43" s="254"/>
    </row>
    <row r="44" spans="1:10" ht="23.25">
      <c r="A44" s="393">
        <v>730</v>
      </c>
      <c r="B44" s="166" t="s">
        <v>113</v>
      </c>
      <c r="C44" s="165">
        <v>228</v>
      </c>
      <c r="D44" s="168"/>
      <c r="E44" s="168">
        <v>101</v>
      </c>
      <c r="F44" s="250"/>
    </row>
    <row r="45" spans="1:10" ht="23.25">
      <c r="A45" s="393">
        <v>731</v>
      </c>
      <c r="B45" s="166" t="s">
        <v>114</v>
      </c>
      <c r="C45" s="165">
        <v>229</v>
      </c>
      <c r="D45" s="168"/>
      <c r="E45" s="168"/>
      <c r="F45" s="250"/>
    </row>
    <row r="46" spans="1:10" ht="23.25">
      <c r="A46" s="393"/>
      <c r="B46" s="164" t="s">
        <v>115</v>
      </c>
      <c r="C46" s="165">
        <v>230</v>
      </c>
      <c r="D46" s="168">
        <f>+D47+D48</f>
        <v>0</v>
      </c>
      <c r="E46" s="167">
        <f>+E47+E48</f>
        <v>0</v>
      </c>
      <c r="F46" s="250"/>
      <c r="G46" s="82"/>
      <c r="J46" s="71">
        <f>144121.53+9204+3642.53+338+11840.22</f>
        <v>169146.28</v>
      </c>
    </row>
    <row r="47" spans="1:10" ht="23.25">
      <c r="A47" s="393">
        <v>630</v>
      </c>
      <c r="B47" s="166" t="s">
        <v>116</v>
      </c>
      <c r="C47" s="165">
        <v>231</v>
      </c>
      <c r="D47" s="168"/>
      <c r="E47" s="168"/>
      <c r="F47" s="250"/>
      <c r="J47" s="254">
        <f>J46-D52</f>
        <v>169146.28</v>
      </c>
    </row>
    <row r="48" spans="1:10" ht="23.25">
      <c r="A48" s="393">
        <v>631</v>
      </c>
      <c r="B48" s="166" t="s">
        <v>117</v>
      </c>
      <c r="C48" s="165">
        <v>232</v>
      </c>
      <c r="D48" s="168"/>
      <c r="E48" s="168"/>
      <c r="F48" s="250"/>
    </row>
    <row r="49" spans="1:7" ht="46.5">
      <c r="A49" s="486"/>
      <c r="B49" s="174" t="s">
        <v>118</v>
      </c>
      <c r="C49" s="175"/>
      <c r="D49" s="172"/>
      <c r="E49" s="168"/>
      <c r="F49" s="253"/>
    </row>
    <row r="50" spans="1:7" ht="23.25">
      <c r="A50" s="486"/>
      <c r="B50" s="176" t="s">
        <v>616</v>
      </c>
      <c r="C50" s="177"/>
      <c r="D50" s="168"/>
      <c r="E50" s="168"/>
      <c r="F50" s="250"/>
    </row>
    <row r="51" spans="1:7" ht="23.25">
      <c r="A51" s="484"/>
      <c r="B51" s="178" t="s">
        <v>119</v>
      </c>
      <c r="C51" s="179">
        <v>233</v>
      </c>
      <c r="D51" s="167">
        <f>IF(D41-D42+D43-D46&gt;0,D41-D42+D43-D46,0)</f>
        <v>299766.73999999976</v>
      </c>
      <c r="E51" s="167">
        <f>IF(E41-E42+E43-E46&gt;0,E41-E42+E43-E46,0)</f>
        <v>0</v>
      </c>
      <c r="F51" s="249"/>
    </row>
    <row r="52" spans="1:7" ht="23.25">
      <c r="A52" s="394"/>
      <c r="B52" s="166" t="s">
        <v>120</v>
      </c>
      <c r="C52" s="165">
        <v>234</v>
      </c>
      <c r="D52" s="167">
        <f>IF(D41-D42+D43-D46&lt;0,-D41+D42-D43+D46,0)</f>
        <v>0</v>
      </c>
      <c r="E52" s="167">
        <f>IF(E41-E42+E43-E46&lt;0,-E41+E42-E43+E46,0)</f>
        <v>749682</v>
      </c>
      <c r="F52" s="249"/>
    </row>
    <row r="53" spans="1:7" ht="23.25">
      <c r="A53" s="394"/>
      <c r="B53" s="164" t="s">
        <v>121</v>
      </c>
      <c r="C53" s="165">
        <v>235</v>
      </c>
      <c r="D53" s="168"/>
      <c r="E53" s="168"/>
      <c r="F53" s="250"/>
    </row>
    <row r="54" spans="1:7" ht="23.25">
      <c r="A54" s="393">
        <v>821</v>
      </c>
      <c r="B54" s="166" t="s">
        <v>122</v>
      </c>
      <c r="C54" s="165">
        <v>236</v>
      </c>
      <c r="D54" s="168"/>
      <c r="E54" s="168"/>
      <c r="F54" s="250"/>
    </row>
    <row r="55" spans="1:7" ht="23.25">
      <c r="A55" s="393" t="s">
        <v>123</v>
      </c>
      <c r="B55" s="166" t="s">
        <v>124</v>
      </c>
      <c r="C55" s="165">
        <v>237</v>
      </c>
      <c r="D55" s="168"/>
      <c r="E55" s="168"/>
      <c r="F55" s="250"/>
    </row>
    <row r="56" spans="1:7" ht="23.25">
      <c r="A56" s="393" t="s">
        <v>123</v>
      </c>
      <c r="B56" s="166" t="s">
        <v>125</v>
      </c>
      <c r="C56" s="165">
        <v>238</v>
      </c>
      <c r="D56" s="168"/>
      <c r="E56" s="168"/>
      <c r="F56" s="250"/>
    </row>
    <row r="57" spans="1:7" ht="23.25" customHeight="1">
      <c r="A57" s="485"/>
      <c r="B57" s="164" t="s">
        <v>126</v>
      </c>
      <c r="C57" s="175"/>
      <c r="D57" s="172"/>
      <c r="E57" s="168"/>
      <c r="F57" s="253"/>
    </row>
    <row r="58" spans="1:7" ht="23.25">
      <c r="A58" s="485"/>
      <c r="B58" s="166" t="s">
        <v>617</v>
      </c>
      <c r="C58" s="165"/>
      <c r="D58" s="168"/>
      <c r="E58" s="168"/>
      <c r="F58" s="250"/>
    </row>
    <row r="59" spans="1:7" ht="23.25">
      <c r="A59" s="485"/>
      <c r="B59" s="166" t="s">
        <v>127</v>
      </c>
      <c r="C59" s="165">
        <v>239</v>
      </c>
      <c r="D59" s="167">
        <f>+D51-D52-D54+D55+D56</f>
        <v>299766.73999999976</v>
      </c>
      <c r="E59" s="167"/>
      <c r="F59" s="249"/>
    </row>
    <row r="60" spans="1:7" ht="23.25">
      <c r="A60" s="485"/>
      <c r="B60" s="166" t="s">
        <v>618</v>
      </c>
      <c r="C60" s="180"/>
      <c r="D60" s="172"/>
      <c r="E60" s="168"/>
      <c r="F60" s="253"/>
    </row>
    <row r="61" spans="1:7" ht="23.25">
      <c r="A61" s="485"/>
      <c r="B61" s="166" t="s">
        <v>128</v>
      </c>
      <c r="C61" s="179">
        <v>240</v>
      </c>
      <c r="D61" s="167"/>
      <c r="E61" s="167">
        <f>+E51-E52-E54-E55+E56</f>
        <v>-749682</v>
      </c>
      <c r="F61" s="249"/>
      <c r="G61" s="254"/>
    </row>
    <row r="62" spans="1:7" ht="23.25">
      <c r="A62" s="164"/>
      <c r="B62" s="164" t="s">
        <v>129</v>
      </c>
      <c r="C62" s="181"/>
      <c r="D62" s="172"/>
      <c r="E62" s="168"/>
      <c r="F62" s="253"/>
    </row>
    <row r="63" spans="1:7" ht="23.25">
      <c r="A63" s="182"/>
      <c r="B63" s="164" t="s">
        <v>130</v>
      </c>
      <c r="C63" s="179">
        <v>241</v>
      </c>
      <c r="D63" s="167">
        <f>+D64+D65+D66+D67+D68+D69</f>
        <v>461705.14</v>
      </c>
      <c r="E63" s="167">
        <f>+E64+E65+E66+E67+E68+E69</f>
        <v>323852</v>
      </c>
      <c r="F63" s="249"/>
    </row>
    <row r="64" spans="1:7" ht="23.25">
      <c r="A64" s="393">
        <v>720</v>
      </c>
      <c r="B64" s="166" t="s">
        <v>131</v>
      </c>
      <c r="C64" s="165">
        <v>242</v>
      </c>
      <c r="D64" s="168">
        <v>461705.14</v>
      </c>
      <c r="E64" s="168">
        <v>323852</v>
      </c>
      <c r="F64" s="250"/>
    </row>
    <row r="65" spans="1:12" ht="46.5">
      <c r="A65" s="393">
        <v>721</v>
      </c>
      <c r="B65" s="166" t="s">
        <v>331</v>
      </c>
      <c r="C65" s="165">
        <v>243</v>
      </c>
      <c r="D65" s="168"/>
      <c r="E65" s="168"/>
      <c r="F65" s="250"/>
    </row>
    <row r="66" spans="1:12" ht="28.5" customHeight="1">
      <c r="A66" s="393">
        <v>722</v>
      </c>
      <c r="B66" s="166" t="s">
        <v>132</v>
      </c>
      <c r="C66" s="165">
        <v>244</v>
      </c>
      <c r="D66" s="168"/>
      <c r="E66" s="168"/>
      <c r="F66" s="250"/>
    </row>
    <row r="67" spans="1:12" ht="46.5">
      <c r="A67" s="393">
        <v>723</v>
      </c>
      <c r="B67" s="166" t="s">
        <v>133</v>
      </c>
      <c r="C67" s="165">
        <v>245</v>
      </c>
      <c r="D67" s="168"/>
      <c r="E67" s="168"/>
      <c r="F67" s="250"/>
      <c r="K67" s="71">
        <v>419855.77</v>
      </c>
      <c r="L67" s="71">
        <v>2714.47</v>
      </c>
    </row>
    <row r="68" spans="1:12" ht="23.25">
      <c r="A68" s="393">
        <v>724</v>
      </c>
      <c r="B68" s="166" t="s">
        <v>134</v>
      </c>
      <c r="C68" s="165">
        <v>246</v>
      </c>
      <c r="D68" s="168"/>
      <c r="E68" s="168"/>
      <c r="F68" s="250"/>
      <c r="K68" s="71">
        <v>27611.96</v>
      </c>
      <c r="L68" s="71">
        <v>17097.95</v>
      </c>
    </row>
    <row r="69" spans="1:12" ht="23.25">
      <c r="A69" s="393">
        <v>729</v>
      </c>
      <c r="B69" s="166" t="s">
        <v>135</v>
      </c>
      <c r="C69" s="165">
        <v>247</v>
      </c>
      <c r="D69" s="168"/>
      <c r="E69" s="168"/>
      <c r="F69" s="250"/>
      <c r="K69" s="71">
        <v>2164.5</v>
      </c>
      <c r="L69" s="71">
        <v>666797.56000000006</v>
      </c>
    </row>
    <row r="70" spans="1:12" ht="23.25">
      <c r="A70" s="394"/>
      <c r="B70" s="164" t="s">
        <v>136</v>
      </c>
      <c r="C70" s="165">
        <v>248</v>
      </c>
      <c r="D70" s="167">
        <f>+D71+D72+D73+D74+D75+D76</f>
        <v>640742.31000000006</v>
      </c>
      <c r="E70" s="167">
        <f>+E71+E72+E73+E74+E75+E76</f>
        <v>716592</v>
      </c>
      <c r="F70" s="249"/>
      <c r="K70" s="71">
        <v>17785.78</v>
      </c>
      <c r="L70" s="71">
        <f>SUM(L67:L69)</f>
        <v>686609.9800000001</v>
      </c>
    </row>
    <row r="71" spans="1:12" ht="23.25">
      <c r="A71" s="393">
        <v>620</v>
      </c>
      <c r="B71" s="166" t="s">
        <v>137</v>
      </c>
      <c r="C71" s="165">
        <v>249</v>
      </c>
      <c r="D71" s="168">
        <v>640742.31000000006</v>
      </c>
      <c r="E71" s="168">
        <v>716592</v>
      </c>
      <c r="F71" s="250"/>
      <c r="K71" s="71">
        <v>1103.95</v>
      </c>
    </row>
    <row r="72" spans="1:12" ht="46.5">
      <c r="A72" s="393">
        <v>621</v>
      </c>
      <c r="B72" s="166" t="s">
        <v>332</v>
      </c>
      <c r="C72" s="165">
        <v>250</v>
      </c>
      <c r="D72" s="168"/>
      <c r="E72" s="168"/>
      <c r="F72" s="250"/>
      <c r="K72" s="71">
        <v>31184.73</v>
      </c>
      <c r="L72" s="71">
        <f>+L70-K74</f>
        <v>-161024.70999999985</v>
      </c>
    </row>
    <row r="73" spans="1:12" ht="23.25" customHeight="1">
      <c r="A73" s="393">
        <v>622</v>
      </c>
      <c r="B73" s="166" t="s">
        <v>138</v>
      </c>
      <c r="C73" s="165">
        <v>251</v>
      </c>
      <c r="D73" s="168"/>
      <c r="E73" s="168"/>
      <c r="F73" s="250"/>
      <c r="K73" s="71">
        <v>347928</v>
      </c>
    </row>
    <row r="74" spans="1:12" ht="23.25">
      <c r="A74" s="393">
        <v>623</v>
      </c>
      <c r="B74" s="166" t="s">
        <v>139</v>
      </c>
      <c r="C74" s="165">
        <v>252</v>
      </c>
      <c r="D74" s="168"/>
      <c r="E74" s="168"/>
      <c r="F74" s="250"/>
      <c r="K74" s="71">
        <f>SUM(K67:K73)</f>
        <v>847634.69</v>
      </c>
    </row>
    <row r="75" spans="1:12" ht="23.25">
      <c r="A75" s="393">
        <v>624</v>
      </c>
      <c r="B75" s="166" t="s">
        <v>140</v>
      </c>
      <c r="C75" s="165">
        <v>253</v>
      </c>
      <c r="D75" s="168"/>
      <c r="E75" s="168"/>
      <c r="F75" s="250"/>
    </row>
    <row r="76" spans="1:12" ht="23.25">
      <c r="A76" s="393">
        <v>629</v>
      </c>
      <c r="B76" s="166" t="s">
        <v>141</v>
      </c>
      <c r="C76" s="165">
        <v>254</v>
      </c>
      <c r="D76" s="168"/>
      <c r="E76" s="168"/>
      <c r="F76" s="250"/>
    </row>
    <row r="77" spans="1:12" ht="46.5">
      <c r="A77" s="393"/>
      <c r="B77" s="164" t="s">
        <v>142</v>
      </c>
      <c r="C77" s="175"/>
      <c r="D77" s="168"/>
      <c r="E77" s="168"/>
      <c r="F77" s="250"/>
    </row>
    <row r="78" spans="1:12" ht="23.25">
      <c r="A78" s="393"/>
      <c r="B78" s="166" t="s">
        <v>143</v>
      </c>
      <c r="C78" s="165">
        <v>255</v>
      </c>
      <c r="D78" s="167"/>
      <c r="E78" s="167"/>
      <c r="F78" s="249"/>
      <c r="G78" s="133"/>
    </row>
    <row r="79" spans="1:12" ht="23.25">
      <c r="A79" s="393"/>
      <c r="B79" s="166" t="s">
        <v>144</v>
      </c>
      <c r="C79" s="165">
        <v>256</v>
      </c>
      <c r="D79" s="255">
        <f>D71-D64</f>
        <v>179037.17000000004</v>
      </c>
      <c r="E79" s="255">
        <f>E71-E64</f>
        <v>392740</v>
      </c>
      <c r="F79" s="250"/>
      <c r="G79" s="133"/>
    </row>
    <row r="80" spans="1:12" ht="46.5">
      <c r="A80" s="484"/>
      <c r="B80" s="164" t="s">
        <v>552</v>
      </c>
      <c r="C80" s="175"/>
      <c r="D80" s="168"/>
      <c r="E80" s="168"/>
      <c r="F80" s="250"/>
    </row>
    <row r="81" spans="1:7" ht="23.25">
      <c r="A81" s="484"/>
      <c r="B81" s="166" t="s">
        <v>145</v>
      </c>
      <c r="C81" s="173">
        <v>257</v>
      </c>
      <c r="D81" s="183">
        <f>+D59-D61+D78-D79</f>
        <v>120729.56999999972</v>
      </c>
      <c r="E81" s="167"/>
    </row>
    <row r="82" spans="1:7" ht="23.25">
      <c r="A82" s="393"/>
      <c r="B82" s="166" t="s">
        <v>146</v>
      </c>
      <c r="C82" s="165">
        <v>258</v>
      </c>
      <c r="D82" s="167"/>
      <c r="E82" s="167">
        <f>E61-E79-1</f>
        <v>-1142423</v>
      </c>
      <c r="F82" s="249"/>
      <c r="G82" s="254"/>
    </row>
    <row r="83" spans="1:7" ht="23.25">
      <c r="A83" s="393"/>
      <c r="B83" s="166" t="s">
        <v>147</v>
      </c>
      <c r="C83" s="165">
        <v>259</v>
      </c>
      <c r="D83" s="167"/>
      <c r="E83" s="168"/>
      <c r="F83" s="249"/>
    </row>
    <row r="84" spans="1:7" ht="23.25">
      <c r="A84" s="393"/>
      <c r="B84" s="166"/>
      <c r="C84" s="165">
        <v>260</v>
      </c>
      <c r="D84" s="168"/>
      <c r="E84" s="168"/>
      <c r="F84" s="250"/>
    </row>
    <row r="85" spans="1:7" ht="23.25">
      <c r="A85" s="175"/>
      <c r="B85" s="175"/>
      <c r="C85" s="175"/>
      <c r="D85" s="175"/>
      <c r="E85" s="175"/>
    </row>
    <row r="86" spans="1:7" ht="29.25" customHeight="1">
      <c r="A86" s="441" t="s">
        <v>623</v>
      </c>
      <c r="B86" s="395" t="s">
        <v>637</v>
      </c>
      <c r="C86" s="487" t="s">
        <v>600</v>
      </c>
      <c r="D86" s="487"/>
      <c r="E86" s="487"/>
    </row>
    <row r="87" spans="1:7" ht="20.25" customHeight="1">
      <c r="A87" s="441" t="s">
        <v>661</v>
      </c>
      <c r="B87" s="180" t="s">
        <v>264</v>
      </c>
      <c r="C87" s="395"/>
      <c r="D87" s="483" t="s">
        <v>263</v>
      </c>
      <c r="E87" s="483"/>
    </row>
    <row r="88" spans="1:7" ht="23.25">
      <c r="A88" s="184"/>
      <c r="B88" s="175"/>
      <c r="C88" s="277" t="s">
        <v>82</v>
      </c>
      <c r="D88" s="175"/>
      <c r="E88" s="175"/>
    </row>
    <row r="89" spans="1:7" ht="23.25">
      <c r="A89" s="184"/>
      <c r="B89" s="175"/>
      <c r="C89" s="175"/>
      <c r="D89" s="175"/>
      <c r="E89" s="175"/>
    </row>
    <row r="90" spans="1:7" ht="23.25">
      <c r="A90" s="175"/>
      <c r="B90" s="175"/>
      <c r="C90" s="175"/>
      <c r="D90" s="175"/>
      <c r="E90" s="175"/>
    </row>
    <row r="91" spans="1:7" ht="23.25">
      <c r="A91" s="175"/>
      <c r="B91" s="175"/>
      <c r="C91" s="175"/>
      <c r="D91" s="175"/>
      <c r="E91" s="175"/>
    </row>
  </sheetData>
  <mergeCells count="7">
    <mergeCell ref="D87:E87"/>
    <mergeCell ref="A80:A81"/>
    <mergeCell ref="A40:A41"/>
    <mergeCell ref="A49:A51"/>
    <mergeCell ref="A57:A59"/>
    <mergeCell ref="A60:A61"/>
    <mergeCell ref="C86:E86"/>
  </mergeCells>
  <phoneticPr fontId="0" type="noConversion"/>
  <pageMargins left="0.47244094488188981" right="0.43307086614173229" top="0.23622047244094491" bottom="0.34" header="0.19685039370078741" footer="0.31496062992125984"/>
  <pageSetup paperSize="9" scale="3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2:M115"/>
  <sheetViews>
    <sheetView topLeftCell="A58" zoomScaleNormal="100" workbookViewId="0">
      <selection activeCell="G79" sqref="G79"/>
    </sheetView>
  </sheetViews>
  <sheetFormatPr defaultRowHeight="15"/>
  <cols>
    <col min="1" max="16384" width="9.140625" style="107"/>
  </cols>
  <sheetData>
    <row r="2" spans="3:13" ht="15.75">
      <c r="C2" s="108" t="s">
        <v>333</v>
      </c>
      <c r="D2" s="108"/>
      <c r="E2" s="108"/>
      <c r="F2" s="121"/>
      <c r="G2" s="108"/>
      <c r="H2" s="108"/>
      <c r="I2" s="122"/>
      <c r="J2" s="122"/>
    </row>
    <row r="3" spans="3:13" ht="15.75">
      <c r="C3" s="108" t="s">
        <v>334</v>
      </c>
      <c r="D3" s="108"/>
      <c r="E3" s="108"/>
      <c r="F3" s="121"/>
      <c r="G3" s="108"/>
      <c r="H3" s="108"/>
      <c r="I3" s="122"/>
      <c r="J3" s="122"/>
    </row>
    <row r="4" spans="3:13" ht="15.75">
      <c r="C4" s="108" t="s">
        <v>335</v>
      </c>
      <c r="D4" s="108"/>
      <c r="E4" s="108"/>
      <c r="F4" s="121"/>
      <c r="G4" s="108"/>
      <c r="H4" s="108"/>
      <c r="I4" s="122"/>
      <c r="J4" s="122"/>
    </row>
    <row r="5" spans="3:13" ht="15.75">
      <c r="C5" s="108" t="s">
        <v>602</v>
      </c>
      <c r="D5" s="108"/>
      <c r="E5" s="108"/>
      <c r="F5" s="121"/>
      <c r="G5" s="108"/>
      <c r="H5" s="108"/>
      <c r="I5" s="122"/>
      <c r="J5" s="122"/>
    </row>
    <row r="6" spans="3:13" ht="15.75">
      <c r="C6" s="108" t="s">
        <v>336</v>
      </c>
      <c r="D6" s="108"/>
      <c r="E6" s="108"/>
      <c r="F6" s="121"/>
      <c r="G6" s="123"/>
      <c r="H6" s="108"/>
      <c r="I6" s="122"/>
      <c r="J6" s="122"/>
    </row>
    <row r="7" spans="3:13" ht="15.75">
      <c r="C7" s="108" t="s">
        <v>337</v>
      </c>
      <c r="D7" s="108"/>
      <c r="E7" s="108"/>
      <c r="F7" s="121"/>
      <c r="G7" s="123"/>
      <c r="H7" s="108"/>
      <c r="I7" s="122"/>
      <c r="J7" s="122"/>
    </row>
    <row r="9" spans="3:13" ht="15.75">
      <c r="C9" s="638" t="s">
        <v>495</v>
      </c>
      <c r="D9" s="638"/>
      <c r="E9" s="638"/>
      <c r="F9" s="638"/>
      <c r="G9" s="638"/>
      <c r="H9" s="638"/>
      <c r="I9" s="638"/>
      <c r="J9" s="638"/>
      <c r="K9" s="638"/>
      <c r="L9" s="638"/>
      <c r="M9" s="638"/>
    </row>
    <row r="11" spans="3:13" ht="15.75">
      <c r="C11" s="110" t="s">
        <v>674</v>
      </c>
    </row>
    <row r="12" spans="3:13" ht="15.75" thickBot="1"/>
    <row r="13" spans="3:13" ht="30">
      <c r="C13" s="318" t="s">
        <v>496</v>
      </c>
      <c r="D13" s="632" t="s">
        <v>497</v>
      </c>
      <c r="E13" s="632"/>
      <c r="F13" s="632" t="s">
        <v>217</v>
      </c>
      <c r="G13" s="632"/>
      <c r="H13" s="632" t="s">
        <v>240</v>
      </c>
      <c r="I13" s="632"/>
      <c r="J13" s="632" t="s">
        <v>241</v>
      </c>
      <c r="K13" s="632"/>
      <c r="L13" s="632" t="s">
        <v>498</v>
      </c>
      <c r="M13" s="633"/>
    </row>
    <row r="14" spans="3:13">
      <c r="C14" s="320">
        <v>1</v>
      </c>
      <c r="D14" s="626">
        <v>2</v>
      </c>
      <c r="E14" s="626"/>
      <c r="F14" s="626">
        <v>3</v>
      </c>
      <c r="G14" s="626"/>
      <c r="H14" s="626">
        <v>4</v>
      </c>
      <c r="I14" s="626"/>
      <c r="J14" s="626">
        <v>5</v>
      </c>
      <c r="K14" s="626"/>
      <c r="L14" s="626">
        <v>6</v>
      </c>
      <c r="M14" s="627"/>
    </row>
    <row r="15" spans="3:13">
      <c r="C15" s="320">
        <v>1</v>
      </c>
      <c r="D15" s="626" t="s">
        <v>499</v>
      </c>
      <c r="E15" s="626"/>
      <c r="F15" s="626"/>
      <c r="G15" s="626"/>
      <c r="H15" s="626"/>
      <c r="I15" s="626"/>
      <c r="J15" s="626"/>
      <c r="K15" s="626"/>
      <c r="L15" s="626"/>
      <c r="M15" s="627"/>
    </row>
    <row r="16" spans="3:13">
      <c r="C16" s="320">
        <v>2</v>
      </c>
      <c r="D16" s="626" t="s">
        <v>500</v>
      </c>
      <c r="E16" s="626"/>
      <c r="F16" s="626"/>
      <c r="G16" s="626"/>
      <c r="H16" s="626"/>
      <c r="I16" s="626"/>
      <c r="J16" s="626"/>
      <c r="K16" s="626"/>
      <c r="L16" s="626"/>
      <c r="M16" s="627"/>
    </row>
    <row r="17" spans="3:13">
      <c r="C17" s="320">
        <v>3</v>
      </c>
      <c r="D17" s="626" t="s">
        <v>501</v>
      </c>
      <c r="E17" s="626"/>
      <c r="F17" s="626"/>
      <c r="G17" s="626"/>
      <c r="H17" s="626"/>
      <c r="I17" s="626"/>
      <c r="J17" s="626"/>
      <c r="K17" s="626"/>
      <c r="L17" s="626"/>
      <c r="M17" s="627"/>
    </row>
    <row r="18" spans="3:13" ht="15.75" thickBot="1">
      <c r="C18" s="111"/>
      <c r="D18" s="604" t="s">
        <v>502</v>
      </c>
      <c r="E18" s="604"/>
      <c r="F18" s="604"/>
      <c r="G18" s="604"/>
      <c r="H18" s="604"/>
      <c r="I18" s="604"/>
      <c r="J18" s="604"/>
      <c r="K18" s="604"/>
      <c r="L18" s="604"/>
      <c r="M18" s="605"/>
    </row>
    <row r="20" spans="3:13" ht="15.75" thickBot="1"/>
    <row r="21" spans="3:13" ht="30">
      <c r="C21" s="318" t="s">
        <v>496</v>
      </c>
      <c r="D21" s="632" t="s">
        <v>503</v>
      </c>
      <c r="E21" s="632"/>
      <c r="F21" s="632" t="s">
        <v>242</v>
      </c>
      <c r="G21" s="632"/>
      <c r="H21" s="632" t="s">
        <v>504</v>
      </c>
      <c r="I21" s="632"/>
      <c r="J21" s="632" t="s">
        <v>505</v>
      </c>
      <c r="K21" s="633"/>
    </row>
    <row r="22" spans="3:13">
      <c r="C22" s="320">
        <v>1</v>
      </c>
      <c r="D22" s="626">
        <v>2</v>
      </c>
      <c r="E22" s="626"/>
      <c r="F22" s="626">
        <v>3</v>
      </c>
      <c r="G22" s="626"/>
      <c r="H22" s="626">
        <v>4</v>
      </c>
      <c r="I22" s="626"/>
      <c r="J22" s="626">
        <v>5</v>
      </c>
      <c r="K22" s="627"/>
    </row>
    <row r="23" spans="3:13">
      <c r="C23" s="112"/>
      <c r="D23" s="626" t="s">
        <v>505</v>
      </c>
      <c r="E23" s="626"/>
      <c r="F23" s="626"/>
      <c r="G23" s="626"/>
      <c r="H23" s="626"/>
      <c r="I23" s="626"/>
      <c r="J23" s="626"/>
      <c r="K23" s="627"/>
    </row>
    <row r="24" spans="3:13">
      <c r="C24" s="320">
        <v>1</v>
      </c>
      <c r="D24" s="626" t="s">
        <v>499</v>
      </c>
      <c r="E24" s="626"/>
      <c r="F24" s="626"/>
      <c r="G24" s="626"/>
      <c r="H24" s="626"/>
      <c r="I24" s="626"/>
      <c r="J24" s="626"/>
      <c r="K24" s="627"/>
    </row>
    <row r="25" spans="3:13">
      <c r="C25" s="320">
        <v>2</v>
      </c>
      <c r="D25" s="626" t="s">
        <v>500</v>
      </c>
      <c r="E25" s="626"/>
      <c r="F25" s="626"/>
      <c r="G25" s="626"/>
      <c r="H25" s="626"/>
      <c r="I25" s="626"/>
      <c r="J25" s="626"/>
      <c r="K25" s="627"/>
    </row>
    <row r="26" spans="3:13">
      <c r="C26" s="320">
        <v>3</v>
      </c>
      <c r="D26" s="626" t="s">
        <v>501</v>
      </c>
      <c r="E26" s="626"/>
      <c r="F26" s="626"/>
      <c r="G26" s="626"/>
      <c r="H26" s="626"/>
      <c r="I26" s="626"/>
      <c r="J26" s="626"/>
      <c r="K26" s="627"/>
    </row>
    <row r="27" spans="3:13" ht="15.75" thickBot="1">
      <c r="C27" s="321">
        <v>4</v>
      </c>
      <c r="D27" s="604" t="s">
        <v>506</v>
      </c>
      <c r="E27" s="604"/>
      <c r="F27" s="604"/>
      <c r="G27" s="604"/>
      <c r="H27" s="604"/>
      <c r="I27" s="604"/>
      <c r="J27" s="604"/>
      <c r="K27" s="605"/>
    </row>
    <row r="28" spans="3:13">
      <c r="D28" s="113"/>
    </row>
    <row r="29" spans="3:13" ht="15.75" thickBot="1"/>
    <row r="30" spans="3:13" ht="30">
      <c r="C30" s="318" t="s">
        <v>496</v>
      </c>
      <c r="D30" s="632" t="s">
        <v>507</v>
      </c>
      <c r="E30" s="632"/>
      <c r="F30" s="632" t="s">
        <v>508</v>
      </c>
      <c r="G30" s="632"/>
      <c r="H30" s="632" t="s">
        <v>243</v>
      </c>
      <c r="I30" s="632"/>
      <c r="J30" s="632" t="s">
        <v>244</v>
      </c>
      <c r="K30" s="633"/>
    </row>
    <row r="31" spans="3:13">
      <c r="C31" s="320">
        <v>1</v>
      </c>
      <c r="D31" s="626" t="s">
        <v>509</v>
      </c>
      <c r="E31" s="626"/>
      <c r="F31" s="626"/>
      <c r="G31" s="626"/>
      <c r="H31" s="626"/>
      <c r="I31" s="626"/>
      <c r="J31" s="626"/>
      <c r="K31" s="627"/>
    </row>
    <row r="32" spans="3:13">
      <c r="C32" s="320">
        <v>2</v>
      </c>
      <c r="D32" s="626" t="s">
        <v>510</v>
      </c>
      <c r="E32" s="626"/>
      <c r="F32" s="626"/>
      <c r="G32" s="626"/>
      <c r="H32" s="626"/>
      <c r="I32" s="626"/>
      <c r="J32" s="626"/>
      <c r="K32" s="627"/>
    </row>
    <row r="33" spans="2:13">
      <c r="C33" s="320">
        <v>3</v>
      </c>
      <c r="D33" s="626" t="s">
        <v>511</v>
      </c>
      <c r="E33" s="626"/>
      <c r="F33" s="626"/>
      <c r="G33" s="626"/>
      <c r="H33" s="626"/>
      <c r="I33" s="626"/>
      <c r="J33" s="626"/>
      <c r="K33" s="627"/>
    </row>
    <row r="34" spans="2:13" ht="15.75" thickBot="1">
      <c r="C34" s="321">
        <v>4</v>
      </c>
      <c r="D34" s="604" t="s">
        <v>245</v>
      </c>
      <c r="E34" s="604"/>
      <c r="F34" s="604"/>
      <c r="G34" s="604"/>
      <c r="H34" s="604"/>
      <c r="I34" s="604"/>
      <c r="J34" s="604"/>
      <c r="K34" s="605"/>
    </row>
    <row r="35" spans="2:13">
      <c r="C35" s="114"/>
      <c r="D35" s="114"/>
      <c r="E35" s="114"/>
      <c r="F35" s="114"/>
      <c r="G35" s="114"/>
      <c r="H35" s="114"/>
      <c r="I35" s="114"/>
      <c r="J35" s="114"/>
      <c r="K35" s="114"/>
    </row>
    <row r="37" spans="2:13" ht="15.75">
      <c r="B37" s="64" t="s">
        <v>675</v>
      </c>
      <c r="D37" s="64"/>
      <c r="E37" s="64"/>
      <c r="F37" s="64"/>
      <c r="G37" s="64"/>
      <c r="H37" s="64"/>
      <c r="I37" s="64"/>
      <c r="J37" s="64"/>
      <c r="K37" s="64"/>
      <c r="L37" s="64"/>
      <c r="M37" s="64"/>
    </row>
    <row r="38" spans="2:13" ht="15.75" thickBot="1"/>
    <row r="39" spans="2:13" ht="45">
      <c r="C39" s="631" t="s">
        <v>239</v>
      </c>
      <c r="D39" s="632"/>
      <c r="E39" s="316" t="s">
        <v>246</v>
      </c>
      <c r="F39" s="632" t="s">
        <v>247</v>
      </c>
      <c r="G39" s="632"/>
      <c r="H39" s="632" t="s">
        <v>219</v>
      </c>
      <c r="I39" s="632"/>
      <c r="J39" s="632" t="s">
        <v>248</v>
      </c>
      <c r="K39" s="632"/>
      <c r="L39" s="632" t="s">
        <v>512</v>
      </c>
      <c r="M39" s="633"/>
    </row>
    <row r="40" spans="2:13">
      <c r="C40" s="636" t="s">
        <v>513</v>
      </c>
      <c r="D40" s="628"/>
      <c r="E40" s="317"/>
      <c r="F40" s="628"/>
      <c r="G40" s="628"/>
      <c r="H40" s="628"/>
      <c r="I40" s="628"/>
      <c r="J40" s="628"/>
      <c r="K40" s="628"/>
      <c r="L40" s="628"/>
      <c r="M40" s="629"/>
    </row>
    <row r="41" spans="2:13">
      <c r="C41" s="636" t="s">
        <v>499</v>
      </c>
      <c r="D41" s="628"/>
      <c r="E41" s="317"/>
      <c r="F41" s="628"/>
      <c r="G41" s="628"/>
      <c r="H41" s="628"/>
      <c r="I41" s="628"/>
      <c r="J41" s="628"/>
      <c r="K41" s="628"/>
      <c r="L41" s="628"/>
      <c r="M41" s="629"/>
    </row>
    <row r="42" spans="2:13">
      <c r="C42" s="636" t="s">
        <v>500</v>
      </c>
      <c r="D42" s="628"/>
      <c r="E42" s="317"/>
      <c r="F42" s="628"/>
      <c r="G42" s="628"/>
      <c r="H42" s="628"/>
      <c r="I42" s="628"/>
      <c r="J42" s="628"/>
      <c r="K42" s="628"/>
      <c r="L42" s="628"/>
      <c r="M42" s="629"/>
    </row>
    <row r="43" spans="2:13">
      <c r="C43" s="636" t="s">
        <v>501</v>
      </c>
      <c r="D43" s="628"/>
      <c r="E43" s="317"/>
      <c r="F43" s="628"/>
      <c r="G43" s="628"/>
      <c r="H43" s="628"/>
      <c r="I43" s="628"/>
      <c r="J43" s="628"/>
      <c r="K43" s="628"/>
      <c r="L43" s="628"/>
      <c r="M43" s="629"/>
    </row>
    <row r="44" spans="2:13">
      <c r="C44" s="636" t="s">
        <v>249</v>
      </c>
      <c r="D44" s="628"/>
      <c r="E44" s="317"/>
      <c r="F44" s="628"/>
      <c r="G44" s="628"/>
      <c r="H44" s="628"/>
      <c r="I44" s="628"/>
      <c r="J44" s="628"/>
      <c r="K44" s="628"/>
      <c r="L44" s="628"/>
      <c r="M44" s="629"/>
    </row>
    <row r="45" spans="2:13">
      <c r="C45" s="636" t="s">
        <v>514</v>
      </c>
      <c r="D45" s="628"/>
      <c r="E45" s="317"/>
      <c r="F45" s="628"/>
      <c r="G45" s="628"/>
      <c r="H45" s="628"/>
      <c r="I45" s="628"/>
      <c r="J45" s="628"/>
      <c r="K45" s="628"/>
      <c r="L45" s="628"/>
      <c r="M45" s="629"/>
    </row>
    <row r="46" spans="2:13">
      <c r="C46" s="636" t="s">
        <v>509</v>
      </c>
      <c r="D46" s="628"/>
      <c r="E46" s="317"/>
      <c r="F46" s="628"/>
      <c r="G46" s="628"/>
      <c r="H46" s="628"/>
      <c r="I46" s="628"/>
      <c r="J46" s="628"/>
      <c r="K46" s="628"/>
      <c r="L46" s="628"/>
      <c r="M46" s="629"/>
    </row>
    <row r="47" spans="2:13">
      <c r="C47" s="636" t="s">
        <v>515</v>
      </c>
      <c r="D47" s="628"/>
      <c r="E47" s="317"/>
      <c r="F47" s="628"/>
      <c r="G47" s="628"/>
      <c r="H47" s="628"/>
      <c r="I47" s="628"/>
      <c r="J47" s="628"/>
      <c r="K47" s="628"/>
      <c r="L47" s="628"/>
      <c r="M47" s="629"/>
    </row>
    <row r="48" spans="2:13">
      <c r="C48" s="636" t="s">
        <v>511</v>
      </c>
      <c r="D48" s="628"/>
      <c r="E48" s="317"/>
      <c r="F48" s="628"/>
      <c r="G48" s="628"/>
      <c r="H48" s="628"/>
      <c r="I48" s="628"/>
      <c r="J48" s="628"/>
      <c r="K48" s="628"/>
      <c r="L48" s="628"/>
      <c r="M48" s="629"/>
    </row>
    <row r="49" spans="3:13" ht="15.75" thickBot="1">
      <c r="C49" s="637" t="s">
        <v>249</v>
      </c>
      <c r="D49" s="634"/>
      <c r="E49" s="319"/>
      <c r="F49" s="634"/>
      <c r="G49" s="634"/>
      <c r="H49" s="634"/>
      <c r="I49" s="634"/>
      <c r="J49" s="634"/>
      <c r="K49" s="634"/>
      <c r="L49" s="634"/>
      <c r="M49" s="635"/>
    </row>
    <row r="52" spans="3:13" ht="15.75">
      <c r="C52" s="64" t="s">
        <v>676</v>
      </c>
      <c r="D52" s="64"/>
      <c r="E52" s="64"/>
      <c r="F52" s="64"/>
      <c r="G52" s="64"/>
      <c r="H52" s="64"/>
      <c r="I52" s="64"/>
      <c r="J52" s="64"/>
      <c r="K52" s="64"/>
    </row>
    <row r="53" spans="3:13" ht="15.75" thickBot="1"/>
    <row r="54" spans="3:13">
      <c r="C54" s="631" t="s">
        <v>239</v>
      </c>
      <c r="D54" s="632"/>
      <c r="E54" s="632"/>
      <c r="F54" s="632" t="s">
        <v>250</v>
      </c>
      <c r="G54" s="632"/>
      <c r="H54" s="632" t="s">
        <v>248</v>
      </c>
      <c r="I54" s="632"/>
      <c r="J54" s="632" t="s">
        <v>516</v>
      </c>
      <c r="K54" s="633"/>
    </row>
    <row r="55" spans="3:13">
      <c r="C55" s="630" t="s">
        <v>517</v>
      </c>
      <c r="D55" s="626"/>
      <c r="E55" s="626"/>
      <c r="F55" s="626"/>
      <c r="G55" s="626"/>
      <c r="H55" s="626"/>
      <c r="I55" s="626"/>
      <c r="J55" s="626"/>
      <c r="K55" s="627"/>
    </row>
    <row r="56" spans="3:13">
      <c r="C56" s="630" t="s">
        <v>518</v>
      </c>
      <c r="D56" s="626"/>
      <c r="E56" s="626"/>
      <c r="F56" s="626"/>
      <c r="G56" s="626"/>
      <c r="H56" s="626"/>
      <c r="I56" s="626"/>
      <c r="J56" s="626"/>
      <c r="K56" s="627"/>
    </row>
    <row r="57" spans="3:13">
      <c r="C57" s="630" t="s">
        <v>519</v>
      </c>
      <c r="D57" s="626"/>
      <c r="E57" s="626"/>
      <c r="F57" s="626"/>
      <c r="G57" s="626"/>
      <c r="H57" s="626"/>
      <c r="I57" s="626"/>
      <c r="J57" s="626"/>
      <c r="K57" s="627"/>
    </row>
    <row r="58" spans="3:13">
      <c r="C58" s="630" t="s">
        <v>520</v>
      </c>
      <c r="D58" s="626"/>
      <c r="E58" s="626"/>
      <c r="F58" s="626"/>
      <c r="G58" s="626"/>
      <c r="H58" s="626"/>
      <c r="I58" s="626"/>
      <c r="J58" s="626"/>
      <c r="K58" s="627"/>
    </row>
    <row r="59" spans="3:13" ht="15.75" thickBot="1">
      <c r="C59" s="607" t="s">
        <v>249</v>
      </c>
      <c r="D59" s="604"/>
      <c r="E59" s="604"/>
      <c r="F59" s="604"/>
      <c r="G59" s="604"/>
      <c r="H59" s="604"/>
      <c r="I59" s="604"/>
      <c r="J59" s="604"/>
      <c r="K59" s="605"/>
    </row>
    <row r="61" spans="3:13" ht="15.75">
      <c r="C61" s="64" t="s">
        <v>677</v>
      </c>
      <c r="D61" s="64"/>
      <c r="E61" s="64"/>
      <c r="F61" s="64"/>
      <c r="G61" s="64"/>
      <c r="H61" s="64"/>
      <c r="I61" s="64"/>
      <c r="J61" s="64"/>
      <c r="K61" s="64"/>
      <c r="L61" s="64"/>
    </row>
    <row r="62" spans="3:13" ht="15.75" thickBot="1"/>
    <row r="63" spans="3:13">
      <c r="C63" s="616" t="s">
        <v>251</v>
      </c>
      <c r="D63" s="600"/>
      <c r="E63" s="600"/>
      <c r="F63" s="600"/>
      <c r="G63" s="600" t="s">
        <v>252</v>
      </c>
      <c r="H63" s="600"/>
      <c r="I63" s="600"/>
      <c r="J63" s="600" t="s">
        <v>253</v>
      </c>
      <c r="K63" s="600"/>
      <c r="L63" s="601"/>
    </row>
    <row r="64" spans="3:13">
      <c r="C64" s="606" t="s">
        <v>521</v>
      </c>
      <c r="D64" s="597"/>
      <c r="E64" s="597"/>
      <c r="F64" s="597"/>
      <c r="G64" s="610">
        <v>1200000</v>
      </c>
      <c r="H64" s="611"/>
      <c r="I64" s="612"/>
      <c r="J64" s="597" t="s">
        <v>522</v>
      </c>
      <c r="K64" s="597"/>
      <c r="L64" s="617"/>
    </row>
    <row r="65" spans="3:12">
      <c r="C65" s="606" t="s">
        <v>655</v>
      </c>
      <c r="D65" s="597"/>
      <c r="E65" s="597"/>
      <c r="F65" s="597"/>
      <c r="G65" s="615">
        <v>21063.49</v>
      </c>
      <c r="H65" s="615"/>
      <c r="I65" s="615"/>
      <c r="J65" s="597" t="s">
        <v>523</v>
      </c>
      <c r="K65" s="597"/>
      <c r="L65" s="617"/>
    </row>
    <row r="66" spans="3:12" ht="15.75">
      <c r="C66" s="608" t="s">
        <v>524</v>
      </c>
      <c r="D66" s="609"/>
      <c r="E66" s="609"/>
      <c r="F66" s="609"/>
      <c r="G66" s="615">
        <v>38308.43</v>
      </c>
      <c r="H66" s="615"/>
      <c r="I66" s="615"/>
      <c r="J66" s="597" t="s">
        <v>525</v>
      </c>
      <c r="K66" s="598"/>
      <c r="L66" s="599"/>
    </row>
    <row r="67" spans="3:12" ht="15.75">
      <c r="C67" s="606" t="s">
        <v>640</v>
      </c>
      <c r="D67" s="598"/>
      <c r="E67" s="598"/>
      <c r="F67" s="598"/>
      <c r="G67" s="613">
        <v>9286.32</v>
      </c>
      <c r="H67" s="614"/>
      <c r="I67" s="614"/>
      <c r="J67" s="597" t="s">
        <v>613</v>
      </c>
      <c r="K67" s="598"/>
      <c r="L67" s="599"/>
    </row>
    <row r="68" spans="3:12" ht="15.75">
      <c r="C68" s="621" t="s">
        <v>643</v>
      </c>
      <c r="D68" s="622"/>
      <c r="E68" s="622"/>
      <c r="F68" s="623"/>
      <c r="G68" s="618">
        <v>7780.64</v>
      </c>
      <c r="H68" s="619"/>
      <c r="I68" s="620"/>
      <c r="J68" s="597" t="s">
        <v>613</v>
      </c>
      <c r="K68" s="598"/>
      <c r="L68" s="599"/>
    </row>
    <row r="69" spans="3:12" ht="15.75" customHeight="1">
      <c r="C69" s="621" t="s">
        <v>656</v>
      </c>
      <c r="D69" s="622"/>
      <c r="E69" s="622"/>
      <c r="F69" s="623"/>
      <c r="G69" s="618">
        <v>4000</v>
      </c>
      <c r="H69" s="619"/>
      <c r="I69" s="620"/>
      <c r="J69" s="624" t="s">
        <v>657</v>
      </c>
      <c r="K69" s="622"/>
      <c r="L69" s="625"/>
    </row>
    <row r="70" spans="3:12" ht="15.75" customHeight="1">
      <c r="C70" s="621" t="s">
        <v>629</v>
      </c>
      <c r="D70" s="622"/>
      <c r="E70" s="622"/>
      <c r="F70" s="623"/>
      <c r="G70" s="618">
        <v>2164.5</v>
      </c>
      <c r="H70" s="619"/>
      <c r="I70" s="620"/>
      <c r="J70" s="624" t="s">
        <v>630</v>
      </c>
      <c r="K70" s="622"/>
      <c r="L70" s="625"/>
    </row>
    <row r="71" spans="3:12" ht="16.5" thickBot="1">
      <c r="C71" s="642" t="s">
        <v>526</v>
      </c>
      <c r="D71" s="643"/>
      <c r="E71" s="643"/>
      <c r="F71" s="643"/>
      <c r="G71" s="644">
        <f>SUM(G64:I70)</f>
        <v>1282603.3799999999</v>
      </c>
      <c r="H71" s="645"/>
      <c r="I71" s="646"/>
      <c r="J71" s="602"/>
      <c r="K71" s="602"/>
      <c r="L71" s="603"/>
    </row>
    <row r="72" spans="3:12">
      <c r="C72" s="392"/>
      <c r="D72" s="115"/>
      <c r="E72" s="115"/>
      <c r="F72" s="115"/>
      <c r="G72" s="115"/>
      <c r="H72" s="115"/>
      <c r="I72" s="115"/>
      <c r="J72" s="115"/>
      <c r="K72" s="115"/>
      <c r="L72" s="115"/>
    </row>
    <row r="74" spans="3:12" ht="15.75">
      <c r="C74" s="109"/>
      <c r="D74" s="639"/>
      <c r="E74" s="639"/>
      <c r="F74" s="116"/>
      <c r="G74" s="640" t="s">
        <v>527</v>
      </c>
      <c r="H74" s="116"/>
      <c r="I74" s="109" t="s">
        <v>528</v>
      </c>
    </row>
    <row r="75" spans="3:12" ht="15.75">
      <c r="C75" s="109" t="s">
        <v>564</v>
      </c>
      <c r="D75" s="641" t="s">
        <v>661</v>
      </c>
      <c r="E75" s="641"/>
      <c r="G75" s="640"/>
      <c r="H75" s="116"/>
      <c r="I75" s="109" t="s">
        <v>601</v>
      </c>
    </row>
    <row r="76" spans="3:12">
      <c r="D76" s="641"/>
      <c r="E76" s="641"/>
      <c r="I76" s="69" t="s">
        <v>263</v>
      </c>
    </row>
    <row r="77" spans="3:12" ht="15.75" customHeight="1"/>
    <row r="78" spans="3:12" ht="15" customHeight="1"/>
    <row r="113" spans="11:13">
      <c r="K113" s="117"/>
      <c r="L113" s="117"/>
      <c r="M113" s="117"/>
    </row>
    <row r="114" spans="11:13">
      <c r="K114" s="117"/>
      <c r="L114" s="117"/>
      <c r="M114" s="117"/>
    </row>
    <row r="115" spans="11:13">
      <c r="K115" s="118"/>
      <c r="L115" s="118"/>
      <c r="M115" s="118"/>
    </row>
  </sheetData>
  <mergeCells count="188">
    <mergeCell ref="D74:E74"/>
    <mergeCell ref="G74:G75"/>
    <mergeCell ref="D75:E76"/>
    <mergeCell ref="C70:F70"/>
    <mergeCell ref="G70:I70"/>
    <mergeCell ref="J70:L70"/>
    <mergeCell ref="G68:I68"/>
    <mergeCell ref="J68:L68"/>
    <mergeCell ref="C71:F71"/>
    <mergeCell ref="G71:I71"/>
    <mergeCell ref="C9:M9"/>
    <mergeCell ref="D13:E13"/>
    <mergeCell ref="F13:G13"/>
    <mergeCell ref="H13:I13"/>
    <mergeCell ref="J13:K13"/>
    <mergeCell ref="L13:M13"/>
    <mergeCell ref="F18:G18"/>
    <mergeCell ref="H18:I18"/>
    <mergeCell ref="J18:K18"/>
    <mergeCell ref="L14:M14"/>
    <mergeCell ref="D15:E15"/>
    <mergeCell ref="F15:G15"/>
    <mergeCell ref="H15:I15"/>
    <mergeCell ref="J15:K15"/>
    <mergeCell ref="L15:M15"/>
    <mergeCell ref="D14:E14"/>
    <mergeCell ref="F14:G14"/>
    <mergeCell ref="H14:I14"/>
    <mergeCell ref="J14:K14"/>
    <mergeCell ref="D22:E22"/>
    <mergeCell ref="F22:G22"/>
    <mergeCell ref="H22:I22"/>
    <mergeCell ref="J22:K22"/>
    <mergeCell ref="D23:E23"/>
    <mergeCell ref="F23:G23"/>
    <mergeCell ref="H23:I23"/>
    <mergeCell ref="J23:K23"/>
    <mergeCell ref="L16:M16"/>
    <mergeCell ref="D17:E17"/>
    <mergeCell ref="F17:G17"/>
    <mergeCell ref="H17:I17"/>
    <mergeCell ref="J17:K17"/>
    <mergeCell ref="L17:M17"/>
    <mergeCell ref="D16:E16"/>
    <mergeCell ref="F16:G16"/>
    <mergeCell ref="H16:I16"/>
    <mergeCell ref="J16:K16"/>
    <mergeCell ref="L18:M18"/>
    <mergeCell ref="D21:E21"/>
    <mergeCell ref="F21:G21"/>
    <mergeCell ref="H21:I21"/>
    <mergeCell ref="J21:K21"/>
    <mergeCell ref="D18:E18"/>
    <mergeCell ref="D27:E27"/>
    <mergeCell ref="F27:G27"/>
    <mergeCell ref="H27:I27"/>
    <mergeCell ref="J27:K27"/>
    <mergeCell ref="D26:E26"/>
    <mergeCell ref="F26:G26"/>
    <mergeCell ref="H26:I26"/>
    <mergeCell ref="J26:K26"/>
    <mergeCell ref="D24:E24"/>
    <mergeCell ref="F24:G24"/>
    <mergeCell ref="H24:I24"/>
    <mergeCell ref="J24:K24"/>
    <mergeCell ref="D25:E25"/>
    <mergeCell ref="F25:G25"/>
    <mergeCell ref="H25:I25"/>
    <mergeCell ref="J25:K25"/>
    <mergeCell ref="D30:E30"/>
    <mergeCell ref="F30:G30"/>
    <mergeCell ref="D31:E31"/>
    <mergeCell ref="F31:G31"/>
    <mergeCell ref="F39:G39"/>
    <mergeCell ref="J34:K34"/>
    <mergeCell ref="D33:E33"/>
    <mergeCell ref="F33:G33"/>
    <mergeCell ref="D34:E34"/>
    <mergeCell ref="F34:G34"/>
    <mergeCell ref="H34:I34"/>
    <mergeCell ref="H33:I33"/>
    <mergeCell ref="H30:I30"/>
    <mergeCell ref="J30:K30"/>
    <mergeCell ref="J33:K33"/>
    <mergeCell ref="J31:K31"/>
    <mergeCell ref="H32:I32"/>
    <mergeCell ref="H31:I31"/>
    <mergeCell ref="J32:K32"/>
    <mergeCell ref="C40:D40"/>
    <mergeCell ref="L39:M39"/>
    <mergeCell ref="L40:M40"/>
    <mergeCell ref="H39:I39"/>
    <mergeCell ref="J39:K39"/>
    <mergeCell ref="F40:G40"/>
    <mergeCell ref="H40:I40"/>
    <mergeCell ref="J40:K40"/>
    <mergeCell ref="D32:E32"/>
    <mergeCell ref="F32:G32"/>
    <mergeCell ref="C39:D39"/>
    <mergeCell ref="L42:M42"/>
    <mergeCell ref="C41:D41"/>
    <mergeCell ref="F41:G41"/>
    <mergeCell ref="H41:I41"/>
    <mergeCell ref="J41:K41"/>
    <mergeCell ref="C42:D42"/>
    <mergeCell ref="F42:G42"/>
    <mergeCell ref="H42:I42"/>
    <mergeCell ref="J42:K42"/>
    <mergeCell ref="L41:M41"/>
    <mergeCell ref="C44:D44"/>
    <mergeCell ref="F44:G44"/>
    <mergeCell ref="C45:D45"/>
    <mergeCell ref="L46:M46"/>
    <mergeCell ref="C49:D49"/>
    <mergeCell ref="F49:G49"/>
    <mergeCell ref="L43:M43"/>
    <mergeCell ref="L44:M44"/>
    <mergeCell ref="L45:M45"/>
    <mergeCell ref="F43:G43"/>
    <mergeCell ref="H44:I44"/>
    <mergeCell ref="J44:K44"/>
    <mergeCell ref="F45:G45"/>
    <mergeCell ref="C43:D43"/>
    <mergeCell ref="H43:I43"/>
    <mergeCell ref="J43:K43"/>
    <mergeCell ref="H45:I45"/>
    <mergeCell ref="J45:K45"/>
    <mergeCell ref="L47:M47"/>
    <mergeCell ref="C48:D48"/>
    <mergeCell ref="F48:G48"/>
    <mergeCell ref="H48:I48"/>
    <mergeCell ref="J48:K48"/>
    <mergeCell ref="C47:D47"/>
    <mergeCell ref="H47:I47"/>
    <mergeCell ref="J47:K47"/>
    <mergeCell ref="F47:G47"/>
    <mergeCell ref="C46:D46"/>
    <mergeCell ref="F46:G46"/>
    <mergeCell ref="H46:I46"/>
    <mergeCell ref="J46:K46"/>
    <mergeCell ref="C56:E56"/>
    <mergeCell ref="J55:K55"/>
    <mergeCell ref="J49:K49"/>
    <mergeCell ref="J58:K58"/>
    <mergeCell ref="L48:M48"/>
    <mergeCell ref="C57:E57"/>
    <mergeCell ref="F56:G56"/>
    <mergeCell ref="H56:I56"/>
    <mergeCell ref="J56:K56"/>
    <mergeCell ref="F57:G57"/>
    <mergeCell ref="H57:I57"/>
    <mergeCell ref="J57:K57"/>
    <mergeCell ref="C54:E54"/>
    <mergeCell ref="F54:G54"/>
    <mergeCell ref="H54:I54"/>
    <mergeCell ref="J54:K54"/>
    <mergeCell ref="C55:E55"/>
    <mergeCell ref="F55:G55"/>
    <mergeCell ref="H55:I55"/>
    <mergeCell ref="H49:I49"/>
    <mergeCell ref="L49:M49"/>
    <mergeCell ref="H58:I58"/>
    <mergeCell ref="C58:E58"/>
    <mergeCell ref="F58:G58"/>
    <mergeCell ref="J67:L67"/>
    <mergeCell ref="G63:I63"/>
    <mergeCell ref="J63:L63"/>
    <mergeCell ref="J71:L71"/>
    <mergeCell ref="J59:K59"/>
    <mergeCell ref="C67:F67"/>
    <mergeCell ref="C59:E59"/>
    <mergeCell ref="F59:G59"/>
    <mergeCell ref="H59:I59"/>
    <mergeCell ref="C66:F66"/>
    <mergeCell ref="G64:I64"/>
    <mergeCell ref="G67:I67"/>
    <mergeCell ref="C64:F64"/>
    <mergeCell ref="J66:L66"/>
    <mergeCell ref="C65:F65"/>
    <mergeCell ref="G65:I65"/>
    <mergeCell ref="C63:F63"/>
    <mergeCell ref="G66:I66"/>
    <mergeCell ref="J64:L64"/>
    <mergeCell ref="J65:L65"/>
    <mergeCell ref="G69:I69"/>
    <mergeCell ref="C69:F69"/>
    <mergeCell ref="C68:F68"/>
    <mergeCell ref="J69:L69"/>
  </mergeCells>
  <phoneticPr fontId="0" type="noConversion"/>
  <pageMargins left="0.7" right="0.7" top="0.75" bottom="0.75" header="0.3" footer="0.3"/>
  <pageSetup paperSize="9" scale="5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2:R38"/>
  <sheetViews>
    <sheetView topLeftCell="B16" zoomScaleNormal="100" workbookViewId="0">
      <selection activeCell="E28" sqref="E28"/>
    </sheetView>
  </sheetViews>
  <sheetFormatPr defaultColWidth="9" defaultRowHeight="15"/>
  <cols>
    <col min="1" max="1" width="9" style="13"/>
    <col min="2" max="2" width="9.140625" style="13" bestFit="1" customWidth="1"/>
    <col min="3" max="3" width="46.140625" style="13" customWidth="1"/>
    <col min="4" max="4" width="9.140625" style="13" bestFit="1" customWidth="1"/>
    <col min="5" max="5" width="25.42578125" style="13" customWidth="1"/>
    <col min="6" max="6" width="21.85546875" style="13" customWidth="1"/>
    <col min="7" max="7" width="5.5703125" style="13" customWidth="1"/>
    <col min="8" max="8" width="14.28515625" style="13" bestFit="1" customWidth="1"/>
    <col min="9" max="9" width="0" style="13" hidden="1" customWidth="1"/>
    <col min="10" max="10" width="16.5703125" style="13" hidden="1" customWidth="1"/>
    <col min="11" max="11" width="19.85546875" style="13" hidden="1" customWidth="1"/>
    <col min="12" max="12" width="17.5703125" style="13" hidden="1" customWidth="1"/>
    <col min="13" max="15" width="9" style="13"/>
    <col min="16" max="16" width="30.5703125" style="13" customWidth="1"/>
    <col min="17" max="17" width="9" style="13"/>
    <col min="18" max="18" width="16.5703125" style="13" bestFit="1" customWidth="1"/>
    <col min="19" max="16384" width="9" style="13"/>
  </cols>
  <sheetData>
    <row r="2" spans="2:11" ht="18.75">
      <c r="B2" s="120" t="s">
        <v>333</v>
      </c>
      <c r="C2" s="120"/>
      <c r="D2" s="120"/>
      <c r="E2" s="120"/>
      <c r="F2" s="15"/>
      <c r="G2" s="135"/>
    </row>
    <row r="3" spans="2:11" ht="18.75">
      <c r="B3" s="120" t="s">
        <v>334</v>
      </c>
      <c r="C3" s="120"/>
      <c r="D3" s="120"/>
      <c r="E3" s="120"/>
      <c r="F3" s="15"/>
      <c r="G3" s="135"/>
    </row>
    <row r="4" spans="2:11" ht="18.75">
      <c r="B4" s="120" t="s">
        <v>335</v>
      </c>
      <c r="C4" s="120"/>
      <c r="D4" s="120"/>
      <c r="E4" s="120"/>
      <c r="F4" s="15"/>
      <c r="G4" s="135"/>
    </row>
    <row r="5" spans="2:11" ht="18.75">
      <c r="B5" s="120" t="s">
        <v>408</v>
      </c>
      <c r="C5" s="120"/>
      <c r="D5" s="120"/>
      <c r="E5" s="120"/>
      <c r="F5" s="15"/>
      <c r="G5" s="135"/>
    </row>
    <row r="6" spans="2:11" ht="18.75">
      <c r="B6" s="120" t="s">
        <v>336</v>
      </c>
      <c r="C6" s="120"/>
      <c r="D6" s="120"/>
      <c r="E6" s="120"/>
      <c r="F6" s="15"/>
      <c r="G6" s="135"/>
    </row>
    <row r="7" spans="2:11" ht="18.75">
      <c r="B7" s="120" t="s">
        <v>337</v>
      </c>
      <c r="C7" s="120"/>
      <c r="D7" s="120"/>
      <c r="E7" s="120"/>
      <c r="F7" s="15"/>
      <c r="G7" s="135"/>
    </row>
    <row r="8" spans="2:11" ht="18.75">
      <c r="B8" s="136"/>
      <c r="C8" s="136"/>
      <c r="D8" s="136"/>
      <c r="E8" s="136"/>
    </row>
    <row r="10" spans="2:11" ht="18.75">
      <c r="B10" s="647" t="s">
        <v>530</v>
      </c>
      <c r="C10" s="647"/>
      <c r="D10" s="647"/>
      <c r="E10" s="647"/>
      <c r="F10" s="647"/>
      <c r="G10" s="137"/>
      <c r="H10" s="137"/>
    </row>
    <row r="11" spans="2:11" ht="15.75">
      <c r="B11" s="648" t="s">
        <v>645</v>
      </c>
      <c r="C11" s="648"/>
      <c r="D11" s="648"/>
      <c r="E11" s="648"/>
      <c r="F11" s="648"/>
      <c r="G11" s="137"/>
      <c r="H11" s="137"/>
      <c r="J11" s="13">
        <f>-1106104/25641188</f>
        <v>-4.3137782851558983E-2</v>
      </c>
    </row>
    <row r="12" spans="2:11" ht="15.75">
      <c r="B12" s="126"/>
      <c r="C12" s="126"/>
      <c r="D12" s="126"/>
      <c r="E12" s="126"/>
      <c r="F12" s="126"/>
      <c r="G12" s="137"/>
      <c r="H12" s="137"/>
      <c r="K12" s="138"/>
    </row>
    <row r="13" spans="2:11" ht="16.5" thickBot="1">
      <c r="B13" s="137"/>
      <c r="C13" s="137"/>
      <c r="D13" s="137"/>
      <c r="E13" s="137"/>
      <c r="F13" s="127" t="s">
        <v>531</v>
      </c>
      <c r="G13" s="137"/>
      <c r="H13" s="137"/>
    </row>
    <row r="14" spans="2:11" ht="37.5">
      <c r="B14" s="139" t="s">
        <v>443</v>
      </c>
      <c r="C14" s="140" t="s">
        <v>532</v>
      </c>
      <c r="D14" s="140" t="s">
        <v>533</v>
      </c>
      <c r="E14" s="140" t="s">
        <v>534</v>
      </c>
      <c r="F14" s="128" t="s">
        <v>535</v>
      </c>
      <c r="G14" s="427"/>
      <c r="H14" s="427"/>
    </row>
    <row r="15" spans="2:11" ht="18.75">
      <c r="B15" s="141">
        <v>1</v>
      </c>
      <c r="C15" s="142">
        <v>2</v>
      </c>
      <c r="D15" s="142">
        <v>3</v>
      </c>
      <c r="E15" s="142">
        <v>4</v>
      </c>
      <c r="F15" s="129">
        <v>5</v>
      </c>
      <c r="G15" s="427"/>
      <c r="H15" s="427"/>
      <c r="J15" s="13">
        <v>-2173668</v>
      </c>
    </row>
    <row r="16" spans="2:11" ht="56.25">
      <c r="B16" s="143" t="s">
        <v>214</v>
      </c>
      <c r="C16" s="144" t="s">
        <v>536</v>
      </c>
      <c r="D16" s="142">
        <v>501</v>
      </c>
      <c r="E16" s="145"/>
      <c r="F16" s="130"/>
      <c r="G16" s="427"/>
      <c r="H16" s="427"/>
      <c r="J16" s="264">
        <f>J15/L21</f>
        <v>-0.10167530721132156</v>
      </c>
    </row>
    <row r="17" spans="1:18" ht="18.75">
      <c r="B17" s="141" t="s">
        <v>350</v>
      </c>
      <c r="C17" s="146" t="s">
        <v>537</v>
      </c>
      <c r="D17" s="142">
        <v>502</v>
      </c>
      <c r="E17" s="130">
        <f>БС!F56</f>
        <v>22211365.559999999</v>
      </c>
      <c r="F17" s="428">
        <v>24793256</v>
      </c>
      <c r="G17" s="427"/>
      <c r="H17" s="427"/>
      <c r="L17" s="13" t="s">
        <v>624</v>
      </c>
    </row>
    <row r="18" spans="1:18" ht="18.75">
      <c r="B18" s="141" t="s">
        <v>440</v>
      </c>
      <c r="C18" s="146" t="s">
        <v>538</v>
      </c>
      <c r="D18" s="142">
        <v>503</v>
      </c>
      <c r="E18" s="147">
        <v>1082447</v>
      </c>
      <c r="F18" s="429">
        <v>1082447</v>
      </c>
      <c r="G18" s="427"/>
      <c r="H18" s="427"/>
      <c r="J18" s="148"/>
      <c r="L18" s="265" t="e">
        <f>-L17/F21</f>
        <v>#VALUE!</v>
      </c>
    </row>
    <row r="19" spans="1:18" ht="37.5">
      <c r="B19" s="141" t="s">
        <v>448</v>
      </c>
      <c r="C19" s="146" t="s">
        <v>539</v>
      </c>
      <c r="D19" s="142">
        <v>504</v>
      </c>
      <c r="E19" s="149">
        <f>+E17/E18</f>
        <v>20.51958715761603</v>
      </c>
      <c r="F19" s="430">
        <v>22.9</v>
      </c>
      <c r="G19" s="427"/>
      <c r="H19" s="427"/>
      <c r="J19" s="257">
        <f>+E17+E21/2</f>
        <v>32484206.604999997</v>
      </c>
      <c r="P19" s="148">
        <f>F17+F21</f>
        <v>47004622</v>
      </c>
      <c r="R19" s="257">
        <f>(E17+E21)/2</f>
        <v>21378523.824999999</v>
      </c>
    </row>
    <row r="20" spans="1:18" ht="37.5">
      <c r="B20" s="143" t="s">
        <v>215</v>
      </c>
      <c r="C20" s="144" t="s">
        <v>540</v>
      </c>
      <c r="D20" s="142">
        <v>505</v>
      </c>
      <c r="E20" s="145"/>
      <c r="F20" s="130"/>
      <c r="G20" s="427"/>
      <c r="H20" s="427"/>
      <c r="P20" s="148">
        <f>P19/2</f>
        <v>23502311</v>
      </c>
    </row>
    <row r="21" spans="1:18" ht="18.75">
      <c r="B21" s="141" t="s">
        <v>350</v>
      </c>
      <c r="C21" s="146" t="s">
        <v>541</v>
      </c>
      <c r="D21" s="142">
        <v>506</v>
      </c>
      <c r="E21" s="145">
        <f>+БС!E56</f>
        <v>20545682.09</v>
      </c>
      <c r="F21" s="429">
        <v>22211366</v>
      </c>
      <c r="G21" s="427"/>
      <c r="H21" s="427"/>
      <c r="J21" s="148">
        <f>E21+F21</f>
        <v>42757048.090000004</v>
      </c>
      <c r="L21" s="263">
        <f>J21/2</f>
        <v>21378524.045000002</v>
      </c>
    </row>
    <row r="22" spans="1:18" ht="18.75">
      <c r="B22" s="141" t="s">
        <v>440</v>
      </c>
      <c r="C22" s="146" t="s">
        <v>542</v>
      </c>
      <c r="D22" s="142">
        <v>507</v>
      </c>
      <c r="E22" s="147">
        <v>1082447</v>
      </c>
      <c r="F22" s="429">
        <v>1082447</v>
      </c>
      <c r="G22" s="427"/>
      <c r="H22" s="427"/>
      <c r="P22" s="257">
        <f>1948598/P20</f>
        <v>8.2910910335583593E-2</v>
      </c>
    </row>
    <row r="23" spans="1:18" ht="18.75">
      <c r="B23" s="141" t="s">
        <v>448</v>
      </c>
      <c r="C23" s="146" t="s">
        <v>543</v>
      </c>
      <c r="D23" s="142">
        <v>508</v>
      </c>
      <c r="E23" s="149">
        <f>+E21/E22</f>
        <v>18.980774199568199</v>
      </c>
      <c r="F23" s="430">
        <v>20.52</v>
      </c>
      <c r="G23" s="427"/>
      <c r="H23" s="427"/>
      <c r="J23" s="148">
        <f>+F17+F21/2</f>
        <v>35898939</v>
      </c>
      <c r="L23" s="264">
        <f>826910/L21</f>
        <v>3.8679470961579185E-2</v>
      </c>
    </row>
    <row r="24" spans="1:18" ht="18.75">
      <c r="B24" s="143" t="s">
        <v>216</v>
      </c>
      <c r="C24" s="144" t="s">
        <v>544</v>
      </c>
      <c r="D24" s="142">
        <v>509</v>
      </c>
      <c r="E24" s="145"/>
      <c r="F24" s="130"/>
      <c r="G24" s="427"/>
      <c r="H24" s="431"/>
    </row>
    <row r="25" spans="1:18" ht="18.75">
      <c r="B25" s="141" t="s">
        <v>350</v>
      </c>
      <c r="C25" s="146" t="s">
        <v>545</v>
      </c>
      <c r="D25" s="142">
        <v>510</v>
      </c>
      <c r="E25" s="150">
        <f>БУ!D27/'ФИНАНСИЈСКИ ПОКАЗАТЕЉИ 31.12'!R19</f>
        <v>3.1318702613930369E-2</v>
      </c>
      <c r="F25" s="150">
        <v>3.04E-2</v>
      </c>
      <c r="G25" s="427"/>
      <c r="H25" s="431"/>
      <c r="J25" s="258">
        <f>1002160/J23</f>
        <v>2.7916145376887042E-2</v>
      </c>
    </row>
    <row r="26" spans="1:18" ht="37.5">
      <c r="B26" s="141" t="s">
        <v>440</v>
      </c>
      <c r="C26" s="146" t="s">
        <v>546</v>
      </c>
      <c r="D26" s="142">
        <v>511</v>
      </c>
      <c r="E26" s="150">
        <f>+((БУ!D18+БУ!D19+БУ!D22)-(БУ!D29+БУ!D35))/21378524</f>
        <v>4.5340565606867896E-2</v>
      </c>
      <c r="F26" s="150">
        <v>-0.1191</v>
      </c>
      <c r="G26" s="70" t="s">
        <v>148</v>
      </c>
      <c r="H26" s="431"/>
    </row>
    <row r="27" spans="1:18" ht="37.5">
      <c r="B27" s="141" t="s">
        <v>448</v>
      </c>
      <c r="C27" s="146" t="s">
        <v>547</v>
      </c>
      <c r="D27" s="142">
        <v>512</v>
      </c>
      <c r="E27" s="147"/>
      <c r="F27" s="130"/>
      <c r="G27" s="427"/>
      <c r="H27" s="431"/>
      <c r="J27" s="13">
        <f>БУ!E27/'ФИНАНСИЈСКИ ПОКАЗАТЕЉИ 31.12'!F21</f>
        <v>3.2202566920017439E-2</v>
      </c>
    </row>
    <row r="28" spans="1:18" ht="19.5" thickBot="1">
      <c r="B28" s="151" t="s">
        <v>450</v>
      </c>
      <c r="C28" s="152" t="s">
        <v>548</v>
      </c>
      <c r="D28" s="153">
        <v>513</v>
      </c>
      <c r="E28" s="259">
        <f>+БУ!D59/20545682</f>
        <v>1.4590255022928893E-2</v>
      </c>
      <c r="F28" s="479">
        <v>-3.3799999999999997E-2</v>
      </c>
      <c r="G28" s="427"/>
      <c r="H28" s="431"/>
    </row>
    <row r="29" spans="1:18" ht="18.75">
      <c r="B29" s="131"/>
      <c r="C29" s="427"/>
      <c r="D29" s="427"/>
      <c r="E29" s="427"/>
      <c r="F29" s="427"/>
      <c r="G29" s="427"/>
      <c r="H29" s="431"/>
    </row>
    <row r="30" spans="1:18" ht="18.75">
      <c r="B30" s="131"/>
      <c r="C30" s="427"/>
      <c r="D30" s="427"/>
      <c r="E30" s="427"/>
      <c r="F30" s="427"/>
      <c r="G30" s="427"/>
      <c r="H30" s="431"/>
    </row>
    <row r="31" spans="1:18" ht="18.75">
      <c r="A31" s="14"/>
      <c r="B31" s="132"/>
      <c r="C31" s="432"/>
      <c r="D31" s="432"/>
      <c r="E31" s="432"/>
      <c r="F31" s="432"/>
      <c r="G31" s="432"/>
      <c r="H31" s="433"/>
      <c r="I31" s="14"/>
    </row>
    <row r="32" spans="1:18" ht="18.75">
      <c r="A32" s="154" t="s">
        <v>646</v>
      </c>
      <c r="B32" s="154"/>
      <c r="C32" s="154"/>
      <c r="D32" s="154"/>
      <c r="E32" s="649" t="s">
        <v>442</v>
      </c>
      <c r="F32" s="649"/>
      <c r="G32" s="649"/>
      <c r="H32" s="649"/>
      <c r="I32" s="14"/>
    </row>
    <row r="33" spans="1:11" ht="18.75">
      <c r="A33" s="154" t="s">
        <v>549</v>
      </c>
      <c r="B33" s="154"/>
      <c r="C33" s="154" t="s">
        <v>550</v>
      </c>
      <c r="D33" s="154"/>
      <c r="E33" s="649" t="s">
        <v>551</v>
      </c>
      <c r="F33" s="649"/>
      <c r="G33" s="649"/>
      <c r="H33" s="434"/>
      <c r="I33" s="14"/>
      <c r="K33" s="148">
        <f>+E17+E21</f>
        <v>42757047.649999999</v>
      </c>
    </row>
    <row r="34" spans="1:11" ht="18.75">
      <c r="A34" s="14"/>
      <c r="B34" s="132"/>
      <c r="C34" s="432"/>
      <c r="D34" s="432"/>
      <c r="E34" s="432"/>
      <c r="F34" s="432"/>
      <c r="G34" s="432"/>
      <c r="H34" s="432"/>
      <c r="I34" s="14"/>
      <c r="K34" s="13">
        <f>+K33/2</f>
        <v>21378523.824999999</v>
      </c>
    </row>
    <row r="35" spans="1:11">
      <c r="A35" s="14"/>
      <c r="B35" s="14"/>
      <c r="C35" s="435"/>
      <c r="D35" s="435"/>
      <c r="E35" s="435"/>
      <c r="F35" s="435"/>
      <c r="G35" s="435"/>
      <c r="H35" s="436"/>
      <c r="I35" s="14"/>
    </row>
    <row r="36" spans="1:11">
      <c r="A36" s="14"/>
      <c r="B36" s="14"/>
      <c r="C36" s="435"/>
      <c r="D36" s="435"/>
      <c r="E36" s="435"/>
      <c r="F36" s="435"/>
      <c r="G36" s="435"/>
      <c r="H36" s="437"/>
      <c r="I36" s="14"/>
    </row>
    <row r="37" spans="1:11">
      <c r="A37" s="14"/>
      <c r="B37" s="14"/>
      <c r="C37" s="14"/>
      <c r="D37" s="14"/>
      <c r="E37" s="14"/>
      <c r="F37" s="14"/>
      <c r="G37" s="14"/>
      <c r="H37" s="155"/>
      <c r="I37" s="14"/>
    </row>
    <row r="38" spans="1:11">
      <c r="A38" s="14"/>
      <c r="B38" s="14"/>
      <c r="C38" s="14"/>
      <c r="D38" s="14"/>
      <c r="E38" s="14"/>
      <c r="F38" s="14"/>
      <c r="G38" s="14"/>
      <c r="H38" s="156"/>
      <c r="I38" s="14"/>
    </row>
  </sheetData>
  <mergeCells count="4">
    <mergeCell ref="B10:F10"/>
    <mergeCell ref="B11:F11"/>
    <mergeCell ref="E32:H32"/>
    <mergeCell ref="E33:G33"/>
  </mergeCells>
  <phoneticPr fontId="35" type="noConversion"/>
  <pageMargins left="0.7" right="0.7" top="0.75" bottom="0.75" header="0.3" footer="0.3"/>
  <pageSetup paperSize="9" scale="57" orientation="portrait" verticalDpi="15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30"/>
  <sheetViews>
    <sheetView zoomScale="75" zoomScaleNormal="75" workbookViewId="0">
      <selection activeCell="K39" sqref="K39"/>
    </sheetView>
  </sheetViews>
  <sheetFormatPr defaultColWidth="17.7109375" defaultRowHeight="15"/>
  <cols>
    <col min="1" max="1" width="15.140625" customWidth="1"/>
    <col min="2" max="2" width="15.85546875" customWidth="1"/>
    <col min="3" max="3" width="15.5703125" customWidth="1"/>
    <col min="4" max="4" width="15.140625" customWidth="1"/>
    <col min="5" max="5" width="14.85546875" customWidth="1"/>
    <col min="6" max="6" width="14.140625" customWidth="1"/>
    <col min="7" max="7" width="18" customWidth="1"/>
  </cols>
  <sheetData>
    <row r="1" spans="1:7">
      <c r="A1" s="17" t="s">
        <v>333</v>
      </c>
      <c r="B1" s="65"/>
      <c r="C1" s="65"/>
      <c r="D1" s="65"/>
      <c r="E1" s="15"/>
    </row>
    <row r="2" spans="1:7">
      <c r="A2" s="17" t="s">
        <v>334</v>
      </c>
      <c r="B2" s="65"/>
      <c r="C2" s="65"/>
      <c r="D2" s="65"/>
      <c r="E2" s="15"/>
    </row>
    <row r="3" spans="1:7">
      <c r="A3" s="17" t="s">
        <v>335</v>
      </c>
      <c r="B3" s="65"/>
      <c r="C3" s="65"/>
      <c r="D3" s="65"/>
      <c r="E3" s="15"/>
    </row>
    <row r="4" spans="1:7">
      <c r="A4" s="17" t="s">
        <v>529</v>
      </c>
      <c r="B4" s="65"/>
      <c r="C4" s="65"/>
      <c r="D4" s="65"/>
      <c r="E4" s="15"/>
    </row>
    <row r="5" spans="1:7">
      <c r="A5" s="17" t="s">
        <v>336</v>
      </c>
      <c r="B5" s="65"/>
      <c r="C5" s="65"/>
      <c r="D5" s="65"/>
      <c r="E5" s="15"/>
    </row>
    <row r="6" spans="1:7">
      <c r="A6" s="17" t="s">
        <v>337</v>
      </c>
      <c r="B6" s="65"/>
      <c r="C6" s="65"/>
      <c r="D6" s="65"/>
      <c r="E6" s="15"/>
    </row>
    <row r="7" spans="1:7" ht="15.75">
      <c r="A7" s="2"/>
      <c r="B7" s="159"/>
      <c r="C7" s="159"/>
      <c r="D7" s="159"/>
    </row>
    <row r="8" spans="1:7" ht="15.75">
      <c r="A8" s="2"/>
    </row>
    <row r="9" spans="1:7" ht="15.75">
      <c r="C9" s="2" t="s">
        <v>224</v>
      </c>
    </row>
    <row r="10" spans="1:7" ht="15.75">
      <c r="C10" s="2" t="s">
        <v>672</v>
      </c>
    </row>
    <row r="11" spans="1:7" ht="15.75">
      <c r="A11" s="2"/>
    </row>
    <row r="12" spans="1:7" ht="15.75">
      <c r="A12" s="2"/>
    </row>
    <row r="13" spans="1:7" ht="16.5" thickBot="1">
      <c r="A13" s="7" t="s">
        <v>225</v>
      </c>
    </row>
    <row r="14" spans="1:7" ht="54.75" customHeight="1">
      <c r="A14" s="652" t="s">
        <v>226</v>
      </c>
      <c r="B14" s="5" t="s">
        <v>220</v>
      </c>
      <c r="C14" s="655" t="s">
        <v>227</v>
      </c>
      <c r="D14" s="655" t="s">
        <v>222</v>
      </c>
      <c r="E14" s="655" t="s">
        <v>228</v>
      </c>
      <c r="F14" s="655" t="s">
        <v>229</v>
      </c>
      <c r="G14" s="655" t="s">
        <v>223</v>
      </c>
    </row>
    <row r="15" spans="1:7">
      <c r="A15" s="653"/>
      <c r="B15" s="8"/>
      <c r="C15" s="656"/>
      <c r="D15" s="656"/>
      <c r="E15" s="656"/>
      <c r="F15" s="656"/>
      <c r="G15" s="656"/>
    </row>
    <row r="16" spans="1:7" ht="15.75" thickBot="1">
      <c r="A16" s="654"/>
      <c r="B16" s="9" t="s">
        <v>221</v>
      </c>
      <c r="C16" s="657"/>
      <c r="D16" s="657"/>
      <c r="E16" s="657"/>
      <c r="F16" s="657"/>
      <c r="G16" s="657"/>
    </row>
    <row r="17" spans="1:9" ht="15.75" thickBot="1">
      <c r="A17" s="6"/>
      <c r="B17" s="4"/>
      <c r="C17" s="4"/>
      <c r="D17" s="4"/>
      <c r="E17" s="4"/>
      <c r="F17" s="4"/>
      <c r="G17" s="4"/>
    </row>
    <row r="18" spans="1:9" ht="15.75" thickBot="1">
      <c r="A18" s="6"/>
      <c r="B18" s="4"/>
      <c r="C18" s="4"/>
      <c r="D18" s="4"/>
      <c r="E18" s="4"/>
      <c r="F18" s="4"/>
      <c r="G18" s="4"/>
    </row>
    <row r="19" spans="1:9" ht="15.75" thickBot="1">
      <c r="A19" s="6"/>
      <c r="B19" s="4"/>
      <c r="C19" s="4"/>
      <c r="D19" s="4"/>
      <c r="E19" s="4"/>
      <c r="F19" s="4"/>
      <c r="G19" s="4"/>
    </row>
    <row r="20" spans="1:9" ht="32.25" thickBot="1">
      <c r="A20" s="10" t="s">
        <v>230</v>
      </c>
      <c r="B20" s="4"/>
      <c r="C20" s="4"/>
      <c r="D20" s="4"/>
      <c r="E20" s="4"/>
      <c r="F20" s="4"/>
      <c r="G20" s="4"/>
    </row>
    <row r="21" spans="1:9">
      <c r="A21" s="1"/>
    </row>
    <row r="22" spans="1:9" ht="16.5" thickBot="1">
      <c r="A22" s="7" t="s">
        <v>231</v>
      </c>
    </row>
    <row r="23" spans="1:9" ht="58.5" thickBot="1">
      <c r="A23" s="11" t="s">
        <v>226</v>
      </c>
      <c r="B23" s="3" t="s">
        <v>227</v>
      </c>
      <c r="C23" s="3" t="s">
        <v>222</v>
      </c>
      <c r="D23" s="3" t="s">
        <v>232</v>
      </c>
      <c r="E23" s="3" t="s">
        <v>233</v>
      </c>
    </row>
    <row r="24" spans="1:9" ht="15.75" thickBot="1">
      <c r="A24" s="6"/>
      <c r="B24" s="4"/>
      <c r="C24" s="4"/>
      <c r="D24" s="4"/>
      <c r="E24" s="4"/>
    </row>
    <row r="25" spans="1:9" ht="15.75" thickBot="1">
      <c r="A25" s="6"/>
      <c r="B25" s="4"/>
      <c r="C25" s="4"/>
      <c r="D25" s="4"/>
      <c r="E25" s="4"/>
    </row>
    <row r="27" spans="1:9">
      <c r="A27" s="21" t="s">
        <v>673</v>
      </c>
      <c r="B27" s="21"/>
      <c r="C27" s="21"/>
      <c r="D27" s="21"/>
      <c r="E27" s="650" t="s">
        <v>615</v>
      </c>
      <c r="F27" s="650"/>
      <c r="G27" s="650"/>
      <c r="H27" s="67"/>
      <c r="I27" s="12"/>
    </row>
    <row r="28" spans="1:9">
      <c r="A28" s="21" t="s">
        <v>610</v>
      </c>
      <c r="F28" s="66"/>
      <c r="G28" s="22"/>
      <c r="H28" s="68"/>
      <c r="I28" s="12"/>
    </row>
    <row r="29" spans="1:9">
      <c r="A29" s="1"/>
      <c r="B29" s="651" t="s">
        <v>611</v>
      </c>
      <c r="C29" s="651"/>
      <c r="D29" s="651"/>
      <c r="E29" s="22" t="s">
        <v>612</v>
      </c>
    </row>
    <row r="30" spans="1:9">
      <c r="A30" s="1"/>
    </row>
  </sheetData>
  <mergeCells count="8">
    <mergeCell ref="E27:G27"/>
    <mergeCell ref="B29:D29"/>
    <mergeCell ref="A14:A16"/>
    <mergeCell ref="C14:C16"/>
    <mergeCell ref="D14:D16"/>
    <mergeCell ref="E14:E16"/>
    <mergeCell ref="F14:F16"/>
    <mergeCell ref="G14:G16"/>
  </mergeCells>
  <phoneticPr fontId="35" type="noConversion"/>
  <pageMargins left="0.7" right="0.7" top="0.75" bottom="0.75" header="0.3" footer="0.3"/>
  <pageSetup scale="8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topLeftCell="Z9" workbookViewId="0"/>
  </sheetViews>
  <sheetFormatPr defaultRowHeight="15"/>
  <sheetData/>
  <phoneticPr fontId="3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I88"/>
  <sheetViews>
    <sheetView topLeftCell="D31" zoomScaleNormal="100" zoomScaleSheetLayoutView="75" workbookViewId="0">
      <selection activeCell="E45" sqref="E45"/>
    </sheetView>
  </sheetViews>
  <sheetFormatPr defaultColWidth="17.7109375" defaultRowHeight="15"/>
  <cols>
    <col min="1" max="1" width="17.7109375" style="69" hidden="1" customWidth="1"/>
    <col min="2" max="2" width="14.7109375" style="69" customWidth="1"/>
    <col min="3" max="3" width="98.42578125" style="69" customWidth="1"/>
    <col min="4" max="4" width="10.7109375" style="69" customWidth="1"/>
    <col min="5" max="5" width="21.7109375" style="69" customWidth="1"/>
    <col min="6" max="6" width="21.7109375" style="446" customWidth="1"/>
    <col min="7" max="7" width="26.42578125" style="69" bestFit="1" customWidth="1"/>
    <col min="8" max="8" width="25.140625" style="69" customWidth="1"/>
    <col min="9" max="26" width="17.7109375" style="69" customWidth="1"/>
    <col min="27" max="16384" width="17.7109375" style="69"/>
  </cols>
  <sheetData>
    <row r="1" spans="2:8" ht="15.75">
      <c r="D1" s="445"/>
    </row>
    <row r="2" spans="2:8" ht="15.75">
      <c r="B2" s="447" t="s">
        <v>262</v>
      </c>
      <c r="C2" s="447"/>
      <c r="D2" s="445"/>
    </row>
    <row r="3" spans="2:8" ht="15.75">
      <c r="B3" s="447" t="s">
        <v>257</v>
      </c>
      <c r="C3" s="447"/>
      <c r="D3" s="445"/>
    </row>
    <row r="4" spans="2:8" ht="15.75">
      <c r="B4" s="447" t="s">
        <v>258</v>
      </c>
      <c r="C4" s="447"/>
      <c r="D4" s="445"/>
    </row>
    <row r="5" spans="2:8" ht="15.75">
      <c r="B5" s="447" t="s">
        <v>259</v>
      </c>
      <c r="C5" s="447"/>
      <c r="D5" s="445"/>
    </row>
    <row r="6" spans="2:8" ht="15.75">
      <c r="B6" s="447" t="s">
        <v>557</v>
      </c>
      <c r="C6" s="447"/>
      <c r="D6" s="445"/>
    </row>
    <row r="7" spans="2:8" ht="15.75">
      <c r="B7" s="447" t="s">
        <v>261</v>
      </c>
      <c r="C7" s="447"/>
    </row>
    <row r="8" spans="2:8" ht="15.75">
      <c r="B8" s="448"/>
    </row>
    <row r="9" spans="2:8" ht="15.75">
      <c r="C9" s="448" t="s">
        <v>32</v>
      </c>
    </row>
    <row r="10" spans="2:8">
      <c r="C10" s="449" t="s">
        <v>33</v>
      </c>
    </row>
    <row r="11" spans="2:8">
      <c r="C11" s="449" t="s">
        <v>669</v>
      </c>
    </row>
    <row r="12" spans="2:8" ht="15.75">
      <c r="B12" s="448"/>
    </row>
    <row r="13" spans="2:8">
      <c r="C13" s="69" t="s">
        <v>647</v>
      </c>
    </row>
    <row r="14" spans="2:8" ht="47.25">
      <c r="B14" s="450" t="s">
        <v>0</v>
      </c>
      <c r="C14" s="450" t="s">
        <v>1</v>
      </c>
      <c r="D14" s="450" t="s">
        <v>2</v>
      </c>
      <c r="E14" s="450" t="s">
        <v>3</v>
      </c>
      <c r="F14" s="451" t="s">
        <v>4</v>
      </c>
    </row>
    <row r="15" spans="2:8">
      <c r="B15" s="452">
        <v>1</v>
      </c>
      <c r="C15" s="453">
        <v>2</v>
      </c>
      <c r="D15" s="453">
        <v>3</v>
      </c>
      <c r="E15" s="453">
        <v>4</v>
      </c>
      <c r="F15" s="454">
        <v>5</v>
      </c>
    </row>
    <row r="16" spans="2:8" ht="15.75">
      <c r="B16" s="450"/>
      <c r="C16" s="455" t="s">
        <v>5</v>
      </c>
      <c r="D16" s="456" t="s">
        <v>330</v>
      </c>
      <c r="E16" s="457">
        <f>+E17+E18+E26+E34+E35</f>
        <v>20725516</v>
      </c>
      <c r="F16" s="457">
        <f>+F17+F18+F26+F34+F35</f>
        <v>23030735.559999999</v>
      </c>
      <c r="H16" s="446"/>
    </row>
    <row r="17" spans="2:8" ht="24" customHeight="1">
      <c r="B17" s="452" t="s">
        <v>6</v>
      </c>
      <c r="C17" s="455" t="s">
        <v>7</v>
      </c>
      <c r="D17" s="456" t="s">
        <v>322</v>
      </c>
      <c r="E17" s="458">
        <v>480484.14</v>
      </c>
      <c r="F17" s="458">
        <v>1353042.04</v>
      </c>
      <c r="G17" s="446"/>
    </row>
    <row r="18" spans="2:8" ht="15.75">
      <c r="B18" s="452"/>
      <c r="C18" s="455" t="s">
        <v>8</v>
      </c>
      <c r="D18" s="456" t="s">
        <v>323</v>
      </c>
      <c r="E18" s="457">
        <f>SUM(E19:E25)</f>
        <v>19408591.539999999</v>
      </c>
      <c r="F18" s="457">
        <f>SUM(F19:F25)</f>
        <v>21509121.919999998</v>
      </c>
    </row>
    <row r="19" spans="2:8">
      <c r="B19" s="491" t="s">
        <v>9</v>
      </c>
      <c r="C19" s="492" t="s">
        <v>10</v>
      </c>
      <c r="D19" s="493" t="s">
        <v>324</v>
      </c>
      <c r="E19" s="494">
        <f>1644805.02+75758.99</f>
        <v>1720564.01</v>
      </c>
      <c r="F19" s="494">
        <v>1874009.22</v>
      </c>
    </row>
    <row r="20" spans="2:8">
      <c r="B20" s="491"/>
      <c r="C20" s="492"/>
      <c r="D20" s="493"/>
      <c r="E20" s="494"/>
      <c r="F20" s="494"/>
      <c r="H20" s="446"/>
    </row>
    <row r="21" spans="2:8">
      <c r="B21" s="452" t="s">
        <v>11</v>
      </c>
      <c r="C21" s="459" t="s">
        <v>12</v>
      </c>
      <c r="D21" s="456" t="s">
        <v>325</v>
      </c>
      <c r="E21" s="458">
        <f>16865429.45+316706.08+5892</f>
        <v>17188027.529999997</v>
      </c>
      <c r="F21" s="458">
        <v>19130436.07</v>
      </c>
      <c r="H21" s="446"/>
    </row>
    <row r="22" spans="2:8">
      <c r="B22" s="452" t="s">
        <v>13</v>
      </c>
      <c r="C22" s="459" t="s">
        <v>14</v>
      </c>
      <c r="D22" s="456" t="s">
        <v>326</v>
      </c>
      <c r="E22" s="458"/>
      <c r="F22" s="458">
        <v>4676.63</v>
      </c>
      <c r="H22" s="446"/>
    </row>
    <row r="23" spans="2:8">
      <c r="B23" s="452" t="s">
        <v>15</v>
      </c>
      <c r="C23" s="459" t="s">
        <v>16</v>
      </c>
      <c r="D23" s="456" t="s">
        <v>327</v>
      </c>
      <c r="E23" s="458">
        <v>500000</v>
      </c>
      <c r="F23" s="458">
        <v>500000</v>
      </c>
    </row>
    <row r="24" spans="2:8">
      <c r="B24" s="452" t="s">
        <v>17</v>
      </c>
      <c r="C24" s="459" t="s">
        <v>18</v>
      </c>
      <c r="D24" s="456" t="s">
        <v>328</v>
      </c>
      <c r="E24" s="458"/>
      <c r="F24" s="458"/>
    </row>
    <row r="25" spans="2:8">
      <c r="B25" s="452">
        <v>250</v>
      </c>
      <c r="C25" s="459" t="s">
        <v>19</v>
      </c>
      <c r="D25" s="456" t="s">
        <v>329</v>
      </c>
      <c r="E25" s="458"/>
      <c r="F25" s="458"/>
    </row>
    <row r="26" spans="2:8" ht="15.75">
      <c r="B26" s="452"/>
      <c r="C26" s="455" t="s">
        <v>20</v>
      </c>
      <c r="D26" s="456" t="s">
        <v>265</v>
      </c>
      <c r="E26" s="457">
        <f>SUM(E27:E33)</f>
        <v>836440.32000000007</v>
      </c>
      <c r="F26" s="457">
        <f>SUM(F27:F33)</f>
        <v>168571.6</v>
      </c>
    </row>
    <row r="27" spans="2:8">
      <c r="B27" s="452">
        <v>300</v>
      </c>
      <c r="C27" s="459" t="s">
        <v>21</v>
      </c>
      <c r="D27" s="456" t="s">
        <v>266</v>
      </c>
      <c r="E27" s="458"/>
      <c r="F27" s="458">
        <v>0</v>
      </c>
    </row>
    <row r="28" spans="2:8">
      <c r="B28" s="452">
        <v>301</v>
      </c>
      <c r="C28" s="459" t="s">
        <v>22</v>
      </c>
      <c r="D28" s="456" t="s">
        <v>267</v>
      </c>
      <c r="E28" s="458"/>
      <c r="F28" s="458"/>
    </row>
    <row r="29" spans="2:8">
      <c r="B29" s="452">
        <v>302</v>
      </c>
      <c r="C29" s="459" t="s">
        <v>23</v>
      </c>
      <c r="D29" s="456" t="s">
        <v>268</v>
      </c>
      <c r="E29" s="458">
        <v>14696.14</v>
      </c>
      <c r="F29" s="458">
        <v>17589.04</v>
      </c>
    </row>
    <row r="30" spans="2:8">
      <c r="B30" s="452">
        <v>303</v>
      </c>
      <c r="C30" s="460" t="s">
        <v>24</v>
      </c>
      <c r="D30" s="456" t="s">
        <v>269</v>
      </c>
      <c r="E30" s="458">
        <v>821744.18</v>
      </c>
      <c r="F30" s="458">
        <v>150982.56</v>
      </c>
    </row>
    <row r="31" spans="2:8">
      <c r="B31" s="452">
        <v>304</v>
      </c>
      <c r="C31" s="460" t="s">
        <v>25</v>
      </c>
      <c r="D31" s="456" t="s">
        <v>270</v>
      </c>
      <c r="E31" s="458"/>
      <c r="F31" s="458"/>
    </row>
    <row r="32" spans="2:8">
      <c r="B32" s="452">
        <v>309</v>
      </c>
      <c r="C32" s="459" t="s">
        <v>26</v>
      </c>
      <c r="D32" s="456" t="s">
        <v>271</v>
      </c>
      <c r="E32" s="458">
        <v>0</v>
      </c>
      <c r="F32" s="458"/>
    </row>
    <row r="33" spans="2:6">
      <c r="B33" s="452" t="s">
        <v>27</v>
      </c>
      <c r="C33" s="459" t="s">
        <v>28</v>
      </c>
      <c r="D33" s="456" t="s">
        <v>272</v>
      </c>
      <c r="E33" s="458"/>
      <c r="F33" s="458"/>
    </row>
    <row r="34" spans="2:6" ht="15.75">
      <c r="B34" s="452">
        <v>320</v>
      </c>
      <c r="C34" s="455" t="s">
        <v>29</v>
      </c>
      <c r="D34" s="456" t="s">
        <v>273</v>
      </c>
      <c r="E34" s="458"/>
      <c r="F34" s="458"/>
    </row>
    <row r="35" spans="2:6" ht="15.75">
      <c r="B35" s="452">
        <v>33</v>
      </c>
      <c r="C35" s="455" t="s">
        <v>30</v>
      </c>
      <c r="D35" s="456" t="s">
        <v>274</v>
      </c>
      <c r="E35" s="458"/>
      <c r="F35" s="458">
        <v>0</v>
      </c>
    </row>
    <row r="36" spans="2:6" ht="15.75">
      <c r="B36" s="450"/>
      <c r="C36" s="455" t="s">
        <v>31</v>
      </c>
      <c r="D36" s="461" t="s">
        <v>275</v>
      </c>
      <c r="E36" s="457">
        <f>+E37+E41+E46+E47+E50+E53+E55</f>
        <v>179833.91</v>
      </c>
      <c r="F36" s="457">
        <f>+F37+F41+F46+F47+F50+F53+F55</f>
        <v>819369</v>
      </c>
    </row>
    <row r="37" spans="2:6" ht="15.75">
      <c r="B37" s="452">
        <v>40</v>
      </c>
      <c r="C37" s="455" t="s">
        <v>34</v>
      </c>
      <c r="D37" s="461" t="s">
        <v>276</v>
      </c>
      <c r="E37" s="458">
        <f>SUM(E38:E40)</f>
        <v>0</v>
      </c>
      <c r="F37" s="458">
        <f>SUM(F38:F40)</f>
        <v>0</v>
      </c>
    </row>
    <row r="38" spans="2:6">
      <c r="B38" s="452" t="s">
        <v>35</v>
      </c>
      <c r="C38" s="459" t="s">
        <v>36</v>
      </c>
      <c r="D38" s="461" t="s">
        <v>277</v>
      </c>
      <c r="E38" s="458"/>
      <c r="F38" s="458"/>
    </row>
    <row r="39" spans="2:6">
      <c r="B39" s="452">
        <v>403</v>
      </c>
      <c r="C39" s="459" t="s">
        <v>37</v>
      </c>
      <c r="D39" s="461" t="s">
        <v>278</v>
      </c>
      <c r="E39" s="458"/>
      <c r="F39" s="458"/>
    </row>
    <row r="40" spans="2:6">
      <c r="B40" s="452">
        <v>404</v>
      </c>
      <c r="C40" s="459" t="s">
        <v>38</v>
      </c>
      <c r="D40" s="456" t="s">
        <v>279</v>
      </c>
      <c r="E40" s="458"/>
      <c r="F40" s="458"/>
    </row>
    <row r="41" spans="2:6" ht="15.75">
      <c r="B41" s="452">
        <v>41</v>
      </c>
      <c r="C41" s="455" t="s">
        <v>621</v>
      </c>
      <c r="D41" s="456" t="s">
        <v>280</v>
      </c>
      <c r="E41" s="457">
        <f>SUM(E42:E45)</f>
        <v>9740.85</v>
      </c>
      <c r="F41" s="457">
        <f>SUM(F42:F45)</f>
        <v>11351</v>
      </c>
    </row>
    <row r="42" spans="2:6">
      <c r="B42" s="452">
        <v>410</v>
      </c>
      <c r="C42" s="459" t="s">
        <v>39</v>
      </c>
      <c r="D42" s="461" t="s">
        <v>281</v>
      </c>
      <c r="E42" s="482">
        <f>3710.61-1950</f>
        <v>1760.6100000000001</v>
      </c>
      <c r="F42" s="458">
        <v>1936</v>
      </c>
    </row>
    <row r="43" spans="2:6">
      <c r="B43" s="452">
        <v>414</v>
      </c>
      <c r="C43" s="459" t="s">
        <v>40</v>
      </c>
      <c r="D43" s="456" t="s">
        <v>282</v>
      </c>
      <c r="E43" s="458"/>
      <c r="F43" s="458"/>
    </row>
    <row r="44" spans="2:6">
      <c r="B44" s="452">
        <v>415</v>
      </c>
      <c r="C44" s="459" t="s">
        <v>41</v>
      </c>
      <c r="D44" s="456" t="s">
        <v>283</v>
      </c>
      <c r="E44" s="458"/>
      <c r="F44" s="458"/>
    </row>
    <row r="45" spans="2:6" ht="30">
      <c r="B45" s="452" t="s">
        <v>42</v>
      </c>
      <c r="C45" s="459" t="s">
        <v>43</v>
      </c>
      <c r="D45" s="456" t="s">
        <v>284</v>
      </c>
      <c r="E45" s="482">
        <f>3068.03+2962.21+1950</f>
        <v>7980.24</v>
      </c>
      <c r="F45" s="458">
        <v>9415</v>
      </c>
    </row>
    <row r="46" spans="2:6" ht="15.75">
      <c r="B46" s="452" t="s">
        <v>44</v>
      </c>
      <c r="C46" s="455" t="s">
        <v>45</v>
      </c>
      <c r="D46" s="456" t="s">
        <v>285</v>
      </c>
      <c r="E46" s="457">
        <v>170093.06</v>
      </c>
      <c r="F46" s="457">
        <v>808018</v>
      </c>
    </row>
    <row r="47" spans="2:6" ht="15.75">
      <c r="B47" s="452">
        <v>43</v>
      </c>
      <c r="C47" s="455" t="s">
        <v>46</v>
      </c>
      <c r="D47" s="456" t="s">
        <v>286</v>
      </c>
      <c r="E47" s="458">
        <f>+E48+E49</f>
        <v>0</v>
      </c>
      <c r="F47" s="458">
        <f>+F48+F49</f>
        <v>0</v>
      </c>
    </row>
    <row r="48" spans="2:6">
      <c r="B48" s="452">
        <v>430</v>
      </c>
      <c r="C48" s="459" t="s">
        <v>47</v>
      </c>
      <c r="D48" s="456" t="s">
        <v>287</v>
      </c>
      <c r="E48" s="458"/>
      <c r="F48" s="458"/>
    </row>
    <row r="49" spans="2:8">
      <c r="B49" s="452" t="s">
        <v>48</v>
      </c>
      <c r="C49" s="459" t="s">
        <v>49</v>
      </c>
      <c r="D49" s="461" t="s">
        <v>288</v>
      </c>
      <c r="E49" s="458"/>
      <c r="F49" s="458"/>
    </row>
    <row r="50" spans="2:8" ht="15.75">
      <c r="B50" s="452">
        <v>44</v>
      </c>
      <c r="C50" s="455" t="s">
        <v>50</v>
      </c>
      <c r="D50" s="461" t="s">
        <v>289</v>
      </c>
      <c r="E50" s="458">
        <f>+E51+E52</f>
        <v>0</v>
      </c>
      <c r="F50" s="458">
        <f>+F51+F52</f>
        <v>0</v>
      </c>
    </row>
    <row r="51" spans="2:8">
      <c r="B51" s="452" t="s">
        <v>51</v>
      </c>
      <c r="C51" s="459" t="s">
        <v>52</v>
      </c>
      <c r="D51" s="461" t="s">
        <v>290</v>
      </c>
      <c r="E51" s="458"/>
      <c r="F51" s="458"/>
    </row>
    <row r="52" spans="2:8">
      <c r="B52" s="452">
        <v>449</v>
      </c>
      <c r="C52" s="459" t="s">
        <v>53</v>
      </c>
      <c r="D52" s="461" t="s">
        <v>291</v>
      </c>
      <c r="E52" s="458"/>
      <c r="F52" s="458"/>
    </row>
    <row r="53" spans="2:8" ht="15.75">
      <c r="B53" s="452">
        <v>450</v>
      </c>
      <c r="C53" s="455" t="s">
        <v>54</v>
      </c>
      <c r="D53" s="461" t="s">
        <v>292</v>
      </c>
      <c r="E53" s="458"/>
      <c r="F53" s="458"/>
      <c r="G53" s="446"/>
    </row>
    <row r="54" spans="2:8" ht="15.75">
      <c r="B54" s="452">
        <v>460</v>
      </c>
      <c r="C54" s="455" t="s">
        <v>55</v>
      </c>
      <c r="D54" s="461" t="s">
        <v>293</v>
      </c>
      <c r="E54" s="458"/>
      <c r="F54" s="458"/>
      <c r="H54" s="462"/>
    </row>
    <row r="55" spans="2:8" ht="15.75">
      <c r="B55" s="452">
        <v>47</v>
      </c>
      <c r="C55" s="455" t="s">
        <v>56</v>
      </c>
      <c r="D55" s="461" t="s">
        <v>294</v>
      </c>
      <c r="E55" s="458"/>
      <c r="F55" s="458"/>
    </row>
    <row r="56" spans="2:8" ht="15.75">
      <c r="B56" s="450"/>
      <c r="C56" s="455" t="s">
        <v>57</v>
      </c>
      <c r="D56" s="461" t="s">
        <v>295</v>
      </c>
      <c r="E56" s="457">
        <f>+E16-E36</f>
        <v>20545682.09</v>
      </c>
      <c r="F56" s="457">
        <f>+F16-F36-1</f>
        <v>22211365.559999999</v>
      </c>
      <c r="G56" s="446">
        <f>F56-F57</f>
        <v>3.999999538064003E-2</v>
      </c>
    </row>
    <row r="57" spans="2:8" ht="15.75">
      <c r="B57" s="450"/>
      <c r="C57" s="455" t="s">
        <v>58</v>
      </c>
      <c r="D57" s="461" t="s">
        <v>296</v>
      </c>
      <c r="E57" s="457">
        <f>+E58+E61+E64+E69+E70+E73+E76-2</f>
        <v>20545682.090000004</v>
      </c>
      <c r="F57" s="457">
        <f>+F58+F61+F64+F69+F70+F73+F76</f>
        <v>22211365.520000003</v>
      </c>
      <c r="G57" s="446"/>
    </row>
    <row r="58" spans="2:8" ht="15.75">
      <c r="B58" s="452">
        <v>51</v>
      </c>
      <c r="C58" s="455" t="s">
        <v>59</v>
      </c>
      <c r="D58" s="461" t="s">
        <v>297</v>
      </c>
      <c r="E58" s="457">
        <f>+E59+E60</f>
        <v>101750018</v>
      </c>
      <c r="F58" s="457">
        <f>+F59+F60</f>
        <v>101750018</v>
      </c>
      <c r="H58" s="446"/>
    </row>
    <row r="59" spans="2:8">
      <c r="B59" s="452">
        <v>510</v>
      </c>
      <c r="C59" s="459" t="s">
        <v>60</v>
      </c>
      <c r="D59" s="461" t="s">
        <v>298</v>
      </c>
      <c r="E59" s="458">
        <v>101750018</v>
      </c>
      <c r="F59" s="458">
        <v>101750018</v>
      </c>
      <c r="G59" s="446">
        <f>E56-E57</f>
        <v>0</v>
      </c>
    </row>
    <row r="60" spans="2:8">
      <c r="B60" s="452">
        <v>512</v>
      </c>
      <c r="C60" s="459" t="s">
        <v>61</v>
      </c>
      <c r="D60" s="461" t="s">
        <v>299</v>
      </c>
      <c r="E60" s="458"/>
      <c r="F60" s="458"/>
    </row>
    <row r="61" spans="2:8" ht="15.75">
      <c r="B61" s="452">
        <v>52</v>
      </c>
      <c r="C61" s="455" t="s">
        <v>62</v>
      </c>
      <c r="D61" s="461" t="s">
        <v>300</v>
      </c>
      <c r="E61" s="457">
        <f>+E62+E63</f>
        <v>906736</v>
      </c>
      <c r="F61" s="457">
        <f>+F62+F63</f>
        <v>906736</v>
      </c>
    </row>
    <row r="62" spans="2:8">
      <c r="B62" s="452">
        <v>520</v>
      </c>
      <c r="C62" s="459" t="s">
        <v>63</v>
      </c>
      <c r="D62" s="461" t="s">
        <v>301</v>
      </c>
      <c r="E62" s="458">
        <v>906736</v>
      </c>
      <c r="F62" s="458">
        <v>906736</v>
      </c>
      <c r="G62" s="446"/>
    </row>
    <row r="63" spans="2:8">
      <c r="B63" s="452">
        <v>521</v>
      </c>
      <c r="C63" s="459" t="s">
        <v>64</v>
      </c>
      <c r="D63" s="461" t="s">
        <v>302</v>
      </c>
      <c r="E63" s="458"/>
      <c r="F63" s="458"/>
    </row>
    <row r="64" spans="2:8" ht="15.75">
      <c r="B64" s="452">
        <v>53</v>
      </c>
      <c r="C64" s="455" t="s">
        <v>65</v>
      </c>
      <c r="D64" s="461" t="s">
        <v>303</v>
      </c>
      <c r="E64" s="457">
        <f>+E65+E66</f>
        <v>-58924556.899999999</v>
      </c>
      <c r="F64" s="457">
        <f>+F65+F66</f>
        <v>-57138143.479999997</v>
      </c>
      <c r="G64" s="446"/>
    </row>
    <row r="65" spans="2:9" ht="30">
      <c r="B65" s="452">
        <v>530</v>
      </c>
      <c r="C65" s="459" t="s">
        <v>553</v>
      </c>
      <c r="D65" s="461" t="s">
        <v>304</v>
      </c>
      <c r="E65" s="458">
        <f>-58924556.9</f>
        <v>-58924556.899999999</v>
      </c>
      <c r="F65" s="458">
        <v>-57138143.479999997</v>
      </c>
      <c r="G65" s="446"/>
      <c r="H65" s="463">
        <f>'НЕРЕАЛИЗОВАНИ ДОБ ГУБИТ 12 14'!M75</f>
        <v>-59103594.07</v>
      </c>
      <c r="I65" s="446"/>
    </row>
    <row r="66" spans="2:9">
      <c r="B66" s="452">
        <v>531</v>
      </c>
      <c r="C66" s="459" t="s">
        <v>66</v>
      </c>
      <c r="D66" s="461" t="s">
        <v>305</v>
      </c>
      <c r="E66" s="458"/>
      <c r="F66" s="458"/>
      <c r="H66" s="463">
        <f>H65-E65</f>
        <v>-179037.17000000179</v>
      </c>
    </row>
    <row r="67" spans="2:9">
      <c r="B67" s="452">
        <v>532</v>
      </c>
      <c r="C67" s="459" t="s">
        <v>67</v>
      </c>
      <c r="D67" s="461" t="s">
        <v>306</v>
      </c>
      <c r="E67" s="458"/>
      <c r="F67" s="458"/>
    </row>
    <row r="68" spans="2:9">
      <c r="B68" s="452">
        <v>533</v>
      </c>
      <c r="C68" s="459" t="s">
        <v>68</v>
      </c>
      <c r="D68" s="461" t="s">
        <v>307</v>
      </c>
      <c r="E68" s="458"/>
      <c r="F68" s="458"/>
    </row>
    <row r="69" spans="2:9" ht="15.75">
      <c r="B69" s="452">
        <v>54</v>
      </c>
      <c r="C69" s="455" t="s">
        <v>69</v>
      </c>
      <c r="D69" s="461" t="s">
        <v>308</v>
      </c>
      <c r="E69" s="458"/>
      <c r="F69" s="458"/>
    </row>
    <row r="70" spans="2:9" ht="15.75">
      <c r="B70" s="452">
        <v>55</v>
      </c>
      <c r="C70" s="455" t="s">
        <v>70</v>
      </c>
      <c r="D70" s="461" t="s">
        <v>309</v>
      </c>
      <c r="E70" s="457">
        <f>+E71+E72</f>
        <v>299766.73999999976</v>
      </c>
      <c r="F70" s="457">
        <f>+F71+F72</f>
        <v>0</v>
      </c>
    </row>
    <row r="71" spans="2:9">
      <c r="B71" s="452">
        <v>550</v>
      </c>
      <c r="C71" s="459" t="s">
        <v>71</v>
      </c>
      <c r="D71" s="461" t="s">
        <v>310</v>
      </c>
      <c r="E71" s="458"/>
      <c r="F71" s="458"/>
    </row>
    <row r="72" spans="2:9">
      <c r="B72" s="452">
        <v>551</v>
      </c>
      <c r="C72" s="459" t="s">
        <v>72</v>
      </c>
      <c r="D72" s="461" t="s">
        <v>311</v>
      </c>
      <c r="E72" s="458">
        <f>+БУ!D59</f>
        <v>299766.73999999976</v>
      </c>
      <c r="F72" s="458">
        <f>+БУ!E59</f>
        <v>0</v>
      </c>
    </row>
    <row r="73" spans="2:9" ht="15.75">
      <c r="B73" s="452">
        <v>56</v>
      </c>
      <c r="C73" s="455" t="s">
        <v>73</v>
      </c>
      <c r="D73" s="461" t="s">
        <v>312</v>
      </c>
      <c r="E73" s="464">
        <f>+E74+E75</f>
        <v>-19434126</v>
      </c>
      <c r="F73" s="464">
        <f>+F74+F75</f>
        <v>-19434126</v>
      </c>
    </row>
    <row r="74" spans="2:9">
      <c r="B74" s="452">
        <v>560</v>
      </c>
      <c r="C74" s="459" t="s">
        <v>74</v>
      </c>
      <c r="D74" s="461" t="s">
        <v>313</v>
      </c>
      <c r="E74" s="458">
        <v>-19434126</v>
      </c>
      <c r="F74" s="458">
        <v>-18684444</v>
      </c>
    </row>
    <row r="75" spans="2:9">
      <c r="B75" s="452">
        <v>561</v>
      </c>
      <c r="C75" s="459" t="s">
        <v>75</v>
      </c>
      <c r="D75" s="461" t="s">
        <v>314</v>
      </c>
      <c r="E75" s="458">
        <f>БУ!D61</f>
        <v>0</v>
      </c>
      <c r="F75" s="458">
        <v>-749682</v>
      </c>
    </row>
    <row r="76" spans="2:9" ht="15.75">
      <c r="B76" s="452">
        <v>57</v>
      </c>
      <c r="C76" s="455" t="s">
        <v>76</v>
      </c>
      <c r="D76" s="461" t="s">
        <v>315</v>
      </c>
      <c r="E76" s="457">
        <f>+E77+E78</f>
        <v>-4052153.7500000005</v>
      </c>
      <c r="F76" s="457">
        <f>+F77+F78</f>
        <v>-3873119</v>
      </c>
      <c r="G76" s="446">
        <f>F76-E76</f>
        <v>179034.75000000047</v>
      </c>
      <c r="H76" s="446">
        <f>G76-E77</f>
        <v>31698.220000000467</v>
      </c>
    </row>
    <row r="77" spans="2:9" ht="30">
      <c r="B77" s="452">
        <v>570</v>
      </c>
      <c r="C77" s="459" t="s">
        <v>554</v>
      </c>
      <c r="D77" s="461" t="s">
        <v>316</v>
      </c>
      <c r="E77" s="458">
        <f>'НЕРЕАЛИЗОВАНИ ДОБ ГУБИТ 12 14'!N77+2</f>
        <v>147336.53</v>
      </c>
      <c r="F77" s="458">
        <v>159048</v>
      </c>
      <c r="H77" s="446"/>
    </row>
    <row r="78" spans="2:9" ht="30">
      <c r="B78" s="452">
        <v>571</v>
      </c>
      <c r="C78" s="459" t="s">
        <v>555</v>
      </c>
      <c r="D78" s="461" t="s">
        <v>317</v>
      </c>
      <c r="E78" s="458">
        <f>-'НЕРЕАЛИЗОВАНИ ДОБ ГУБИТ 12 14'!O77</f>
        <v>-4199490.28</v>
      </c>
      <c r="F78" s="458">
        <v>-4032167</v>
      </c>
      <c r="G78" s="446"/>
      <c r="H78" s="446"/>
    </row>
    <row r="79" spans="2:9" ht="15.75">
      <c r="B79" s="452"/>
      <c r="C79" s="455" t="s">
        <v>77</v>
      </c>
      <c r="D79" s="461" t="s">
        <v>318</v>
      </c>
      <c r="E79" s="458">
        <v>1082447</v>
      </c>
      <c r="F79" s="458">
        <v>1082447</v>
      </c>
    </row>
    <row r="80" spans="2:9" ht="15.75">
      <c r="B80" s="450"/>
      <c r="C80" s="455" t="s">
        <v>78</v>
      </c>
      <c r="D80" s="461" t="s">
        <v>319</v>
      </c>
      <c r="E80" s="458">
        <f>E56/E79</f>
        <v>18.980774199568199</v>
      </c>
      <c r="F80" s="458">
        <f>F56/F79</f>
        <v>20.51958715761603</v>
      </c>
    </row>
    <row r="81" spans="2:8" ht="15.75">
      <c r="B81" s="490"/>
      <c r="C81" s="455" t="s">
        <v>79</v>
      </c>
      <c r="E81" s="465"/>
      <c r="F81" s="465"/>
      <c r="H81" s="446"/>
    </row>
    <row r="82" spans="2:8">
      <c r="B82" s="490"/>
      <c r="C82" s="459" t="s">
        <v>80</v>
      </c>
      <c r="D82" s="466" t="s">
        <v>320</v>
      </c>
      <c r="E82" s="465"/>
      <c r="F82" s="465"/>
      <c r="G82" s="446"/>
    </row>
    <row r="83" spans="2:8" ht="15.75">
      <c r="B83" s="450"/>
      <c r="C83" s="459" t="s">
        <v>81</v>
      </c>
      <c r="D83" s="461" t="s">
        <v>321</v>
      </c>
      <c r="E83" s="458"/>
      <c r="F83" s="458"/>
    </row>
    <row r="84" spans="2:8" ht="15.75">
      <c r="B84" s="467"/>
      <c r="C84" s="468"/>
      <c r="D84" s="469"/>
      <c r="E84" s="470"/>
      <c r="F84" s="470"/>
    </row>
    <row r="85" spans="2:8">
      <c r="B85" s="471"/>
      <c r="C85" s="440" t="s">
        <v>638</v>
      </c>
      <c r="D85" s="444" t="s">
        <v>82</v>
      </c>
      <c r="E85" s="488" t="s">
        <v>599</v>
      </c>
      <c r="F85" s="488"/>
    </row>
    <row r="86" spans="2:8">
      <c r="B86" s="444"/>
      <c r="C86" s="440" t="s">
        <v>264</v>
      </c>
      <c r="D86" s="444"/>
      <c r="E86" s="489" t="s">
        <v>263</v>
      </c>
      <c r="F86" s="489"/>
    </row>
    <row r="88" spans="2:8">
      <c r="B88" s="472"/>
    </row>
  </sheetData>
  <mergeCells count="8">
    <mergeCell ref="E85:F85"/>
    <mergeCell ref="E86:F86"/>
    <mergeCell ref="B81:B82"/>
    <mergeCell ref="B19:B20"/>
    <mergeCell ref="C19:C20"/>
    <mergeCell ref="D19:D20"/>
    <mergeCell ref="E19:E20"/>
    <mergeCell ref="F19:F20"/>
  </mergeCells>
  <phoneticPr fontId="0" type="noConversion"/>
  <pageMargins left="0.25" right="0.6" top="0.28000000000000003" bottom="0.25" header="0.2" footer="0.2"/>
  <pageSetup paperSize="9" scale="4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A1:J44"/>
  <sheetViews>
    <sheetView topLeftCell="A13" zoomScale="75" zoomScaleNormal="75" workbookViewId="0">
      <selection activeCell="H19" sqref="H19"/>
    </sheetView>
  </sheetViews>
  <sheetFormatPr defaultRowHeight="20.25"/>
  <cols>
    <col min="1" max="1" width="18.140625" style="71" customWidth="1"/>
    <col min="2" max="2" width="49.85546875" style="71" customWidth="1"/>
    <col min="3" max="3" width="9.140625" style="71" customWidth="1"/>
    <col min="4" max="4" width="24.140625" style="71" customWidth="1"/>
    <col min="5" max="5" width="26.5703125" style="71" bestFit="1" customWidth="1"/>
    <col min="6" max="6" width="9.140625" style="71" customWidth="1"/>
    <col min="7" max="7" width="22.5703125" style="71" customWidth="1"/>
    <col min="8" max="8" width="24.85546875" style="71" bestFit="1" customWidth="1"/>
    <col min="9" max="9" width="22.140625" style="71" bestFit="1" customWidth="1"/>
    <col min="10" max="10" width="15" style="71" bestFit="1" customWidth="1"/>
    <col min="11" max="16384" width="9.140625" style="71"/>
  </cols>
  <sheetData>
    <row r="1" spans="1:8">
      <c r="A1" s="72" t="s">
        <v>262</v>
      </c>
      <c r="B1" s="73"/>
      <c r="C1" s="73"/>
      <c r="D1" s="73"/>
      <c r="E1" s="73"/>
    </row>
    <row r="2" spans="1:8">
      <c r="A2" s="72" t="s">
        <v>257</v>
      </c>
      <c r="B2" s="73"/>
      <c r="C2" s="73"/>
      <c r="D2" s="73"/>
      <c r="E2" s="73"/>
    </row>
    <row r="3" spans="1:8">
      <c r="A3" s="72" t="s">
        <v>258</v>
      </c>
      <c r="B3" s="73"/>
      <c r="C3" s="73"/>
      <c r="D3" s="73"/>
      <c r="E3" s="73"/>
    </row>
    <row r="4" spans="1:8">
      <c r="A4" s="72" t="s">
        <v>259</v>
      </c>
      <c r="B4" s="73"/>
      <c r="C4" s="73"/>
      <c r="D4" s="73"/>
      <c r="E4" s="73"/>
    </row>
    <row r="5" spans="1:8">
      <c r="A5" s="72" t="s">
        <v>260</v>
      </c>
      <c r="B5" s="73"/>
      <c r="C5" s="73"/>
      <c r="D5" s="73"/>
      <c r="E5" s="73"/>
    </row>
    <row r="6" spans="1:8">
      <c r="A6" s="72" t="s">
        <v>261</v>
      </c>
      <c r="B6" s="73"/>
      <c r="C6" s="73"/>
      <c r="D6" s="73"/>
      <c r="E6" s="73"/>
      <c r="H6" s="283" t="s">
        <v>626</v>
      </c>
    </row>
    <row r="7" spans="1:8">
      <c r="A7" s="271"/>
      <c r="B7" s="73"/>
      <c r="C7" s="73"/>
      <c r="D7" s="73"/>
      <c r="E7" s="73"/>
    </row>
    <row r="9" spans="1:8">
      <c r="A9" s="271" t="s">
        <v>169</v>
      </c>
    </row>
    <row r="10" spans="1:8">
      <c r="A10" s="271" t="s">
        <v>170</v>
      </c>
    </row>
    <row r="11" spans="1:8">
      <c r="A11" s="495" t="s">
        <v>668</v>
      </c>
      <c r="B11" s="495"/>
      <c r="C11" s="495"/>
      <c r="D11" s="495"/>
      <c r="E11" s="495"/>
    </row>
    <row r="12" spans="1:8">
      <c r="A12" s="76"/>
    </row>
    <row r="13" spans="1:8">
      <c r="B13" s="71" t="s">
        <v>149</v>
      </c>
    </row>
    <row r="14" spans="1:8" ht="40.5">
      <c r="A14" s="78" t="s">
        <v>150</v>
      </c>
      <c r="B14" s="78" t="s">
        <v>1</v>
      </c>
      <c r="C14" s="78" t="s">
        <v>2</v>
      </c>
      <c r="D14" s="78" t="s">
        <v>3</v>
      </c>
      <c r="E14" s="78" t="s">
        <v>4</v>
      </c>
    </row>
    <row r="15" spans="1:8">
      <c r="A15" s="79">
        <v>1</v>
      </c>
      <c r="B15" s="79">
        <v>2</v>
      </c>
      <c r="C15" s="79">
        <v>3</v>
      </c>
      <c r="D15" s="79">
        <v>4</v>
      </c>
      <c r="E15" s="79">
        <v>5</v>
      </c>
    </row>
    <row r="16" spans="1:8" ht="60.75">
      <c r="A16" s="79">
        <v>1</v>
      </c>
      <c r="B16" s="274" t="s">
        <v>151</v>
      </c>
      <c r="C16" s="79">
        <v>301</v>
      </c>
      <c r="D16" s="269">
        <f>SUM(D17:D21)</f>
        <v>-1665684.4300000025</v>
      </c>
      <c r="E16" s="269">
        <v>-2581890</v>
      </c>
    </row>
    <row r="17" spans="1:9" ht="40.5">
      <c r="A17" s="79">
        <v>2</v>
      </c>
      <c r="B17" s="480" t="s">
        <v>152</v>
      </c>
      <c r="C17" s="481">
        <v>302</v>
      </c>
      <c r="D17" s="269">
        <f>+БУ!D41</f>
        <v>299766.73999999976</v>
      </c>
      <c r="E17" s="269">
        <f>БС!F75</f>
        <v>-749682</v>
      </c>
    </row>
    <row r="18" spans="1:9" ht="40.5">
      <c r="A18" s="79">
        <v>3</v>
      </c>
      <c r="B18" s="248" t="s">
        <v>153</v>
      </c>
      <c r="C18" s="79">
        <v>303</v>
      </c>
      <c r="D18" s="269">
        <f>-(БС!F76-БС!E76)-2</f>
        <v>-179036.75000000047</v>
      </c>
      <c r="E18" s="269">
        <v>-370849</v>
      </c>
    </row>
    <row r="19" spans="1:9" ht="60.75">
      <c r="A19" s="79">
        <v>4</v>
      </c>
      <c r="B19" s="248" t="s">
        <v>154</v>
      </c>
      <c r="C19" s="79">
        <v>304</v>
      </c>
      <c r="D19" s="269">
        <f>БС!E65-БС!F65-1</f>
        <v>-1786414.4200000018</v>
      </c>
      <c r="E19" s="269">
        <v>-1461359</v>
      </c>
    </row>
    <row r="20" spans="1:9" ht="40.5">
      <c r="A20" s="79">
        <v>5</v>
      </c>
      <c r="B20" s="248" t="s">
        <v>155</v>
      </c>
      <c r="C20" s="79">
        <v>305</v>
      </c>
      <c r="D20" s="269"/>
      <c r="E20" s="269"/>
    </row>
    <row r="21" spans="1:9" ht="40.5">
      <c r="A21" s="79">
        <v>6</v>
      </c>
      <c r="B21" s="248" t="s">
        <v>156</v>
      </c>
      <c r="C21" s="79">
        <v>306</v>
      </c>
      <c r="D21" s="269"/>
      <c r="E21" s="269"/>
    </row>
    <row r="22" spans="1:9" ht="81">
      <c r="A22" s="79">
        <v>7</v>
      </c>
      <c r="B22" s="274" t="s">
        <v>157</v>
      </c>
      <c r="C22" s="79">
        <v>307</v>
      </c>
      <c r="D22" s="269">
        <f>+D23+D24</f>
        <v>0</v>
      </c>
      <c r="E22" s="269">
        <f>+E23+E24</f>
        <v>0</v>
      </c>
      <c r="G22" s="71">
        <v>770856</v>
      </c>
    </row>
    <row r="23" spans="1:9" ht="40.5">
      <c r="A23" s="79">
        <v>8</v>
      </c>
      <c r="B23" s="248" t="s">
        <v>158</v>
      </c>
      <c r="C23" s="79">
        <v>308</v>
      </c>
      <c r="D23" s="269"/>
      <c r="E23" s="269"/>
      <c r="G23" s="71">
        <v>833422</v>
      </c>
      <c r="H23" s="71">
        <f>G23-G22</f>
        <v>62566</v>
      </c>
    </row>
    <row r="24" spans="1:9" ht="40.5">
      <c r="A24" s="79">
        <v>9</v>
      </c>
      <c r="B24" s="248" t="s">
        <v>159</v>
      </c>
      <c r="C24" s="79">
        <v>309</v>
      </c>
      <c r="D24" s="269"/>
      <c r="E24" s="269"/>
      <c r="H24" s="83"/>
    </row>
    <row r="25" spans="1:9">
      <c r="A25" s="498">
        <v>10</v>
      </c>
      <c r="B25" s="499" t="s">
        <v>160</v>
      </c>
      <c r="C25" s="498">
        <v>310</v>
      </c>
      <c r="D25" s="500">
        <f>+D16+D22-D24</f>
        <v>-1665684.4300000025</v>
      </c>
      <c r="E25" s="501">
        <f>+E16+E22-E24</f>
        <v>-2581890</v>
      </c>
      <c r="I25" s="83"/>
    </row>
    <row r="26" spans="1:9">
      <c r="A26" s="498"/>
      <c r="B26" s="499"/>
      <c r="C26" s="498"/>
      <c r="D26" s="500"/>
      <c r="E26" s="502"/>
    </row>
    <row r="27" spans="1:9">
      <c r="A27" s="79">
        <v>11</v>
      </c>
      <c r="B27" s="274" t="s">
        <v>161</v>
      </c>
      <c r="C27" s="79">
        <v>311</v>
      </c>
      <c r="D27" s="269"/>
      <c r="E27" s="269"/>
    </row>
    <row r="28" spans="1:9">
      <c r="A28" s="79">
        <v>12</v>
      </c>
      <c r="B28" s="248" t="s">
        <v>162</v>
      </c>
      <c r="C28" s="79">
        <v>312</v>
      </c>
      <c r="D28" s="269">
        <f>E29</f>
        <v>22211366</v>
      </c>
      <c r="E28" s="269">
        <v>24793257</v>
      </c>
      <c r="H28" s="71">
        <v>23981726</v>
      </c>
    </row>
    <row r="29" spans="1:9">
      <c r="A29" s="79">
        <v>13</v>
      </c>
      <c r="B29" s="248" t="s">
        <v>163</v>
      </c>
      <c r="C29" s="79">
        <v>313</v>
      </c>
      <c r="D29" s="269">
        <f>D25+D28</f>
        <v>20545681.569999997</v>
      </c>
      <c r="E29" s="269">
        <v>22211366</v>
      </c>
      <c r="G29" s="83"/>
    </row>
    <row r="30" spans="1:9" ht="40.5">
      <c r="A30" s="79">
        <v>14</v>
      </c>
      <c r="B30" s="274" t="s">
        <v>164</v>
      </c>
      <c r="C30" s="79">
        <v>314</v>
      </c>
      <c r="D30" s="269"/>
      <c r="E30" s="275"/>
      <c r="H30" s="83">
        <f>D29-H28</f>
        <v>-3436044.4300000034</v>
      </c>
      <c r="I30" s="83"/>
    </row>
    <row r="31" spans="1:9" ht="40.5">
      <c r="A31" s="79">
        <v>15</v>
      </c>
      <c r="B31" s="248" t="s">
        <v>165</v>
      </c>
      <c r="C31" s="79">
        <v>315</v>
      </c>
      <c r="D31" s="269">
        <v>1082447</v>
      </c>
      <c r="E31" s="269">
        <v>1082447</v>
      </c>
      <c r="H31" s="83"/>
      <c r="I31" s="83"/>
    </row>
    <row r="32" spans="1:9" ht="40.5">
      <c r="A32" s="79">
        <v>16</v>
      </c>
      <c r="B32" s="248" t="s">
        <v>166</v>
      </c>
      <c r="C32" s="79">
        <v>316</v>
      </c>
      <c r="D32" s="269"/>
      <c r="E32" s="269"/>
      <c r="H32" s="71">
        <v>21095485</v>
      </c>
    </row>
    <row r="33" spans="1:10" ht="40.5">
      <c r="A33" s="79">
        <v>17</v>
      </c>
      <c r="B33" s="248" t="s">
        <v>167</v>
      </c>
      <c r="C33" s="79">
        <v>317</v>
      </c>
      <c r="D33" s="269"/>
      <c r="E33" s="269"/>
      <c r="H33" s="83">
        <f>+H32-D29</f>
        <v>549803.43000000343</v>
      </c>
      <c r="J33" s="83"/>
    </row>
    <row r="34" spans="1:10" ht="40.5">
      <c r="A34" s="79">
        <v>18</v>
      </c>
      <c r="B34" s="248" t="s">
        <v>168</v>
      </c>
      <c r="C34" s="79">
        <v>318</v>
      </c>
      <c r="D34" s="269">
        <v>1082447</v>
      </c>
      <c r="E34" s="269">
        <v>1082447</v>
      </c>
    </row>
    <row r="35" spans="1:10">
      <c r="A35" s="71" t="s">
        <v>148</v>
      </c>
    </row>
    <row r="36" spans="1:10">
      <c r="A36" s="276"/>
      <c r="B36" s="273"/>
      <c r="C36" s="273"/>
      <c r="D36" s="273"/>
    </row>
    <row r="37" spans="1:10">
      <c r="A37" s="273" t="s">
        <v>623</v>
      </c>
      <c r="B37" s="272" t="s">
        <v>639</v>
      </c>
      <c r="C37" s="277" t="s">
        <v>82</v>
      </c>
      <c r="D37" s="496" t="s">
        <v>556</v>
      </c>
      <c r="E37" s="496"/>
    </row>
    <row r="38" spans="1:10">
      <c r="A38" s="278" t="s">
        <v>661</v>
      </c>
      <c r="B38" s="272" t="s">
        <v>264</v>
      </c>
      <c r="C38" s="273"/>
      <c r="D38" s="497" t="s">
        <v>263</v>
      </c>
      <c r="E38" s="497"/>
    </row>
    <row r="39" spans="1:10">
      <c r="E39" s="83"/>
    </row>
    <row r="42" spans="1:10">
      <c r="E42" s="83"/>
    </row>
    <row r="44" spans="1:10">
      <c r="E44" s="83"/>
    </row>
  </sheetData>
  <mergeCells count="8">
    <mergeCell ref="A11:E11"/>
    <mergeCell ref="D37:E37"/>
    <mergeCell ref="D38:E38"/>
    <mergeCell ref="A25:A26"/>
    <mergeCell ref="B25:B26"/>
    <mergeCell ref="C25:C26"/>
    <mergeCell ref="D25:D26"/>
    <mergeCell ref="E25:E26"/>
  </mergeCells>
  <phoneticPr fontId="0" type="noConversion"/>
  <pageMargins left="0.7" right="0.7" top="0.75" bottom="0.75" header="0.3" footer="0.3"/>
  <pageSetup paperSize="9"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3:H69"/>
  <sheetViews>
    <sheetView topLeftCell="A66" zoomScale="75" zoomScaleNormal="75" workbookViewId="0">
      <selection activeCell="C6" sqref="C1:C1048576"/>
    </sheetView>
  </sheetViews>
  <sheetFormatPr defaultRowHeight="20.25"/>
  <cols>
    <col min="1" max="1" width="116.7109375" style="74" customWidth="1"/>
    <col min="2" max="2" width="9" style="74" bestFit="1" customWidth="1"/>
    <col min="3" max="3" width="20.5703125" style="74" customWidth="1"/>
    <col min="4" max="4" width="20.28515625" style="74" customWidth="1"/>
    <col min="5" max="5" width="20.85546875" style="74" customWidth="1"/>
    <col min="6" max="6" width="9.140625" style="74" customWidth="1"/>
    <col min="7" max="7" width="17.28515625" style="74" bestFit="1" customWidth="1"/>
    <col min="8" max="8" width="13.85546875" style="74" bestFit="1" customWidth="1"/>
    <col min="9" max="16384" width="9.140625" style="74"/>
  </cols>
  <sheetData>
    <row r="3" spans="1:5">
      <c r="A3" s="403" t="s">
        <v>262</v>
      </c>
      <c r="B3" s="403"/>
    </row>
    <row r="4" spans="1:5">
      <c r="A4" s="403" t="s">
        <v>257</v>
      </c>
      <c r="B4" s="403"/>
    </row>
    <row r="5" spans="1:5">
      <c r="A5" s="403" t="s">
        <v>258</v>
      </c>
      <c r="B5" s="403"/>
    </row>
    <row r="6" spans="1:5">
      <c r="A6" s="403" t="s">
        <v>259</v>
      </c>
      <c r="B6" s="403"/>
    </row>
    <row r="7" spans="1:5">
      <c r="A7" s="403" t="s">
        <v>557</v>
      </c>
      <c r="B7" s="403"/>
    </row>
    <row r="8" spans="1:5">
      <c r="A8" s="403" t="s">
        <v>261</v>
      </c>
      <c r="B8" s="403"/>
    </row>
    <row r="9" spans="1:5">
      <c r="A9" s="411"/>
    </row>
    <row r="10" spans="1:5">
      <c r="A10" s="411"/>
    </row>
    <row r="11" spans="1:5">
      <c r="A11" s="404" t="s">
        <v>255</v>
      </c>
    </row>
    <row r="12" spans="1:5">
      <c r="A12" s="405" t="s">
        <v>254</v>
      </c>
    </row>
    <row r="13" spans="1:5">
      <c r="A13" s="405" t="s">
        <v>670</v>
      </c>
    </row>
    <row r="14" spans="1:5">
      <c r="A14" s="404"/>
    </row>
    <row r="15" spans="1:5">
      <c r="A15" s="507" t="s">
        <v>171</v>
      </c>
      <c r="B15" s="507" t="s">
        <v>2</v>
      </c>
      <c r="C15" s="507" t="s">
        <v>172</v>
      </c>
      <c r="D15" s="507"/>
      <c r="E15" s="507" t="s">
        <v>173</v>
      </c>
    </row>
    <row r="16" spans="1:5" ht="40.5">
      <c r="A16" s="507"/>
      <c r="B16" s="507"/>
      <c r="C16" s="412" t="s">
        <v>174</v>
      </c>
      <c r="D16" s="412" t="s">
        <v>4</v>
      </c>
      <c r="E16" s="507"/>
    </row>
    <row r="17" spans="1:7">
      <c r="A17" s="412">
        <v>1</v>
      </c>
      <c r="B17" s="412">
        <v>2</v>
      </c>
      <c r="C17" s="412">
        <v>3</v>
      </c>
      <c r="D17" s="412">
        <v>4</v>
      </c>
      <c r="E17" s="412">
        <v>5</v>
      </c>
    </row>
    <row r="18" spans="1:7">
      <c r="A18" s="413"/>
      <c r="B18" s="406"/>
      <c r="C18" s="414"/>
      <c r="D18" s="414"/>
      <c r="E18" s="414"/>
    </row>
    <row r="19" spans="1:7">
      <c r="A19" s="413" t="s">
        <v>175</v>
      </c>
      <c r="B19" s="503">
        <v>401</v>
      </c>
      <c r="C19" s="509">
        <f>SUM(C21:C25)</f>
        <v>861637.09</v>
      </c>
      <c r="D19" s="505">
        <f>+D21+D22+D23+D24+D25+1</f>
        <v>2034088</v>
      </c>
      <c r="E19" s="510"/>
    </row>
    <row r="20" spans="1:7">
      <c r="A20" s="415" t="s">
        <v>648</v>
      </c>
      <c r="B20" s="503"/>
      <c r="C20" s="509"/>
      <c r="D20" s="506"/>
      <c r="E20" s="510"/>
    </row>
    <row r="21" spans="1:7" ht="24.95" customHeight="1">
      <c r="A21" s="416" t="s">
        <v>176</v>
      </c>
      <c r="B21" s="406">
        <v>402</v>
      </c>
      <c r="C21" s="473">
        <f>15664.34+198698+3500</f>
        <v>217862.34</v>
      </c>
      <c r="D21" s="410">
        <v>177483.5</v>
      </c>
      <c r="E21" s="417"/>
      <c r="G21" s="270"/>
    </row>
    <row r="22" spans="1:7" ht="24.95" customHeight="1">
      <c r="A22" s="416" t="s">
        <v>177</v>
      </c>
      <c r="B22" s="406">
        <v>403</v>
      </c>
      <c r="C22" s="473">
        <v>618397.64</v>
      </c>
      <c r="D22" s="410">
        <v>1551701</v>
      </c>
      <c r="E22" s="417"/>
    </row>
    <row r="23" spans="1:7" ht="24.95" customHeight="1">
      <c r="A23" s="416" t="s">
        <v>178</v>
      </c>
      <c r="B23" s="406">
        <v>404</v>
      </c>
      <c r="C23" s="473">
        <v>25377.11</v>
      </c>
      <c r="D23" s="410">
        <v>4902.5</v>
      </c>
      <c r="E23" s="417"/>
    </row>
    <row r="24" spans="1:7" ht="24.95" customHeight="1">
      <c r="A24" s="416" t="s">
        <v>179</v>
      </c>
      <c r="B24" s="406">
        <v>405</v>
      </c>
      <c r="C24" s="473"/>
      <c r="D24" s="410"/>
      <c r="E24" s="417"/>
    </row>
    <row r="25" spans="1:7" ht="24.95" customHeight="1">
      <c r="A25" s="416" t="s">
        <v>180</v>
      </c>
      <c r="B25" s="406">
        <v>406</v>
      </c>
      <c r="C25" s="473"/>
      <c r="D25" s="410">
        <v>300000</v>
      </c>
      <c r="E25" s="418"/>
    </row>
    <row r="26" spans="1:7" ht="24.95" customHeight="1">
      <c r="A26" s="416" t="s">
        <v>181</v>
      </c>
      <c r="B26" s="406">
        <v>407</v>
      </c>
      <c r="C26" s="419">
        <f>SUM(C27:C37)</f>
        <v>1734194.9</v>
      </c>
      <c r="D26" s="419">
        <f>+D27+D28+D29+D30+D31+D32+D33+D34+D35+D36+D37</f>
        <v>1350268</v>
      </c>
      <c r="E26" s="417"/>
    </row>
    <row r="27" spans="1:7" ht="24.95" customHeight="1">
      <c r="A27" s="416" t="s">
        <v>182</v>
      </c>
      <c r="B27" s="406">
        <v>408</v>
      </c>
      <c r="C27" s="473">
        <v>425342.38</v>
      </c>
      <c r="D27" s="410">
        <v>50192.5</v>
      </c>
      <c r="E27" s="417"/>
    </row>
    <row r="28" spans="1:7" ht="24.95" customHeight="1">
      <c r="A28" s="416" t="s">
        <v>183</v>
      </c>
      <c r="B28" s="406">
        <v>409</v>
      </c>
      <c r="C28" s="473"/>
      <c r="D28" s="410"/>
      <c r="E28" s="417"/>
    </row>
    <row r="29" spans="1:7" ht="24.95" customHeight="1">
      <c r="A29" s="416" t="s">
        <v>184</v>
      </c>
      <c r="B29" s="406">
        <v>410</v>
      </c>
      <c r="C29" s="473"/>
      <c r="D29" s="410">
        <v>500000</v>
      </c>
      <c r="E29" s="417"/>
    </row>
    <row r="30" spans="1:7" ht="24.95" customHeight="1">
      <c r="A30" s="416" t="s">
        <v>185</v>
      </c>
      <c r="B30" s="406">
        <v>411</v>
      </c>
      <c r="C30" s="473">
        <v>1200000</v>
      </c>
      <c r="D30" s="410">
        <v>700000</v>
      </c>
      <c r="E30" s="417"/>
    </row>
    <row r="31" spans="1:7" ht="24.95" customHeight="1">
      <c r="A31" s="416" t="s">
        <v>186</v>
      </c>
      <c r="B31" s="406">
        <v>412</v>
      </c>
      <c r="C31" s="473"/>
      <c r="D31" s="410"/>
      <c r="E31" s="417"/>
    </row>
    <row r="32" spans="1:7" ht="24.95" customHeight="1">
      <c r="A32" s="416" t="s">
        <v>619</v>
      </c>
      <c r="B32" s="406">
        <v>413</v>
      </c>
      <c r="C32" s="473"/>
      <c r="D32" s="410">
        <v>0</v>
      </c>
      <c r="E32" s="417"/>
    </row>
    <row r="33" spans="1:5" ht="24.95" customHeight="1">
      <c r="A33" s="416" t="s">
        <v>187</v>
      </c>
      <c r="B33" s="406">
        <v>414</v>
      </c>
      <c r="C33" s="473">
        <v>2164.5</v>
      </c>
      <c r="D33" s="410">
        <v>2164.5</v>
      </c>
      <c r="E33" s="417"/>
    </row>
    <row r="34" spans="1:5" ht="24.95" customHeight="1">
      <c r="A34" s="416" t="s">
        <v>188</v>
      </c>
      <c r="B34" s="406">
        <v>415</v>
      </c>
      <c r="C34" s="473">
        <v>21063.49</v>
      </c>
      <c r="D34" s="410">
        <v>23073</v>
      </c>
      <c r="E34" s="417"/>
    </row>
    <row r="35" spans="1:5" ht="24.95" customHeight="1">
      <c r="A35" s="416" t="s">
        <v>189</v>
      </c>
      <c r="B35" s="406">
        <v>416</v>
      </c>
      <c r="C35" s="473">
        <f>5850+38308.43+41223.1+243</f>
        <v>85624.53</v>
      </c>
      <c r="D35" s="410">
        <v>74838</v>
      </c>
      <c r="E35" s="417"/>
    </row>
    <row r="36" spans="1:5" ht="24.95" customHeight="1">
      <c r="A36" s="416" t="s">
        <v>190</v>
      </c>
      <c r="B36" s="406">
        <v>417</v>
      </c>
      <c r="C36" s="473"/>
      <c r="D36" s="410"/>
      <c r="E36" s="417"/>
    </row>
    <row r="37" spans="1:5" ht="24.95" customHeight="1">
      <c r="A37" s="416" t="s">
        <v>191</v>
      </c>
      <c r="B37" s="406">
        <v>418</v>
      </c>
      <c r="C37" s="473"/>
      <c r="D37" s="410"/>
      <c r="E37" s="417"/>
    </row>
    <row r="38" spans="1:5" ht="24.95" customHeight="1">
      <c r="A38" s="416" t="s">
        <v>192</v>
      </c>
      <c r="B38" s="406">
        <v>419</v>
      </c>
      <c r="C38" s="473"/>
      <c r="D38" s="410">
        <v>683820</v>
      </c>
      <c r="E38" s="417"/>
    </row>
    <row r="39" spans="1:5" ht="24.95" customHeight="1">
      <c r="A39" s="416" t="s">
        <v>193</v>
      </c>
      <c r="B39" s="406">
        <v>420</v>
      </c>
      <c r="C39" s="419">
        <f>C26-C19</f>
        <v>872557.80999999994</v>
      </c>
      <c r="D39" s="419">
        <v>0</v>
      </c>
      <c r="E39" s="417"/>
    </row>
    <row r="40" spans="1:5" ht="24.95" customHeight="1">
      <c r="A40" s="414" t="s">
        <v>194</v>
      </c>
      <c r="B40" s="503">
        <v>421</v>
      </c>
      <c r="C40" s="504">
        <f>+C42+C43</f>
        <v>0</v>
      </c>
      <c r="D40" s="505">
        <f>+D42+D43</f>
        <v>0</v>
      </c>
      <c r="E40" s="510"/>
    </row>
    <row r="41" spans="1:5" ht="24.95" customHeight="1">
      <c r="A41" s="416" t="s">
        <v>195</v>
      </c>
      <c r="B41" s="503"/>
      <c r="C41" s="504"/>
      <c r="D41" s="506"/>
      <c r="E41" s="510"/>
    </row>
    <row r="42" spans="1:5" ht="24.95" customHeight="1">
      <c r="A42" s="416" t="s">
        <v>196</v>
      </c>
      <c r="B42" s="406">
        <v>422</v>
      </c>
      <c r="C42" s="473"/>
      <c r="D42" s="420">
        <v>0</v>
      </c>
      <c r="E42" s="417"/>
    </row>
    <row r="43" spans="1:5" ht="24.95" customHeight="1">
      <c r="A43" s="416" t="s">
        <v>197</v>
      </c>
      <c r="B43" s="406">
        <v>423</v>
      </c>
      <c r="C43" s="419"/>
      <c r="D43" s="420"/>
      <c r="E43" s="417"/>
    </row>
    <row r="44" spans="1:5" ht="24.95" customHeight="1">
      <c r="A44" s="416" t="s">
        <v>198</v>
      </c>
      <c r="B44" s="406">
        <v>424</v>
      </c>
      <c r="C44" s="419">
        <f>+C45+C46+C47+C48</f>
        <v>0</v>
      </c>
      <c r="D44" s="420">
        <f>+D45+D46+D47+D48</f>
        <v>0</v>
      </c>
      <c r="E44" s="417"/>
    </row>
    <row r="45" spans="1:5" ht="24.95" customHeight="1">
      <c r="A45" s="416" t="s">
        <v>199</v>
      </c>
      <c r="B45" s="406">
        <v>425</v>
      </c>
      <c r="C45" s="419"/>
      <c r="D45" s="420"/>
      <c r="E45" s="417"/>
    </row>
    <row r="46" spans="1:5" ht="24.95" customHeight="1">
      <c r="A46" s="416" t="s">
        <v>200</v>
      </c>
      <c r="B46" s="406">
        <v>426</v>
      </c>
      <c r="C46" s="419"/>
      <c r="D46" s="420"/>
      <c r="E46" s="417"/>
    </row>
    <row r="47" spans="1:5" ht="24.95" customHeight="1">
      <c r="A47" s="416" t="s">
        <v>201</v>
      </c>
      <c r="B47" s="406">
        <v>427</v>
      </c>
      <c r="C47" s="419"/>
      <c r="D47" s="420"/>
      <c r="E47" s="417"/>
    </row>
    <row r="48" spans="1:5" ht="24.95" customHeight="1">
      <c r="A48" s="416" t="s">
        <v>202</v>
      </c>
      <c r="B48" s="406">
        <v>428</v>
      </c>
      <c r="C48" s="419"/>
      <c r="D48" s="420"/>
      <c r="E48" s="417"/>
    </row>
    <row r="49" spans="1:8" ht="24.95" customHeight="1">
      <c r="A49" s="416" t="s">
        <v>649</v>
      </c>
      <c r="B49" s="503">
        <v>429</v>
      </c>
      <c r="C49" s="504">
        <f>+C40-C44</f>
        <v>0</v>
      </c>
      <c r="D49" s="505">
        <v>0</v>
      </c>
      <c r="E49" s="510"/>
    </row>
    <row r="50" spans="1:8" ht="24.95" customHeight="1">
      <c r="A50" s="416" t="s">
        <v>203</v>
      </c>
      <c r="B50" s="503"/>
      <c r="C50" s="504"/>
      <c r="D50" s="506"/>
      <c r="E50" s="510"/>
    </row>
    <row r="51" spans="1:8" ht="24.95" customHeight="1">
      <c r="A51" s="416" t="s">
        <v>204</v>
      </c>
      <c r="B51" s="503">
        <v>430</v>
      </c>
      <c r="C51" s="504"/>
      <c r="D51" s="505">
        <f>+D44-D40</f>
        <v>0</v>
      </c>
      <c r="E51" s="510"/>
    </row>
    <row r="52" spans="1:8" ht="24.95" customHeight="1">
      <c r="A52" s="416" t="s">
        <v>205</v>
      </c>
      <c r="B52" s="503"/>
      <c r="C52" s="504"/>
      <c r="D52" s="506"/>
      <c r="E52" s="510"/>
    </row>
    <row r="53" spans="1:8" ht="24.95" customHeight="1">
      <c r="A53" s="414" t="s">
        <v>206</v>
      </c>
      <c r="B53" s="406">
        <v>431</v>
      </c>
      <c r="C53" s="419">
        <f>+C19+C40</f>
        <v>861637.09</v>
      </c>
      <c r="D53" s="419">
        <f>+D19+D40</f>
        <v>2034088</v>
      </c>
      <c r="E53" s="417"/>
    </row>
    <row r="54" spans="1:8" ht="24.95" customHeight="1">
      <c r="A54" s="414" t="s">
        <v>207</v>
      </c>
      <c r="B54" s="406">
        <v>432</v>
      </c>
      <c r="C54" s="419">
        <f>+C26+C44</f>
        <v>1734194.9</v>
      </c>
      <c r="D54" s="419">
        <f>+D26+D44</f>
        <v>1350268</v>
      </c>
      <c r="E54" s="417"/>
    </row>
    <row r="55" spans="1:8" ht="24.95" customHeight="1">
      <c r="A55" s="414" t="s">
        <v>208</v>
      </c>
      <c r="B55" s="406">
        <v>433</v>
      </c>
      <c r="C55" s="419"/>
      <c r="D55" s="419">
        <v>683820</v>
      </c>
      <c r="E55" s="417"/>
    </row>
    <row r="56" spans="1:8" ht="24.95" customHeight="1">
      <c r="A56" s="414" t="s">
        <v>209</v>
      </c>
      <c r="B56" s="406">
        <v>434</v>
      </c>
      <c r="C56" s="419">
        <f>C54-C53</f>
        <v>872557.80999999994</v>
      </c>
      <c r="D56" s="419">
        <v>0</v>
      </c>
      <c r="E56" s="417"/>
    </row>
    <row r="57" spans="1:8" ht="24.95" customHeight="1">
      <c r="A57" s="414" t="s">
        <v>210</v>
      </c>
      <c r="B57" s="406">
        <v>435</v>
      </c>
      <c r="C57" s="419">
        <f>D60</f>
        <v>1353042</v>
      </c>
      <c r="D57" s="419">
        <v>669222</v>
      </c>
      <c r="E57" s="417"/>
      <c r="G57" s="270"/>
    </row>
    <row r="58" spans="1:8" ht="24.95" customHeight="1">
      <c r="A58" s="407" t="s">
        <v>211</v>
      </c>
      <c r="B58" s="406">
        <v>436</v>
      </c>
      <c r="C58" s="419"/>
      <c r="D58" s="419"/>
      <c r="E58" s="417"/>
    </row>
    <row r="59" spans="1:8" ht="24.95" customHeight="1">
      <c r="A59" s="407" t="s">
        <v>212</v>
      </c>
      <c r="B59" s="406">
        <v>437</v>
      </c>
      <c r="C59" s="419"/>
      <c r="D59" s="419"/>
      <c r="E59" s="417"/>
      <c r="H59" s="270"/>
    </row>
    <row r="60" spans="1:8">
      <c r="A60" s="407" t="s">
        <v>213</v>
      </c>
      <c r="B60" s="406">
        <v>438</v>
      </c>
      <c r="C60" s="419">
        <f>+C57+C55-C56+C58-C59</f>
        <v>480484.19000000006</v>
      </c>
      <c r="D60" s="419">
        <f>+D57+D55-D56+D58-D59</f>
        <v>1353042</v>
      </c>
      <c r="E60" s="417"/>
      <c r="G60" s="270"/>
    </row>
    <row r="61" spans="1:8">
      <c r="C61" s="74">
        <v>480484</v>
      </c>
      <c r="G61" s="270"/>
    </row>
    <row r="62" spans="1:8" ht="24.95" customHeight="1">
      <c r="C62" s="421">
        <f>+C61-C60</f>
        <v>-0.19000000006053597</v>
      </c>
      <c r="D62" s="270"/>
    </row>
    <row r="63" spans="1:8" ht="24.95" customHeight="1">
      <c r="A63" s="408" t="s">
        <v>562</v>
      </c>
      <c r="B63" s="409"/>
      <c r="C63" s="74" t="s">
        <v>620</v>
      </c>
      <c r="D63" s="422"/>
      <c r="E63" s="422"/>
    </row>
    <row r="64" spans="1:8" ht="24.95" customHeight="1">
      <c r="A64" s="423" t="s">
        <v>671</v>
      </c>
      <c r="C64" s="508" t="s">
        <v>263</v>
      </c>
      <c r="D64" s="508"/>
      <c r="G64" s="270"/>
    </row>
    <row r="65" spans="1:3" ht="20.25" customHeight="1">
      <c r="A65" s="409"/>
    </row>
    <row r="66" spans="1:3">
      <c r="B66" s="74" t="s">
        <v>527</v>
      </c>
    </row>
    <row r="67" spans="1:3">
      <c r="C67" s="421"/>
    </row>
    <row r="69" spans="1:3">
      <c r="C69" s="270"/>
    </row>
  </sheetData>
  <mergeCells count="21">
    <mergeCell ref="C64:D64"/>
    <mergeCell ref="C19:C20"/>
    <mergeCell ref="E49:E50"/>
    <mergeCell ref="E40:E41"/>
    <mergeCell ref="D49:D50"/>
    <mergeCell ref="C49:C50"/>
    <mergeCell ref="E19:E20"/>
    <mergeCell ref="E51:E52"/>
    <mergeCell ref="D40:D41"/>
    <mergeCell ref="A15:A16"/>
    <mergeCell ref="B15:B16"/>
    <mergeCell ref="C15:D15"/>
    <mergeCell ref="E15:E16"/>
    <mergeCell ref="B19:B20"/>
    <mergeCell ref="D19:D20"/>
    <mergeCell ref="B51:B52"/>
    <mergeCell ref="C51:C52"/>
    <mergeCell ref="D51:D52"/>
    <mergeCell ref="C40:C41"/>
    <mergeCell ref="B49:B50"/>
    <mergeCell ref="B40:B41"/>
  </mergeCells>
  <phoneticPr fontId="0" type="noConversion"/>
  <pageMargins left="0.7" right="1.01" top="0.75" bottom="0.75" header="0.3" footer="0.3"/>
  <pageSetup paperSize="9" scale="4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L80"/>
  <sheetViews>
    <sheetView topLeftCell="C22" zoomScaleNormal="100" workbookViewId="0">
      <selection activeCell="L71" sqref="L71"/>
    </sheetView>
  </sheetViews>
  <sheetFormatPr defaultColWidth="30.85546875" defaultRowHeight="14.25"/>
  <cols>
    <col min="1" max="1" width="5.42578125" style="323" customWidth="1"/>
    <col min="2" max="2" width="39.85546875" style="323" customWidth="1"/>
    <col min="3" max="3" width="6.5703125" style="323" customWidth="1"/>
    <col min="4" max="11" width="15.7109375" style="323" customWidth="1"/>
    <col min="12" max="16384" width="30.85546875" style="323"/>
  </cols>
  <sheetData>
    <row r="2" spans="1:11" ht="15">
      <c r="A2" s="322" t="s">
        <v>333</v>
      </c>
      <c r="B2" s="322"/>
      <c r="C2" s="322"/>
      <c r="D2" s="322"/>
      <c r="E2" s="322"/>
    </row>
    <row r="3" spans="1:11" ht="15">
      <c r="A3" s="322" t="s">
        <v>334</v>
      </c>
      <c r="B3" s="322"/>
      <c r="C3" s="322"/>
      <c r="D3" s="322"/>
      <c r="E3" s="322"/>
    </row>
    <row r="4" spans="1:11" ht="15">
      <c r="A4" s="322" t="s">
        <v>335</v>
      </c>
      <c r="B4" s="322"/>
      <c r="C4" s="322"/>
      <c r="D4" s="322"/>
      <c r="E4" s="322"/>
    </row>
    <row r="5" spans="1:11" ht="15">
      <c r="A5" s="322" t="s">
        <v>408</v>
      </c>
      <c r="B5" s="322"/>
      <c r="C5" s="322"/>
      <c r="D5" s="322"/>
      <c r="E5" s="322"/>
    </row>
    <row r="6" spans="1:11" ht="15">
      <c r="A6" s="322" t="s">
        <v>336</v>
      </c>
      <c r="B6" s="322"/>
      <c r="C6" s="322"/>
      <c r="D6" s="322"/>
      <c r="E6" s="322"/>
    </row>
    <row r="7" spans="1:11" ht="15">
      <c r="A7" s="322" t="s">
        <v>337</v>
      </c>
      <c r="B7" s="322"/>
      <c r="C7" s="322"/>
      <c r="D7" s="322"/>
      <c r="E7" s="322"/>
    </row>
    <row r="8" spans="1:11" ht="15">
      <c r="A8" s="322"/>
      <c r="B8" s="322"/>
      <c r="C8" s="322"/>
      <c r="D8" s="322"/>
      <c r="E8" s="324"/>
      <c r="F8" s="325"/>
      <c r="G8" s="325"/>
    </row>
    <row r="10" spans="1:11" ht="15">
      <c r="A10" s="511" t="s">
        <v>658</v>
      </c>
      <c r="B10" s="511"/>
      <c r="C10" s="511"/>
      <c r="D10" s="511"/>
      <c r="E10" s="511"/>
      <c r="F10" s="511"/>
      <c r="G10" s="511"/>
      <c r="H10" s="511"/>
      <c r="I10" s="511"/>
      <c r="J10" s="511"/>
      <c r="K10" s="511"/>
    </row>
    <row r="11" spans="1:11" ht="15" thickBot="1">
      <c r="A11" s="326"/>
      <c r="B11" s="327"/>
      <c r="C11" s="327"/>
      <c r="D11" s="327"/>
      <c r="E11" s="327"/>
      <c r="F11" s="327"/>
      <c r="G11" s="328"/>
      <c r="H11" s="327"/>
      <c r="I11" s="327"/>
      <c r="J11" s="327"/>
      <c r="K11" s="327"/>
    </row>
    <row r="12" spans="1:11" ht="60.75" customHeight="1">
      <c r="A12" s="329" t="s">
        <v>338</v>
      </c>
      <c r="B12" s="330" t="s">
        <v>339</v>
      </c>
      <c r="C12" s="330" t="s">
        <v>340</v>
      </c>
      <c r="D12" s="330" t="s">
        <v>341</v>
      </c>
      <c r="E12" s="330" t="s">
        <v>342</v>
      </c>
      <c r="F12" s="330" t="s">
        <v>343</v>
      </c>
      <c r="G12" s="331" t="s">
        <v>344</v>
      </c>
      <c r="H12" s="330" t="s">
        <v>345</v>
      </c>
      <c r="I12" s="330" t="s">
        <v>346</v>
      </c>
      <c r="J12" s="330" t="s">
        <v>347</v>
      </c>
      <c r="K12" s="332" t="s">
        <v>348</v>
      </c>
    </row>
    <row r="13" spans="1:11" ht="15">
      <c r="A13" s="333">
        <v>1</v>
      </c>
      <c r="B13" s="334">
        <v>2</v>
      </c>
      <c r="C13" s="334">
        <v>3</v>
      </c>
      <c r="D13" s="334">
        <v>4</v>
      </c>
      <c r="E13" s="334">
        <v>5</v>
      </c>
      <c r="F13" s="334">
        <v>6</v>
      </c>
      <c r="G13" s="335">
        <v>7</v>
      </c>
      <c r="H13" s="334">
        <v>8</v>
      </c>
      <c r="I13" s="334">
        <v>9</v>
      </c>
      <c r="J13" s="334">
        <v>10</v>
      </c>
      <c r="K13" s="336">
        <v>11</v>
      </c>
    </row>
    <row r="14" spans="1:11" ht="15">
      <c r="A14" s="337" t="s">
        <v>214</v>
      </c>
      <c r="B14" s="338" t="s">
        <v>349</v>
      </c>
      <c r="C14" s="339"/>
      <c r="D14" s="339"/>
      <c r="E14" s="339"/>
      <c r="F14" s="339"/>
      <c r="G14" s="340"/>
      <c r="H14" s="339"/>
      <c r="I14" s="339"/>
      <c r="J14" s="339"/>
      <c r="K14" s="341"/>
    </row>
    <row r="15" spans="1:11" ht="15">
      <c r="A15" s="333" t="s">
        <v>350</v>
      </c>
      <c r="B15" s="512" t="s">
        <v>351</v>
      </c>
      <c r="C15" s="513"/>
      <c r="D15" s="513"/>
      <c r="E15" s="513"/>
      <c r="F15" s="513"/>
      <c r="G15" s="513"/>
      <c r="H15" s="513"/>
      <c r="I15" s="513"/>
      <c r="J15" s="513"/>
      <c r="K15" s="514"/>
    </row>
    <row r="16" spans="1:11" s="375" customFormat="1" ht="12" customHeight="1">
      <c r="A16" s="364">
        <v>1</v>
      </c>
      <c r="B16" s="365" t="s">
        <v>631</v>
      </c>
      <c r="C16" s="366" t="s">
        <v>352</v>
      </c>
      <c r="D16" s="367" t="s">
        <v>353</v>
      </c>
      <c r="E16" s="368">
        <v>450000</v>
      </c>
      <c r="F16" s="369">
        <v>0.98529999999999995</v>
      </c>
      <c r="G16" s="370">
        <v>443379.56</v>
      </c>
      <c r="H16" s="371">
        <v>0</v>
      </c>
      <c r="I16" s="372">
        <f>+E16*H16</f>
        <v>0</v>
      </c>
      <c r="J16" s="373">
        <v>6.1720999999999998E-2</v>
      </c>
      <c r="K16" s="374">
        <v>0</v>
      </c>
    </row>
    <row r="17" spans="1:11" s="375" customFormat="1" ht="12" customHeight="1">
      <c r="A17" s="364">
        <v>2</v>
      </c>
      <c r="B17" s="365" t="s">
        <v>631</v>
      </c>
      <c r="C17" s="366" t="s">
        <v>354</v>
      </c>
      <c r="D17" s="367" t="s">
        <v>353</v>
      </c>
      <c r="E17" s="368">
        <v>9000000</v>
      </c>
      <c r="F17" s="369">
        <v>0.98529999999999995</v>
      </c>
      <c r="G17" s="370">
        <f>E17*F17-108.7</f>
        <v>8867591.3000000007</v>
      </c>
      <c r="H17" s="371">
        <v>0</v>
      </c>
      <c r="I17" s="372">
        <f>+E17*H17</f>
        <v>0</v>
      </c>
      <c r="J17" s="373">
        <v>1.234424</v>
      </c>
      <c r="K17" s="374">
        <v>0</v>
      </c>
    </row>
    <row r="18" spans="1:11" s="375" customFormat="1" ht="12" customHeight="1">
      <c r="A18" s="364">
        <v>3</v>
      </c>
      <c r="B18" s="365" t="s">
        <v>563</v>
      </c>
      <c r="C18" s="366" t="s">
        <v>354</v>
      </c>
      <c r="D18" s="367" t="s">
        <v>355</v>
      </c>
      <c r="E18" s="376">
        <v>221494</v>
      </c>
      <c r="F18" s="369">
        <v>1</v>
      </c>
      <c r="G18" s="370">
        <f>E18*F18</f>
        <v>221494</v>
      </c>
      <c r="H18" s="371">
        <v>0</v>
      </c>
      <c r="I18" s="372">
        <f t="shared" ref="I18:I58" si="0">+E18*H18</f>
        <v>0</v>
      </c>
      <c r="J18" s="373">
        <v>9.8017079999999996</v>
      </c>
      <c r="K18" s="374">
        <f>+I18/$I$72*100</f>
        <v>0</v>
      </c>
    </row>
    <row r="19" spans="1:11" s="375" customFormat="1" ht="12" customHeight="1">
      <c r="A19" s="364">
        <v>4</v>
      </c>
      <c r="B19" s="365" t="s">
        <v>356</v>
      </c>
      <c r="C19" s="366" t="s">
        <v>354</v>
      </c>
      <c r="D19" s="367" t="s">
        <v>357</v>
      </c>
      <c r="E19" s="376">
        <v>17783</v>
      </c>
      <c r="F19" s="369">
        <v>1</v>
      </c>
      <c r="G19" s="370">
        <f>E19*F19</f>
        <v>17783</v>
      </c>
      <c r="H19" s="371">
        <v>0</v>
      </c>
      <c r="I19" s="372">
        <f t="shared" si="0"/>
        <v>0</v>
      </c>
      <c r="J19" s="373">
        <v>1.1098889999999999</v>
      </c>
      <c r="K19" s="374">
        <f>+I19/$I$72*100</f>
        <v>0</v>
      </c>
    </row>
    <row r="20" spans="1:11" s="375" customFormat="1" ht="12" customHeight="1">
      <c r="A20" s="364">
        <v>5</v>
      </c>
      <c r="B20" s="365" t="s">
        <v>358</v>
      </c>
      <c r="C20" s="366" t="s">
        <v>352</v>
      </c>
      <c r="D20" s="367" t="s">
        <v>359</v>
      </c>
      <c r="E20" s="376">
        <v>18002</v>
      </c>
      <c r="F20" s="369">
        <v>2.4167000000000001</v>
      </c>
      <c r="G20" s="370">
        <f>E20*F20-0.61</f>
        <v>43504.823400000001</v>
      </c>
      <c r="H20" s="371">
        <v>0.17</v>
      </c>
      <c r="I20" s="372">
        <f t="shared" si="0"/>
        <v>3060.34</v>
      </c>
      <c r="J20" s="373">
        <v>1.9508999999999999E-2</v>
      </c>
      <c r="K20" s="374">
        <v>1.4766E-2</v>
      </c>
    </row>
    <row r="21" spans="1:11" s="375" customFormat="1" ht="12" customHeight="1">
      <c r="A21" s="364">
        <v>6</v>
      </c>
      <c r="B21" s="365" t="s">
        <v>360</v>
      </c>
      <c r="C21" s="366" t="s">
        <v>354</v>
      </c>
      <c r="D21" s="367" t="s">
        <v>361</v>
      </c>
      <c r="E21" s="376">
        <v>1930880</v>
      </c>
      <c r="F21" s="369">
        <v>1</v>
      </c>
      <c r="G21" s="370">
        <f>E21*F21</f>
        <v>1930880</v>
      </c>
      <c r="H21" s="371">
        <v>0.13300000000000001</v>
      </c>
      <c r="I21" s="372">
        <f t="shared" si="0"/>
        <v>256807.04000000001</v>
      </c>
      <c r="J21" s="373">
        <v>9.0357789999999998</v>
      </c>
      <c r="K21" s="374">
        <v>1.2390859999999999</v>
      </c>
    </row>
    <row r="22" spans="1:11" s="375" customFormat="1" ht="12" customHeight="1">
      <c r="A22" s="364">
        <v>7</v>
      </c>
      <c r="B22" s="365" t="s">
        <v>596</v>
      </c>
      <c r="C22" s="366" t="s">
        <v>352</v>
      </c>
      <c r="D22" s="367" t="s">
        <v>362</v>
      </c>
      <c r="E22" s="376">
        <v>1228880</v>
      </c>
      <c r="F22" s="369">
        <v>1.0014000000000001</v>
      </c>
      <c r="G22" s="370">
        <f>E22*F22+38.418</f>
        <v>1230638.8500000001</v>
      </c>
      <c r="H22" s="371">
        <v>0.37</v>
      </c>
      <c r="I22" s="372">
        <f t="shared" si="0"/>
        <v>454685.6</v>
      </c>
      <c r="J22" s="373">
        <v>0.278055</v>
      </c>
      <c r="K22" s="374">
        <v>2.193845</v>
      </c>
    </row>
    <row r="23" spans="1:11" s="375" customFormat="1" ht="12" customHeight="1">
      <c r="A23" s="364">
        <v>8</v>
      </c>
      <c r="B23" s="365" t="s">
        <v>596</v>
      </c>
      <c r="C23" s="366" t="s">
        <v>354</v>
      </c>
      <c r="D23" s="367" t="s">
        <v>362</v>
      </c>
      <c r="E23" s="376">
        <v>10000000</v>
      </c>
      <c r="F23" s="369">
        <v>1.0015000000000001</v>
      </c>
      <c r="G23" s="370">
        <f>E23*F23+483.3</f>
        <v>10015483.300000001</v>
      </c>
      <c r="H23" s="371">
        <v>0.37</v>
      </c>
      <c r="I23" s="372">
        <f t="shared" si="0"/>
        <v>3700000</v>
      </c>
      <c r="J23" s="373">
        <v>2.2626719999999998</v>
      </c>
      <c r="K23" s="374">
        <v>17.85239</v>
      </c>
    </row>
    <row r="24" spans="1:11" s="375" customFormat="1" ht="12" customHeight="1">
      <c r="A24" s="364">
        <v>9</v>
      </c>
      <c r="B24" s="365" t="s">
        <v>565</v>
      </c>
      <c r="C24" s="366" t="s">
        <v>354</v>
      </c>
      <c r="D24" s="367" t="s">
        <v>363</v>
      </c>
      <c r="E24" s="376">
        <v>1302041</v>
      </c>
      <c r="F24" s="369">
        <v>1.0365</v>
      </c>
      <c r="G24" s="370">
        <f>E24*F24+57.14</f>
        <v>1349622.6364999998</v>
      </c>
      <c r="H24" s="371">
        <v>0.48899999999999999</v>
      </c>
      <c r="I24" s="372">
        <f t="shared" si="0"/>
        <v>636698.049</v>
      </c>
      <c r="J24" s="373">
        <v>1.2720899999999999</v>
      </c>
      <c r="K24" s="374">
        <v>3.0720489999999998</v>
      </c>
    </row>
    <row r="25" spans="1:11" s="375" customFormat="1" ht="12" customHeight="1">
      <c r="A25" s="364">
        <v>10</v>
      </c>
      <c r="B25" s="365" t="s">
        <v>565</v>
      </c>
      <c r="C25" s="366" t="s">
        <v>352</v>
      </c>
      <c r="D25" s="367" t="s">
        <v>363</v>
      </c>
      <c r="E25" s="376">
        <v>34509</v>
      </c>
      <c r="F25" s="369">
        <v>1.4701</v>
      </c>
      <c r="G25" s="370">
        <f>E25*F25-1.57</f>
        <v>50730.1109</v>
      </c>
      <c r="H25" s="371">
        <v>0.48899999999999999</v>
      </c>
      <c r="I25" s="372">
        <f t="shared" si="0"/>
        <v>16874.900999999998</v>
      </c>
      <c r="J25" s="373">
        <v>3.3715000000000002E-2</v>
      </c>
      <c r="K25" s="374">
        <v>8.1420999999999993E-2</v>
      </c>
    </row>
    <row r="26" spans="1:11" s="375" customFormat="1" ht="12" customHeight="1">
      <c r="A26" s="364">
        <v>11</v>
      </c>
      <c r="B26" s="365" t="s">
        <v>566</v>
      </c>
      <c r="C26" s="366" t="s">
        <v>352</v>
      </c>
      <c r="D26" s="367" t="s">
        <v>364</v>
      </c>
      <c r="E26" s="376">
        <v>844448</v>
      </c>
      <c r="F26" s="369">
        <v>1.0067999999999999</v>
      </c>
      <c r="G26" s="370">
        <f>E26*F26+35.96</f>
        <v>850226.20639999991</v>
      </c>
      <c r="H26" s="371">
        <v>0.41499999999999998</v>
      </c>
      <c r="I26" s="372">
        <f t="shared" si="0"/>
        <v>350445.92</v>
      </c>
      <c r="J26" s="373">
        <v>0.21924399999999999</v>
      </c>
      <c r="K26" s="374">
        <v>1.6908909999999999</v>
      </c>
    </row>
    <row r="27" spans="1:11" s="375" customFormat="1" ht="12" customHeight="1">
      <c r="A27" s="364">
        <v>12</v>
      </c>
      <c r="B27" s="365" t="s">
        <v>566</v>
      </c>
      <c r="C27" s="366" t="s">
        <v>354</v>
      </c>
      <c r="D27" s="367" t="s">
        <v>364</v>
      </c>
      <c r="E27" s="376">
        <v>7000000</v>
      </c>
      <c r="F27" s="369">
        <v>1.0065999999999999</v>
      </c>
      <c r="G27" s="370">
        <f>E27*F27+120.29</f>
        <v>7046320.29</v>
      </c>
      <c r="H27" s="371">
        <v>0.41499999999999998</v>
      </c>
      <c r="I27" s="372">
        <f t="shared" si="0"/>
        <v>2905000</v>
      </c>
      <c r="J27" s="373">
        <v>1.817407</v>
      </c>
      <c r="K27" s="374">
        <v>14.016539</v>
      </c>
    </row>
    <row r="28" spans="1:11" s="375" customFormat="1" ht="12" customHeight="1">
      <c r="A28" s="364">
        <v>13</v>
      </c>
      <c r="B28" s="365" t="s">
        <v>567</v>
      </c>
      <c r="C28" s="366" t="s">
        <v>354</v>
      </c>
      <c r="D28" s="367" t="s">
        <v>365</v>
      </c>
      <c r="E28" s="376">
        <v>146794</v>
      </c>
      <c r="F28" s="369">
        <v>1</v>
      </c>
      <c r="G28" s="370">
        <f t="shared" ref="G28:G38" si="1">E28*F28</f>
        <v>146794</v>
      </c>
      <c r="H28" s="371">
        <v>0.28999999999999998</v>
      </c>
      <c r="I28" s="372">
        <f t="shared" si="0"/>
        <v>42570.259999999995</v>
      </c>
      <c r="J28" s="373">
        <v>0.53438099999999999</v>
      </c>
      <c r="K28" s="374">
        <v>0.2054</v>
      </c>
    </row>
    <row r="29" spans="1:11" s="375" customFormat="1" ht="12" customHeight="1">
      <c r="A29" s="364">
        <v>14</v>
      </c>
      <c r="B29" s="365" t="s">
        <v>568</v>
      </c>
      <c r="C29" s="366" t="s">
        <v>354</v>
      </c>
      <c r="D29" s="367" t="s">
        <v>366</v>
      </c>
      <c r="E29" s="376">
        <v>82595</v>
      </c>
      <c r="F29" s="369">
        <v>1</v>
      </c>
      <c r="G29" s="370">
        <f t="shared" si="1"/>
        <v>82595</v>
      </c>
      <c r="H29" s="371">
        <v>0</v>
      </c>
      <c r="I29" s="372">
        <f t="shared" si="0"/>
        <v>0</v>
      </c>
      <c r="J29" s="373">
        <v>1.11313</v>
      </c>
      <c r="K29" s="374">
        <v>0</v>
      </c>
    </row>
    <row r="30" spans="1:11" s="375" customFormat="1" ht="12" customHeight="1">
      <c r="A30" s="364">
        <v>15</v>
      </c>
      <c r="B30" s="365" t="s">
        <v>569</v>
      </c>
      <c r="C30" s="366" t="s">
        <v>354</v>
      </c>
      <c r="D30" s="367" t="s">
        <v>367</v>
      </c>
      <c r="E30" s="376">
        <v>581883</v>
      </c>
      <c r="F30" s="369">
        <v>1</v>
      </c>
      <c r="G30" s="370">
        <f t="shared" si="1"/>
        <v>581883</v>
      </c>
      <c r="H30" s="371">
        <v>0.13800000000000001</v>
      </c>
      <c r="I30" s="372">
        <f t="shared" si="0"/>
        <v>80299.854000000007</v>
      </c>
      <c r="J30" s="373">
        <v>1.65015</v>
      </c>
      <c r="K30" s="374">
        <v>0.38744400000000001</v>
      </c>
    </row>
    <row r="31" spans="1:11" s="375" customFormat="1" ht="12" customHeight="1">
      <c r="A31" s="364">
        <v>16</v>
      </c>
      <c r="B31" s="365" t="s">
        <v>570</v>
      </c>
      <c r="C31" s="366" t="s">
        <v>354</v>
      </c>
      <c r="D31" s="367" t="s">
        <v>368</v>
      </c>
      <c r="E31" s="376">
        <v>26766</v>
      </c>
      <c r="F31" s="369">
        <v>1</v>
      </c>
      <c r="G31" s="370">
        <f t="shared" si="1"/>
        <v>26766</v>
      </c>
      <c r="H31" s="371">
        <v>0</v>
      </c>
      <c r="I31" s="372">
        <f t="shared" si="0"/>
        <v>0</v>
      </c>
      <c r="J31" s="373">
        <v>1.1882980000000001</v>
      </c>
      <c r="K31" s="374">
        <f>+I31/$I$72*100</f>
        <v>0</v>
      </c>
    </row>
    <row r="32" spans="1:11" s="375" customFormat="1" ht="12" customHeight="1">
      <c r="A32" s="364">
        <v>17</v>
      </c>
      <c r="B32" s="365" t="s">
        <v>571</v>
      </c>
      <c r="C32" s="366" t="s">
        <v>354</v>
      </c>
      <c r="D32" s="367" t="s">
        <v>369</v>
      </c>
      <c r="E32" s="376">
        <v>1552357</v>
      </c>
      <c r="F32" s="369">
        <v>1</v>
      </c>
      <c r="G32" s="370">
        <f t="shared" si="1"/>
        <v>1552357</v>
      </c>
      <c r="H32" s="371">
        <v>0</v>
      </c>
      <c r="I32" s="372">
        <f t="shared" si="0"/>
        <v>0</v>
      </c>
      <c r="J32" s="373">
        <v>7.0819049999999999</v>
      </c>
      <c r="K32" s="374">
        <f>+I32/$I$72*100</f>
        <v>0</v>
      </c>
    </row>
    <row r="33" spans="1:11" s="375" customFormat="1" ht="12" customHeight="1">
      <c r="A33" s="364">
        <v>18</v>
      </c>
      <c r="B33" s="365" t="s">
        <v>572</v>
      </c>
      <c r="C33" s="366" t="s">
        <v>354</v>
      </c>
      <c r="D33" s="367" t="s">
        <v>370</v>
      </c>
      <c r="E33" s="376">
        <v>1251715</v>
      </c>
      <c r="F33" s="369">
        <v>1</v>
      </c>
      <c r="G33" s="370">
        <f t="shared" si="1"/>
        <v>1251715</v>
      </c>
      <c r="H33" s="371">
        <v>0.3629</v>
      </c>
      <c r="I33" s="372">
        <f t="shared" si="0"/>
        <v>454247.37349999999</v>
      </c>
      <c r="J33" s="373">
        <v>2.4651010000000002</v>
      </c>
      <c r="K33" s="374">
        <v>2.1917300000000002</v>
      </c>
    </row>
    <row r="34" spans="1:11" s="375" customFormat="1" ht="12" customHeight="1">
      <c r="A34" s="364">
        <v>19</v>
      </c>
      <c r="B34" s="365" t="s">
        <v>573</v>
      </c>
      <c r="C34" s="366" t="s">
        <v>354</v>
      </c>
      <c r="D34" s="367" t="s">
        <v>371</v>
      </c>
      <c r="E34" s="376">
        <v>41675</v>
      </c>
      <c r="F34" s="369">
        <v>1</v>
      </c>
      <c r="G34" s="370">
        <f t="shared" si="1"/>
        <v>41675</v>
      </c>
      <c r="H34" s="371">
        <v>0.53500000000000003</v>
      </c>
      <c r="I34" s="372">
        <f t="shared" si="0"/>
        <v>22296.125</v>
      </c>
      <c r="J34" s="373">
        <v>0.38006200000000001</v>
      </c>
      <c r="K34" s="374">
        <v>0.10757799999999999</v>
      </c>
    </row>
    <row r="35" spans="1:11" s="375" customFormat="1" ht="12" customHeight="1">
      <c r="A35" s="364">
        <v>20</v>
      </c>
      <c r="B35" s="365" t="s">
        <v>574</v>
      </c>
      <c r="C35" s="366" t="s">
        <v>354</v>
      </c>
      <c r="D35" s="367" t="s">
        <v>372</v>
      </c>
      <c r="E35" s="376">
        <v>185000</v>
      </c>
      <c r="F35" s="369">
        <v>1</v>
      </c>
      <c r="G35" s="370">
        <f t="shared" si="1"/>
        <v>185000</v>
      </c>
      <c r="H35" s="371">
        <v>1.0309999999999999</v>
      </c>
      <c r="I35" s="372">
        <f t="shared" si="0"/>
        <v>190734.99999999997</v>
      </c>
      <c r="J35" s="373">
        <v>6.1496810000000002</v>
      </c>
      <c r="K35" s="374">
        <v>0.92029099999999997</v>
      </c>
    </row>
    <row r="36" spans="1:11" s="375" customFormat="1" ht="12" customHeight="1">
      <c r="A36" s="364">
        <v>21</v>
      </c>
      <c r="B36" s="365" t="s">
        <v>575</v>
      </c>
      <c r="C36" s="366" t="s">
        <v>352</v>
      </c>
      <c r="D36" s="367" t="s">
        <v>372</v>
      </c>
      <c r="E36" s="376">
        <v>10091</v>
      </c>
      <c r="F36" s="369">
        <v>1</v>
      </c>
      <c r="G36" s="370">
        <f t="shared" si="1"/>
        <v>10091</v>
      </c>
      <c r="H36" s="371">
        <v>1.0309999999999999</v>
      </c>
      <c r="I36" s="372">
        <f t="shared" si="0"/>
        <v>10403.821</v>
      </c>
      <c r="J36" s="373">
        <v>0.33544000000000002</v>
      </c>
      <c r="K36" s="374">
        <v>5.0198E-2</v>
      </c>
    </row>
    <row r="37" spans="1:11" s="375" customFormat="1" ht="12" customHeight="1">
      <c r="A37" s="364">
        <v>22</v>
      </c>
      <c r="B37" s="365" t="s">
        <v>578</v>
      </c>
      <c r="C37" s="366" t="s">
        <v>354</v>
      </c>
      <c r="D37" s="367" t="s">
        <v>373</v>
      </c>
      <c r="E37" s="376">
        <v>401129</v>
      </c>
      <c r="F37" s="369">
        <v>1</v>
      </c>
      <c r="G37" s="370">
        <f t="shared" si="1"/>
        <v>401129</v>
      </c>
      <c r="H37" s="371">
        <v>0</v>
      </c>
      <c r="I37" s="372">
        <f t="shared" si="0"/>
        <v>0</v>
      </c>
      <c r="J37" s="373">
        <v>4.2427380000000001</v>
      </c>
      <c r="K37" s="374">
        <v>0</v>
      </c>
    </row>
    <row r="38" spans="1:11" s="375" customFormat="1" ht="12" customHeight="1">
      <c r="A38" s="364">
        <v>23</v>
      </c>
      <c r="B38" s="365" t="s">
        <v>576</v>
      </c>
      <c r="C38" s="366" t="s">
        <v>354</v>
      </c>
      <c r="D38" s="367" t="s">
        <v>374</v>
      </c>
      <c r="E38" s="376">
        <v>294719</v>
      </c>
      <c r="F38" s="369">
        <v>1</v>
      </c>
      <c r="G38" s="370">
        <f t="shared" si="1"/>
        <v>294719</v>
      </c>
      <c r="H38" s="371">
        <v>0</v>
      </c>
      <c r="I38" s="372">
        <f t="shared" si="0"/>
        <v>0</v>
      </c>
      <c r="J38" s="373">
        <v>4.4095709999999997</v>
      </c>
      <c r="K38" s="374">
        <f>+I38/$I$72*100</f>
        <v>0</v>
      </c>
    </row>
    <row r="39" spans="1:11" s="375" customFormat="1" ht="12" customHeight="1">
      <c r="A39" s="364">
        <v>24</v>
      </c>
      <c r="B39" s="377" t="s">
        <v>577</v>
      </c>
      <c r="C39" s="366" t="s">
        <v>352</v>
      </c>
      <c r="D39" s="367" t="s">
        <v>375</v>
      </c>
      <c r="E39" s="376">
        <v>10001</v>
      </c>
      <c r="F39" s="369">
        <v>1.4675</v>
      </c>
      <c r="G39" s="370">
        <f>E39*F39-0.08</f>
        <v>14676.387500000001</v>
      </c>
      <c r="H39" s="371">
        <v>0.34</v>
      </c>
      <c r="I39" s="372">
        <f t="shared" si="0"/>
        <v>3400.34</v>
      </c>
      <c r="J39" s="373">
        <v>6.3783999999999993E-2</v>
      </c>
      <c r="K39" s="374">
        <v>1.6407000000000001E-2</v>
      </c>
    </row>
    <row r="40" spans="1:11" s="375" customFormat="1" ht="12" customHeight="1">
      <c r="A40" s="364">
        <v>25</v>
      </c>
      <c r="B40" s="365" t="s">
        <v>625</v>
      </c>
      <c r="C40" s="366" t="s">
        <v>354</v>
      </c>
      <c r="D40" s="367" t="s">
        <v>376</v>
      </c>
      <c r="E40" s="376">
        <v>102575</v>
      </c>
      <c r="F40" s="369">
        <v>1</v>
      </c>
      <c r="G40" s="370">
        <f>E40*F40</f>
        <v>102575</v>
      </c>
      <c r="H40" s="371">
        <v>5.8999999999999997E-2</v>
      </c>
      <c r="I40" s="372">
        <f t="shared" si="0"/>
        <v>6051.9249999999993</v>
      </c>
      <c r="J40" s="373">
        <v>0.62546299999999999</v>
      </c>
      <c r="K40" s="374">
        <v>2.92E-2</v>
      </c>
    </row>
    <row r="41" spans="1:11" s="375" customFormat="1" ht="12" customHeight="1">
      <c r="A41" s="364">
        <v>26</v>
      </c>
      <c r="B41" s="365" t="s">
        <v>579</v>
      </c>
      <c r="C41" s="366" t="s">
        <v>352</v>
      </c>
      <c r="D41" s="367" t="s">
        <v>377</v>
      </c>
      <c r="E41" s="376">
        <v>1447528</v>
      </c>
      <c r="F41" s="369">
        <v>0.97789999999999999</v>
      </c>
      <c r="G41" s="370">
        <f>E41*F41-37.72</f>
        <v>1415499.9112</v>
      </c>
      <c r="H41" s="371">
        <v>8.5999999999999993E-2</v>
      </c>
      <c r="I41" s="372">
        <f>+E41*H41</f>
        <v>124487.408</v>
      </c>
      <c r="J41" s="373">
        <v>0.380969</v>
      </c>
      <c r="K41" s="374">
        <v>0.60064799999999996</v>
      </c>
    </row>
    <row r="42" spans="1:11" s="375" customFormat="1" ht="12" customHeight="1">
      <c r="A42" s="364">
        <v>27</v>
      </c>
      <c r="B42" s="365" t="s">
        <v>580</v>
      </c>
      <c r="C42" s="366" t="s">
        <v>354</v>
      </c>
      <c r="D42" s="367" t="s">
        <v>377</v>
      </c>
      <c r="E42" s="376">
        <v>26000000</v>
      </c>
      <c r="F42" s="369">
        <v>0.97789999999999999</v>
      </c>
      <c r="G42" s="370">
        <f>E42*F42-677.57</f>
        <v>25424722.43</v>
      </c>
      <c r="H42" s="371">
        <v>8.5999999999999993E-2</v>
      </c>
      <c r="I42" s="372">
        <f t="shared" si="0"/>
        <v>2236000</v>
      </c>
      <c r="J42" s="373">
        <v>6.8428279999999999</v>
      </c>
      <c r="K42" s="374">
        <v>10.788634</v>
      </c>
    </row>
    <row r="43" spans="1:11" s="375" customFormat="1" ht="12" customHeight="1">
      <c r="A43" s="364">
        <v>28</v>
      </c>
      <c r="B43" s="365" t="s">
        <v>581</v>
      </c>
      <c r="C43" s="366" t="s">
        <v>354</v>
      </c>
      <c r="D43" s="367" t="s">
        <v>378</v>
      </c>
      <c r="E43" s="376">
        <v>3500000</v>
      </c>
      <c r="F43" s="369">
        <v>0.99960000000000004</v>
      </c>
      <c r="G43" s="370">
        <f>E43*F43-65.22</f>
        <v>3498534.78</v>
      </c>
      <c r="H43" s="371">
        <v>2.46E-2</v>
      </c>
      <c r="I43" s="372">
        <f t="shared" si="0"/>
        <v>86100</v>
      </c>
      <c r="J43" s="373">
        <v>1.3312330000000001</v>
      </c>
      <c r="K43" s="374">
        <v>0.41543000000000002</v>
      </c>
    </row>
    <row r="44" spans="1:11" s="375" customFormat="1" ht="12" customHeight="1">
      <c r="A44" s="364">
        <v>29</v>
      </c>
      <c r="B44" s="365" t="s">
        <v>581</v>
      </c>
      <c r="C44" s="366" t="s">
        <v>352</v>
      </c>
      <c r="D44" s="367" t="s">
        <v>378</v>
      </c>
      <c r="E44" s="376">
        <v>321207</v>
      </c>
      <c r="F44" s="369">
        <v>0.99509999999999998</v>
      </c>
      <c r="G44" s="370">
        <f>E44*F44-12.61</f>
        <v>319620.47570000001</v>
      </c>
      <c r="H44" s="371">
        <v>2.46E-2</v>
      </c>
      <c r="I44" s="372">
        <f t="shared" si="0"/>
        <v>7901.6922000000004</v>
      </c>
      <c r="J44" s="373">
        <v>0.122172</v>
      </c>
      <c r="K44" s="374">
        <v>3.8124999999999999E-2</v>
      </c>
    </row>
    <row r="45" spans="1:11" s="375" customFormat="1" ht="12" customHeight="1">
      <c r="A45" s="364">
        <v>30</v>
      </c>
      <c r="B45" s="365" t="s">
        <v>582</v>
      </c>
      <c r="C45" s="366" t="s">
        <v>352</v>
      </c>
      <c r="D45" s="367" t="s">
        <v>379</v>
      </c>
      <c r="E45" s="376">
        <v>945154</v>
      </c>
      <c r="F45" s="369">
        <v>0.85089999999999999</v>
      </c>
      <c r="G45" s="370">
        <f>E45*F45-14.41</f>
        <v>804217.12859999994</v>
      </c>
      <c r="H45" s="371">
        <v>0.16</v>
      </c>
      <c r="I45" s="372">
        <f t="shared" si="0"/>
        <v>151224.64000000001</v>
      </c>
      <c r="J45" s="373">
        <v>0.36918200000000001</v>
      </c>
      <c r="K45" s="374">
        <v>0.72965400000000002</v>
      </c>
    </row>
    <row r="46" spans="1:11" s="375" customFormat="1" ht="12" customHeight="1">
      <c r="A46" s="364">
        <v>31</v>
      </c>
      <c r="B46" s="365" t="s">
        <v>582</v>
      </c>
      <c r="C46" s="366" t="s">
        <v>354</v>
      </c>
      <c r="D46" s="367" t="s">
        <v>379</v>
      </c>
      <c r="E46" s="376">
        <v>8500000</v>
      </c>
      <c r="F46" s="369">
        <v>0.99239999999999995</v>
      </c>
      <c r="G46" s="370">
        <f>E46*F46-363.61</f>
        <v>8435036.3900000006</v>
      </c>
      <c r="H46" s="371">
        <v>0.16</v>
      </c>
      <c r="I46" s="372">
        <f t="shared" si="0"/>
        <v>1360000</v>
      </c>
      <c r="J46" s="373">
        <v>3.3201420000000001</v>
      </c>
      <c r="K46" s="374">
        <v>6.56196</v>
      </c>
    </row>
    <row r="47" spans="1:11" s="375" customFormat="1" ht="12" customHeight="1">
      <c r="A47" s="364">
        <v>32</v>
      </c>
      <c r="B47" s="365" t="s">
        <v>583</v>
      </c>
      <c r="C47" s="366" t="s">
        <v>354</v>
      </c>
      <c r="D47" s="367" t="s">
        <v>380</v>
      </c>
      <c r="E47" s="376">
        <v>558546</v>
      </c>
      <c r="F47" s="369">
        <v>1</v>
      </c>
      <c r="G47" s="370">
        <f>E47*F47</f>
        <v>558546</v>
      </c>
      <c r="H47" s="371">
        <v>0.4153</v>
      </c>
      <c r="I47" s="372">
        <f t="shared" si="0"/>
        <v>231964.1538</v>
      </c>
      <c r="J47" s="373">
        <v>2.8026339999999998</v>
      </c>
      <c r="K47" s="374">
        <v>1.1192200000000001</v>
      </c>
    </row>
    <row r="48" spans="1:11" s="375" customFormat="1" ht="12" customHeight="1">
      <c r="A48" s="364">
        <v>33</v>
      </c>
      <c r="B48" s="365" t="s">
        <v>583</v>
      </c>
      <c r="C48" s="366" t="s">
        <v>352</v>
      </c>
      <c r="D48" s="367" t="s">
        <v>380</v>
      </c>
      <c r="E48" s="376">
        <v>25000</v>
      </c>
      <c r="F48" s="369">
        <v>0.3997</v>
      </c>
      <c r="G48" s="370">
        <f>F48*E48-0.16</f>
        <v>9992.34</v>
      </c>
      <c r="H48" s="371">
        <v>0.4153</v>
      </c>
      <c r="I48" s="372">
        <f t="shared" si="0"/>
        <v>10382.5</v>
      </c>
      <c r="J48" s="373">
        <v>0.125443</v>
      </c>
      <c r="K48" s="374">
        <v>5.0095000000000001E-2</v>
      </c>
    </row>
    <row r="49" spans="1:12" s="375" customFormat="1" ht="12" customHeight="1">
      <c r="A49" s="364">
        <v>34</v>
      </c>
      <c r="B49" s="365" t="s">
        <v>584</v>
      </c>
      <c r="C49" s="366" t="s">
        <v>354</v>
      </c>
      <c r="D49" s="367" t="s">
        <v>381</v>
      </c>
      <c r="E49" s="376">
        <v>67688</v>
      </c>
      <c r="F49" s="369">
        <v>1</v>
      </c>
      <c r="G49" s="370">
        <f>E49*F49</f>
        <v>67688</v>
      </c>
      <c r="H49" s="371">
        <v>0</v>
      </c>
      <c r="I49" s="372">
        <f t="shared" si="0"/>
        <v>0</v>
      </c>
      <c r="J49" s="373">
        <v>0.84861699999999995</v>
      </c>
      <c r="K49" s="374">
        <f>+I49/$I$72*100</f>
        <v>0</v>
      </c>
    </row>
    <row r="50" spans="1:12" s="375" customFormat="1" ht="12" customHeight="1">
      <c r="A50" s="364">
        <v>35</v>
      </c>
      <c r="B50" s="365" t="s">
        <v>382</v>
      </c>
      <c r="C50" s="366" t="s">
        <v>354</v>
      </c>
      <c r="D50" s="367" t="s">
        <v>383</v>
      </c>
      <c r="E50" s="376">
        <v>10275</v>
      </c>
      <c r="F50" s="369">
        <v>1</v>
      </c>
      <c r="G50" s="370">
        <f>E50*F50</f>
        <v>10275</v>
      </c>
      <c r="H50" s="371">
        <v>3.61E-2</v>
      </c>
      <c r="I50" s="372">
        <f t="shared" si="0"/>
        <v>370.92750000000001</v>
      </c>
      <c r="J50" s="373">
        <v>0.17466400000000001</v>
      </c>
      <c r="K50" s="374">
        <v>1.7899999999999999E-3</v>
      </c>
    </row>
    <row r="51" spans="1:12" s="375" customFormat="1" ht="12" customHeight="1">
      <c r="A51" s="364">
        <v>36</v>
      </c>
      <c r="B51" s="365" t="s">
        <v>585</v>
      </c>
      <c r="C51" s="366" t="s">
        <v>354</v>
      </c>
      <c r="D51" s="367" t="s">
        <v>384</v>
      </c>
      <c r="E51" s="376">
        <v>2916415</v>
      </c>
      <c r="F51" s="369">
        <v>1.0396000000000001</v>
      </c>
      <c r="G51" s="370">
        <f>E51*F51-32.25</f>
        <v>3031872.7840000005</v>
      </c>
      <c r="H51" s="371">
        <v>1.59</v>
      </c>
      <c r="I51" s="372">
        <f t="shared" si="0"/>
        <v>4637099.8500000006</v>
      </c>
      <c r="J51" s="373">
        <v>0.59351100000000001</v>
      </c>
      <c r="K51" s="374">
        <v>22.373868999999999</v>
      </c>
    </row>
    <row r="52" spans="1:12" s="375" customFormat="1" ht="12" customHeight="1">
      <c r="A52" s="364">
        <v>37</v>
      </c>
      <c r="B52" s="365" t="s">
        <v>585</v>
      </c>
      <c r="C52" s="366" t="s">
        <v>352</v>
      </c>
      <c r="D52" s="367" t="s">
        <v>384</v>
      </c>
      <c r="E52" s="376">
        <v>250025</v>
      </c>
      <c r="F52" s="369">
        <v>1.0525</v>
      </c>
      <c r="G52" s="370">
        <f>E52*F52-8.93</f>
        <v>263142.38250000001</v>
      </c>
      <c r="H52" s="371">
        <v>1.59</v>
      </c>
      <c r="I52" s="372">
        <f t="shared" si="0"/>
        <v>397539.75</v>
      </c>
      <c r="J52" s="373">
        <v>5.0881999999999997E-2</v>
      </c>
      <c r="K52" s="374">
        <v>1.9181170000000001</v>
      </c>
    </row>
    <row r="53" spans="1:12" s="375" customFormat="1" ht="12" customHeight="1">
      <c r="A53" s="364">
        <v>38</v>
      </c>
      <c r="B53" s="365" t="s">
        <v>385</v>
      </c>
      <c r="C53" s="366" t="s">
        <v>354</v>
      </c>
      <c r="D53" s="367" t="s">
        <v>386</v>
      </c>
      <c r="E53" s="376">
        <v>54576</v>
      </c>
      <c r="F53" s="369">
        <v>1</v>
      </c>
      <c r="G53" s="370">
        <f t="shared" ref="G53:G58" si="2">E53*F53</f>
        <v>54576</v>
      </c>
      <c r="H53" s="371">
        <v>0.35160000000000002</v>
      </c>
      <c r="I53" s="372">
        <f t="shared" si="0"/>
        <v>19188.921600000001</v>
      </c>
      <c r="J53" s="373">
        <v>0.27538600000000002</v>
      </c>
      <c r="K53" s="374">
        <v>9.2586000000000002E-2</v>
      </c>
    </row>
    <row r="54" spans="1:12" s="375" customFormat="1" ht="12" customHeight="1">
      <c r="A54" s="364">
        <v>39</v>
      </c>
      <c r="B54" s="365" t="s">
        <v>586</v>
      </c>
      <c r="C54" s="366" t="s">
        <v>354</v>
      </c>
      <c r="D54" s="367" t="s">
        <v>387</v>
      </c>
      <c r="E54" s="376">
        <v>84201</v>
      </c>
      <c r="F54" s="369">
        <v>1</v>
      </c>
      <c r="G54" s="370">
        <f t="shared" si="2"/>
        <v>84201</v>
      </c>
      <c r="H54" s="371">
        <v>0</v>
      </c>
      <c r="I54" s="372">
        <f t="shared" si="0"/>
        <v>0</v>
      </c>
      <c r="J54" s="373">
        <v>1.1917219999999999</v>
      </c>
      <c r="K54" s="374">
        <v>0</v>
      </c>
    </row>
    <row r="55" spans="1:12" s="375" customFormat="1" ht="12" customHeight="1">
      <c r="A55" s="364">
        <v>40</v>
      </c>
      <c r="B55" s="365" t="s">
        <v>587</v>
      </c>
      <c r="C55" s="366" t="s">
        <v>354</v>
      </c>
      <c r="D55" s="367" t="s">
        <v>388</v>
      </c>
      <c r="E55" s="376">
        <v>180360</v>
      </c>
      <c r="F55" s="369">
        <v>1</v>
      </c>
      <c r="G55" s="370">
        <f t="shared" si="2"/>
        <v>180360</v>
      </c>
      <c r="H55" s="371">
        <v>0</v>
      </c>
      <c r="I55" s="372">
        <f t="shared" si="0"/>
        <v>0</v>
      </c>
      <c r="J55" s="373">
        <v>0.53385700000000003</v>
      </c>
      <c r="K55" s="374">
        <f>+I55/$I$72*100</f>
        <v>0</v>
      </c>
    </row>
    <row r="56" spans="1:12" s="375" customFormat="1" ht="12" customHeight="1">
      <c r="A56" s="364">
        <v>41</v>
      </c>
      <c r="B56" s="365" t="s">
        <v>588</v>
      </c>
      <c r="C56" s="366" t="s">
        <v>354</v>
      </c>
      <c r="D56" s="367" t="s">
        <v>389</v>
      </c>
      <c r="E56" s="376">
        <v>127927</v>
      </c>
      <c r="F56" s="369">
        <v>1</v>
      </c>
      <c r="G56" s="370">
        <f t="shared" si="2"/>
        <v>127927</v>
      </c>
      <c r="H56" s="371">
        <v>0</v>
      </c>
      <c r="I56" s="372">
        <f t="shared" si="0"/>
        <v>0</v>
      </c>
      <c r="J56" s="373">
        <v>1.2806500000000001</v>
      </c>
      <c r="K56" s="374">
        <f>+I56/$I$72*100</f>
        <v>0</v>
      </c>
    </row>
    <row r="57" spans="1:12" s="375" customFormat="1" ht="12" customHeight="1">
      <c r="A57" s="364">
        <v>42</v>
      </c>
      <c r="B57" s="365" t="s">
        <v>589</v>
      </c>
      <c r="C57" s="366" t="s">
        <v>354</v>
      </c>
      <c r="D57" s="367">
        <v>1111795</v>
      </c>
      <c r="E57" s="376">
        <v>43801</v>
      </c>
      <c r="F57" s="369">
        <v>1</v>
      </c>
      <c r="G57" s="370">
        <f t="shared" si="2"/>
        <v>43801</v>
      </c>
      <c r="H57" s="371">
        <v>0</v>
      </c>
      <c r="I57" s="372">
        <f t="shared" si="0"/>
        <v>0</v>
      </c>
      <c r="J57" s="373">
        <v>0.80016100000000001</v>
      </c>
      <c r="K57" s="374">
        <f>+I57/$I$72*100</f>
        <v>0</v>
      </c>
    </row>
    <row r="58" spans="1:12" s="375" customFormat="1" ht="12" customHeight="1">
      <c r="A58" s="364">
        <v>43</v>
      </c>
      <c r="B58" s="365" t="s">
        <v>590</v>
      </c>
      <c r="C58" s="366" t="s">
        <v>354</v>
      </c>
      <c r="D58" s="367">
        <v>1154435</v>
      </c>
      <c r="E58" s="376">
        <v>186939</v>
      </c>
      <c r="F58" s="369">
        <v>1</v>
      </c>
      <c r="G58" s="370">
        <f t="shared" si="2"/>
        <v>186939</v>
      </c>
      <c r="H58" s="371">
        <v>0</v>
      </c>
      <c r="I58" s="372">
        <f t="shared" si="0"/>
        <v>0</v>
      </c>
      <c r="J58" s="373">
        <v>1.309696</v>
      </c>
      <c r="K58" s="374">
        <f>+I58/$I$72*100</f>
        <v>0</v>
      </c>
    </row>
    <row r="59" spans="1:12" ht="20.100000000000001" customHeight="1">
      <c r="A59" s="333">
        <v>3</v>
      </c>
      <c r="B59" s="515" t="s">
        <v>390</v>
      </c>
      <c r="C59" s="513"/>
      <c r="D59" s="513"/>
      <c r="E59" s="513"/>
      <c r="F59" s="513"/>
      <c r="G59" s="513"/>
      <c r="H59" s="513"/>
      <c r="I59" s="513"/>
      <c r="J59" s="513"/>
      <c r="K59" s="514"/>
    </row>
    <row r="60" spans="1:12" s="375" customFormat="1" ht="12" customHeight="1">
      <c r="A60" s="364">
        <v>1</v>
      </c>
      <c r="B60" s="378" t="s">
        <v>644</v>
      </c>
      <c r="C60" s="366" t="s">
        <v>352</v>
      </c>
      <c r="D60" s="379" t="s">
        <v>391</v>
      </c>
      <c r="E60" s="368">
        <v>500</v>
      </c>
      <c r="F60" s="369">
        <v>4.7</v>
      </c>
      <c r="G60" s="370">
        <f>E60*F60</f>
        <v>2350</v>
      </c>
      <c r="H60" s="371">
        <v>2.06</v>
      </c>
      <c r="I60" s="370">
        <f>E60*H60</f>
        <v>1030</v>
      </c>
      <c r="J60" s="380">
        <v>3.9567999999999999E-2</v>
      </c>
      <c r="K60" s="374">
        <v>4.9699999999999996E-3</v>
      </c>
    </row>
    <row r="61" spans="1:12" s="375" customFormat="1" ht="12" customHeight="1">
      <c r="A61" s="364">
        <v>2</v>
      </c>
      <c r="B61" s="378" t="s">
        <v>592</v>
      </c>
      <c r="C61" s="366" t="s">
        <v>352</v>
      </c>
      <c r="D61" s="379" t="s">
        <v>392</v>
      </c>
      <c r="E61" s="368">
        <v>1000</v>
      </c>
      <c r="F61" s="369">
        <v>19</v>
      </c>
      <c r="G61" s="370">
        <f>E61*F61</f>
        <v>19000</v>
      </c>
      <c r="H61" s="371">
        <v>2.46</v>
      </c>
      <c r="I61" s="370">
        <f>E61*H61</f>
        <v>2460</v>
      </c>
      <c r="J61" s="380">
        <v>7.5652999999999998E-2</v>
      </c>
      <c r="K61" s="374">
        <v>1.1868999999999999E-2</v>
      </c>
    </row>
    <row r="62" spans="1:12" s="375" customFormat="1" ht="12" customHeight="1">
      <c r="A62" s="364">
        <v>3</v>
      </c>
      <c r="B62" s="378" t="s">
        <v>591</v>
      </c>
      <c r="C62" s="366" t="s">
        <v>352</v>
      </c>
      <c r="D62" s="379" t="s">
        <v>393</v>
      </c>
      <c r="E62" s="368">
        <v>2000</v>
      </c>
      <c r="F62" s="369">
        <v>7.3658000000000001</v>
      </c>
      <c r="G62" s="370">
        <v>14731.65</v>
      </c>
      <c r="H62" s="371">
        <v>5.2332999999999998</v>
      </c>
      <c r="I62" s="370">
        <f>E62*H62</f>
        <v>10466.6</v>
      </c>
      <c r="J62" s="380">
        <v>6.2018999999999998E-2</v>
      </c>
      <c r="K62" s="374">
        <v>5.0500999999999997E-2</v>
      </c>
    </row>
    <row r="63" spans="1:12" s="375" customFormat="1" ht="12" customHeight="1">
      <c r="A63" s="364">
        <v>4</v>
      </c>
      <c r="B63" s="378" t="s">
        <v>593</v>
      </c>
      <c r="C63" s="366" t="s">
        <v>352</v>
      </c>
      <c r="D63" s="379" t="s">
        <v>394</v>
      </c>
      <c r="E63" s="368">
        <v>5000</v>
      </c>
      <c r="F63" s="369">
        <v>5.8</v>
      </c>
      <c r="G63" s="370">
        <v>29000</v>
      </c>
      <c r="H63" s="371">
        <v>1.42</v>
      </c>
      <c r="I63" s="370">
        <f>E63*H63</f>
        <v>7100</v>
      </c>
      <c r="J63" s="380">
        <v>0.32763500000000001</v>
      </c>
      <c r="K63" s="374">
        <v>3.4257000000000003E-2</v>
      </c>
    </row>
    <row r="64" spans="1:12" s="375" customFormat="1" ht="12" customHeight="1">
      <c r="A64" s="364">
        <v>5</v>
      </c>
      <c r="B64" s="378" t="s">
        <v>594</v>
      </c>
      <c r="C64" s="366" t="s">
        <v>352</v>
      </c>
      <c r="D64" s="379" t="s">
        <v>395</v>
      </c>
      <c r="E64" s="368">
        <v>12161</v>
      </c>
      <c r="F64" s="369">
        <v>14.395927135926321</v>
      </c>
      <c r="G64" s="370">
        <v>175067.97</v>
      </c>
      <c r="H64" s="371">
        <v>7.6755000000000004</v>
      </c>
      <c r="I64" s="370">
        <f>E64*H64</f>
        <v>93341.755499999999</v>
      </c>
      <c r="J64" s="380">
        <v>0.16326499999999999</v>
      </c>
      <c r="K64" s="374">
        <v>0.45037100000000002</v>
      </c>
      <c r="L64" s="381"/>
    </row>
    <row r="65" spans="1:11" s="322" customFormat="1" ht="20.100000000000001" customHeight="1" thickBot="1">
      <c r="A65" s="344">
        <v>4</v>
      </c>
      <c r="B65" s="516" t="s">
        <v>595</v>
      </c>
      <c r="C65" s="517"/>
      <c r="D65" s="517"/>
      <c r="E65" s="517"/>
      <c r="F65" s="518"/>
      <c r="G65" s="345">
        <f>SUM(G16:G58)+SUM(G60:G64)</f>
        <v>81516730.706700012</v>
      </c>
      <c r="H65" s="346"/>
      <c r="I65" s="345">
        <f>SUM(I16:I58)+SUM(I60:I64)</f>
        <v>18510234.747100003</v>
      </c>
      <c r="J65" s="347"/>
      <c r="K65" s="348">
        <f>SUM(K16:K64)/100</f>
        <v>0.89311330999999994</v>
      </c>
    </row>
    <row r="66" spans="1:11" ht="20.100000000000001" customHeight="1">
      <c r="A66" s="349" t="s">
        <v>215</v>
      </c>
      <c r="B66" s="350" t="s">
        <v>396</v>
      </c>
      <c r="H66" s="343"/>
      <c r="I66" s="351">
        <v>15445823.970000001</v>
      </c>
    </row>
    <row r="67" spans="1:11" s="375" customFormat="1" ht="12" customHeight="1">
      <c r="A67" s="382">
        <v>1</v>
      </c>
      <c r="B67" s="378" t="s">
        <v>351</v>
      </c>
      <c r="C67" s="382"/>
      <c r="D67" s="382"/>
      <c r="E67" s="382"/>
      <c r="F67" s="382"/>
      <c r="G67" s="382"/>
      <c r="H67" s="382"/>
      <c r="I67" s="383"/>
      <c r="J67" s="382"/>
      <c r="K67" s="382"/>
    </row>
    <row r="68" spans="1:11" s="375" customFormat="1" ht="12" customHeight="1">
      <c r="A68" s="382">
        <v>1</v>
      </c>
      <c r="B68" s="378" t="s">
        <v>397</v>
      </c>
      <c r="C68" s="382" t="s">
        <v>352</v>
      </c>
      <c r="D68" s="382" t="s">
        <v>398</v>
      </c>
      <c r="E68" s="382">
        <v>6716</v>
      </c>
      <c r="F68" s="382">
        <v>6.1973000000000003</v>
      </c>
      <c r="G68" s="384">
        <v>41620.75</v>
      </c>
      <c r="H68" s="382">
        <v>8.0189000000000004</v>
      </c>
      <c r="I68" s="372">
        <f>E68*H68</f>
        <v>53854.932400000005</v>
      </c>
      <c r="J68" s="382">
        <v>1.4206999999999999E-2</v>
      </c>
      <c r="K68" s="385">
        <v>0.25984800000000002</v>
      </c>
    </row>
    <row r="69" spans="1:11" s="375" customFormat="1" ht="12" customHeight="1">
      <c r="A69" s="382">
        <v>2</v>
      </c>
      <c r="B69" s="378" t="s">
        <v>399</v>
      </c>
      <c r="C69" s="382" t="s">
        <v>352</v>
      </c>
      <c r="D69" s="382" t="s">
        <v>400</v>
      </c>
      <c r="E69" s="382">
        <v>570</v>
      </c>
      <c r="F69" s="382">
        <v>61.8078</v>
      </c>
      <c r="G69" s="384">
        <v>35230.47</v>
      </c>
      <c r="H69" s="386">
        <v>38.428199999999997</v>
      </c>
      <c r="I69" s="372">
        <f>E69*H69</f>
        <v>21904.073999999997</v>
      </c>
      <c r="J69" s="387">
        <v>6.96E-4</v>
      </c>
      <c r="K69" s="387">
        <v>0.105687</v>
      </c>
    </row>
    <row r="70" spans="1:11" s="375" customFormat="1" ht="12" customHeight="1">
      <c r="A70" s="382">
        <v>4</v>
      </c>
      <c r="B70" s="378" t="s">
        <v>401</v>
      </c>
      <c r="C70" s="382"/>
      <c r="D70" s="382"/>
      <c r="E70" s="382"/>
      <c r="F70" s="382"/>
      <c r="G70" s="384">
        <f>G68+G69</f>
        <v>76851.22</v>
      </c>
      <c r="H70" s="388"/>
      <c r="I70" s="384">
        <f>I68+I69</f>
        <v>75759.006399999998</v>
      </c>
      <c r="J70" s="388"/>
      <c r="K70" s="389">
        <f>(K68+K69)/100</f>
        <v>3.6553500000000004E-3</v>
      </c>
    </row>
    <row r="71" spans="1:11" s="375" customFormat="1" ht="12" customHeight="1">
      <c r="A71" s="382"/>
      <c r="B71" s="378"/>
      <c r="C71" s="382"/>
      <c r="D71" s="382"/>
      <c r="E71" s="382"/>
      <c r="F71" s="382"/>
      <c r="G71" s="382"/>
      <c r="H71" s="382"/>
      <c r="I71" s="383"/>
      <c r="J71" s="382"/>
      <c r="K71" s="382"/>
    </row>
    <row r="72" spans="1:11" ht="20.100000000000001" customHeight="1">
      <c r="A72" s="353" t="s">
        <v>402</v>
      </c>
      <c r="B72" s="342" t="s">
        <v>403</v>
      </c>
      <c r="C72" s="352"/>
      <c r="D72" s="352"/>
      <c r="E72" s="352"/>
      <c r="F72" s="352"/>
      <c r="G72" s="354">
        <f>SUM(G16:G58)+SUM(G60:G64)+G70</f>
        <v>81593581.926700011</v>
      </c>
      <c r="H72" s="352"/>
      <c r="I72" s="354">
        <f>I65+I70</f>
        <v>18585993.753500003</v>
      </c>
      <c r="J72" s="352"/>
      <c r="K72" s="355">
        <f>K70+K65</f>
        <v>0.89676865999999988</v>
      </c>
    </row>
    <row r="73" spans="1:11" ht="15">
      <c r="A73" s="356"/>
      <c r="B73" s="357"/>
      <c r="C73" s="358"/>
      <c r="D73" s="358"/>
      <c r="E73" s="358"/>
      <c r="F73" s="358"/>
      <c r="G73" s="359"/>
      <c r="H73" s="358"/>
      <c r="I73" s="359"/>
      <c r="J73" s="358"/>
      <c r="K73" s="360"/>
    </row>
    <row r="74" spans="1:11">
      <c r="A74" s="390" t="s">
        <v>549</v>
      </c>
      <c r="B74" s="390"/>
      <c r="C74" s="390"/>
      <c r="D74" s="390" t="s">
        <v>404</v>
      </c>
      <c r="E74" s="391"/>
      <c r="F74" s="391"/>
      <c r="G74" s="391"/>
      <c r="H74" s="375"/>
      <c r="I74" s="519" t="s">
        <v>442</v>
      </c>
      <c r="J74" s="519"/>
      <c r="K74" s="519"/>
    </row>
    <row r="75" spans="1:11">
      <c r="A75" s="390" t="s">
        <v>659</v>
      </c>
      <c r="B75" s="390"/>
      <c r="C75" s="390"/>
      <c r="D75" s="390" t="s">
        <v>405</v>
      </c>
      <c r="E75" s="391"/>
      <c r="F75" s="391"/>
      <c r="G75" s="391"/>
      <c r="H75" s="375"/>
      <c r="I75" s="375" t="s">
        <v>406</v>
      </c>
      <c r="J75" s="375"/>
      <c r="K75" s="375"/>
    </row>
    <row r="76" spans="1:11">
      <c r="A76" s="390"/>
      <c r="B76" s="375"/>
      <c r="C76" s="375"/>
      <c r="D76" s="375"/>
      <c r="E76" s="375"/>
      <c r="F76" s="375"/>
      <c r="G76" s="375"/>
      <c r="H76" s="375"/>
      <c r="I76" s="375"/>
      <c r="J76" s="375"/>
      <c r="K76" s="375"/>
    </row>
    <row r="78" spans="1:11">
      <c r="G78" s="361"/>
      <c r="H78" s="361"/>
    </row>
    <row r="79" spans="1:11">
      <c r="G79" s="361"/>
      <c r="H79" s="361"/>
    </row>
    <row r="80" spans="1:11">
      <c r="G80" s="361"/>
      <c r="H80" s="361"/>
    </row>
  </sheetData>
  <mergeCells count="5">
    <mergeCell ref="A10:K10"/>
    <mergeCell ref="B15:K15"/>
    <mergeCell ref="B59:K59"/>
    <mergeCell ref="B65:F65"/>
    <mergeCell ref="I74:K74"/>
  </mergeCells>
  <pageMargins left="0.7" right="0.7" top="0.75" bottom="0.75" header="0.3" footer="0.3"/>
  <pageSetup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2:S288"/>
  <sheetViews>
    <sheetView zoomScale="60" zoomScalePageLayoutView="60" workbookViewId="0"/>
  </sheetViews>
  <sheetFormatPr defaultColWidth="19.140625" defaultRowHeight="18.75"/>
  <cols>
    <col min="1" max="1" width="23.5703125" style="189" customWidth="1"/>
    <col min="2" max="2" width="19.140625" style="198" customWidth="1"/>
    <col min="3" max="3" width="19.140625" style="189" customWidth="1"/>
    <col min="4" max="4" width="21.28515625" style="199" customWidth="1"/>
    <col min="5" max="5" width="22.140625" style="190" customWidth="1"/>
    <col min="6" max="6" width="23" style="189" customWidth="1"/>
    <col min="7" max="7" width="22.140625" style="189" customWidth="1"/>
    <col min="8" max="12" width="19.140625" style="189" customWidth="1"/>
    <col min="13" max="13" width="21.5703125" style="190" customWidth="1"/>
    <col min="14" max="15" width="19.140625" style="189"/>
    <col min="16" max="16" width="23.42578125" style="189" customWidth="1"/>
    <col min="17" max="16384" width="19.140625" style="189"/>
  </cols>
  <sheetData>
    <row r="2" spans="1:19" ht="21.95" customHeight="1">
      <c r="A2" s="185" t="s">
        <v>407</v>
      </c>
      <c r="B2" s="186"/>
      <c r="C2" s="185"/>
      <c r="D2" s="187"/>
      <c r="E2" s="185"/>
      <c r="F2" s="188"/>
      <c r="G2" s="185"/>
      <c r="H2" s="188"/>
      <c r="I2" s="188"/>
      <c r="J2" s="188"/>
    </row>
    <row r="3" spans="1:19" ht="21.95" customHeight="1">
      <c r="A3" s="185" t="s">
        <v>334</v>
      </c>
      <c r="B3" s="186"/>
      <c r="C3" s="185"/>
      <c r="D3" s="187"/>
      <c r="E3" s="185"/>
      <c r="F3" s="188"/>
      <c r="G3" s="185"/>
      <c r="H3" s="188"/>
      <c r="I3" s="188"/>
      <c r="J3" s="188"/>
    </row>
    <row r="4" spans="1:19" ht="21.95" customHeight="1">
      <c r="A4" s="185" t="s">
        <v>335</v>
      </c>
      <c r="B4" s="186"/>
      <c r="C4" s="185"/>
      <c r="D4" s="187"/>
      <c r="E4" s="185"/>
      <c r="F4" s="188"/>
      <c r="G4" s="185"/>
      <c r="H4" s="188"/>
      <c r="I4" s="188"/>
      <c r="J4" s="188"/>
    </row>
    <row r="5" spans="1:19" ht="20.100000000000001" customHeight="1">
      <c r="A5" s="185" t="s">
        <v>408</v>
      </c>
      <c r="B5" s="186"/>
      <c r="C5" s="185"/>
      <c r="D5" s="187"/>
      <c r="E5" s="185"/>
      <c r="F5" s="188"/>
      <c r="G5" s="185"/>
      <c r="H5" s="188"/>
      <c r="I5" s="188"/>
      <c r="J5" s="188"/>
    </row>
    <row r="6" spans="1:19" ht="20.100000000000001" customHeight="1">
      <c r="A6" s="185" t="s">
        <v>336</v>
      </c>
      <c r="B6" s="186"/>
      <c r="C6" s="185"/>
      <c r="D6" s="187"/>
      <c r="E6" s="185"/>
      <c r="F6" s="188"/>
      <c r="G6" s="185"/>
      <c r="H6" s="188"/>
      <c r="I6" s="188"/>
      <c r="J6" s="188"/>
    </row>
    <row r="7" spans="1:19" ht="20.100000000000001" customHeight="1">
      <c r="A7" s="185" t="s">
        <v>337</v>
      </c>
      <c r="B7" s="186"/>
      <c r="C7" s="185"/>
      <c r="D7" s="187"/>
      <c r="E7" s="185"/>
      <c r="F7" s="188"/>
      <c r="G7" s="185"/>
      <c r="H7" s="188"/>
      <c r="I7" s="188"/>
      <c r="J7" s="188"/>
    </row>
    <row r="8" spans="1:19" ht="20.100000000000001" customHeight="1">
      <c r="A8" s="188"/>
      <c r="B8" s="191"/>
      <c r="C8" s="188"/>
      <c r="D8" s="192"/>
      <c r="E8" s="188"/>
      <c r="F8" s="188"/>
      <c r="G8" s="188"/>
      <c r="H8" s="188"/>
      <c r="I8" s="188"/>
      <c r="J8" s="188"/>
      <c r="S8" s="189">
        <f>6203.49-4547.31</f>
        <v>1656.1799999999994</v>
      </c>
    </row>
    <row r="9" spans="1:19" ht="20.100000000000001" customHeight="1">
      <c r="A9" s="188"/>
      <c r="B9" s="191"/>
      <c r="C9" s="188"/>
      <c r="D9" s="193" t="s">
        <v>660</v>
      </c>
      <c r="E9" s="194"/>
      <c r="F9" s="193"/>
      <c r="G9" s="193"/>
      <c r="H9" s="193"/>
      <c r="I9" s="193"/>
      <c r="J9" s="193"/>
      <c r="K9" s="195"/>
    </row>
    <row r="10" spans="1:19" ht="20.100000000000001" customHeight="1">
      <c r="A10" s="188"/>
      <c r="B10" s="191"/>
      <c r="C10" s="188"/>
      <c r="D10" s="196"/>
      <c r="E10" s="193"/>
      <c r="F10" s="193"/>
      <c r="G10" s="193"/>
      <c r="H10" s="193"/>
      <c r="I10" s="193"/>
      <c r="J10" s="193"/>
    </row>
    <row r="11" spans="1:19" ht="20.100000000000001" customHeight="1" thickBot="1">
      <c r="A11" s="197"/>
      <c r="E11" s="533"/>
      <c r="F11" s="533"/>
      <c r="G11" s="533"/>
      <c r="H11" s="533"/>
    </row>
    <row r="12" spans="1:19" ht="20.100000000000001" customHeight="1">
      <c r="A12" s="534" t="s">
        <v>560</v>
      </c>
      <c r="B12" s="536" t="s">
        <v>409</v>
      </c>
      <c r="C12" s="538" t="s">
        <v>426</v>
      </c>
      <c r="D12" s="540" t="s">
        <v>597</v>
      </c>
      <c r="E12" s="528" t="s">
        <v>410</v>
      </c>
      <c r="F12" s="521" t="s">
        <v>411</v>
      </c>
      <c r="G12" s="521" t="s">
        <v>412</v>
      </c>
      <c r="H12" s="521" t="s">
        <v>413</v>
      </c>
      <c r="I12" s="521" t="s">
        <v>414</v>
      </c>
      <c r="J12" s="521" t="s">
        <v>415</v>
      </c>
      <c r="K12" s="521" t="s">
        <v>416</v>
      </c>
      <c r="L12" s="521" t="s">
        <v>417</v>
      </c>
      <c r="M12" s="528" t="s">
        <v>418</v>
      </c>
    </row>
    <row r="13" spans="1:19" ht="58.5" customHeight="1">
      <c r="A13" s="535"/>
      <c r="B13" s="537"/>
      <c r="C13" s="539"/>
      <c r="D13" s="541"/>
      <c r="E13" s="529"/>
      <c r="F13" s="522"/>
      <c r="G13" s="522"/>
      <c r="H13" s="522"/>
      <c r="I13" s="522"/>
      <c r="J13" s="522"/>
      <c r="K13" s="522"/>
      <c r="L13" s="522"/>
      <c r="M13" s="529"/>
      <c r="N13" s="189" t="s">
        <v>604</v>
      </c>
      <c r="O13" s="189" t="s">
        <v>605</v>
      </c>
      <c r="P13" s="189" t="s">
        <v>606</v>
      </c>
      <c r="Q13" s="189" t="s">
        <v>607</v>
      </c>
      <c r="R13" s="200" t="s">
        <v>608</v>
      </c>
      <c r="S13" s="200" t="s">
        <v>609</v>
      </c>
    </row>
    <row r="14" spans="1:19" s="188" customFormat="1" ht="20.100000000000001" customHeight="1" thickBot="1">
      <c r="A14" s="201">
        <v>1</v>
      </c>
      <c r="B14" s="202">
        <v>2</v>
      </c>
      <c r="C14" s="202">
        <v>3</v>
      </c>
      <c r="D14" s="202">
        <v>4</v>
      </c>
      <c r="E14" s="203">
        <v>5</v>
      </c>
      <c r="F14" s="204">
        <v>6</v>
      </c>
      <c r="G14" s="204">
        <v>7</v>
      </c>
      <c r="H14" s="204">
        <v>8</v>
      </c>
      <c r="I14" s="204">
        <v>9</v>
      </c>
      <c r="J14" s="204">
        <v>10</v>
      </c>
      <c r="K14" s="204">
        <v>11</v>
      </c>
      <c r="L14" s="204">
        <v>12</v>
      </c>
      <c r="M14" s="205">
        <v>13</v>
      </c>
    </row>
    <row r="15" spans="1:19" ht="20.100000000000001" customHeight="1" thickTop="1">
      <c r="A15" s="530" t="s">
        <v>561</v>
      </c>
      <c r="B15" s="530"/>
      <c r="C15" s="530"/>
      <c r="D15" s="530"/>
      <c r="E15" s="530"/>
      <c r="F15" s="530"/>
      <c r="G15" s="530"/>
      <c r="H15" s="530"/>
      <c r="I15" s="530"/>
      <c r="J15" s="530"/>
      <c r="K15" s="530"/>
      <c r="L15" s="530"/>
      <c r="M15" s="530"/>
    </row>
    <row r="16" spans="1:19" s="210" customFormat="1" ht="20.100000000000001" customHeight="1">
      <c r="A16" s="206" t="s">
        <v>661</v>
      </c>
      <c r="B16" s="279" t="s">
        <v>353</v>
      </c>
      <c r="C16" s="207" t="s">
        <v>352</v>
      </c>
      <c r="D16" s="362">
        <v>450000</v>
      </c>
      <c r="E16" s="208">
        <v>443379.56</v>
      </c>
      <c r="F16" s="208">
        <v>0</v>
      </c>
      <c r="G16" s="208">
        <v>0</v>
      </c>
      <c r="H16" s="208">
        <v>0</v>
      </c>
      <c r="I16" s="208">
        <v>0</v>
      </c>
      <c r="J16" s="208">
        <v>0</v>
      </c>
      <c r="K16" s="209">
        <v>0</v>
      </c>
      <c r="L16" s="209">
        <v>0</v>
      </c>
      <c r="M16" s="208">
        <f>+J16</f>
        <v>0</v>
      </c>
      <c r="N16" s="211">
        <f>IF(E16&lt;F16,F16-E16,0)</f>
        <v>0</v>
      </c>
      <c r="O16" s="211">
        <f>IF(E16&gt;F16,E16-F16,0)</f>
        <v>443379.56</v>
      </c>
      <c r="P16" s="211"/>
      <c r="Q16" s="211">
        <v>430644.56</v>
      </c>
      <c r="R16" s="211">
        <f>N16-P16</f>
        <v>0</v>
      </c>
      <c r="S16" s="211">
        <f>O16-Q16</f>
        <v>12735</v>
      </c>
    </row>
    <row r="17" spans="1:19" s="210" customFormat="1" ht="20.100000000000001" customHeight="1">
      <c r="A17" s="206" t="s">
        <v>661</v>
      </c>
      <c r="B17" s="279" t="s">
        <v>353</v>
      </c>
      <c r="C17" s="207" t="s">
        <v>354</v>
      </c>
      <c r="D17" s="212">
        <v>9000000</v>
      </c>
      <c r="E17" s="363">
        <v>8867591.3000000007</v>
      </c>
      <c r="F17" s="208">
        <v>0</v>
      </c>
      <c r="G17" s="208">
        <f>+F17-E17</f>
        <v>-8867591.3000000007</v>
      </c>
      <c r="H17" s="213">
        <v>0</v>
      </c>
      <c r="I17" s="208">
        <v>0</v>
      </c>
      <c r="J17" s="208">
        <v>0</v>
      </c>
      <c r="K17" s="208">
        <v>0</v>
      </c>
      <c r="L17" s="208">
        <v>0</v>
      </c>
      <c r="M17" s="208">
        <f>+G17</f>
        <v>-8867591.3000000007</v>
      </c>
      <c r="N17" s="211">
        <f t="shared" ref="N17:N67" si="0">IF(E17&lt;F17,F17-E17,0)</f>
        <v>0</v>
      </c>
      <c r="O17" s="211">
        <f t="shared" ref="O17:O66" si="1">IF(E17&gt;F17,E17-F17,0)</f>
        <v>8867591.3000000007</v>
      </c>
    </row>
    <row r="18" spans="1:19" s="210" customFormat="1" ht="20.100000000000001" customHeight="1">
      <c r="A18" s="206" t="s">
        <v>661</v>
      </c>
      <c r="B18" s="279" t="s">
        <v>355</v>
      </c>
      <c r="C18" s="207" t="s">
        <v>354</v>
      </c>
      <c r="D18" s="212">
        <v>221494</v>
      </c>
      <c r="E18" s="208">
        <v>221494</v>
      </c>
      <c r="F18" s="208">
        <v>0</v>
      </c>
      <c r="G18" s="208">
        <f>+F18-E18</f>
        <v>-221494</v>
      </c>
      <c r="H18" s="213">
        <v>0</v>
      </c>
      <c r="I18" s="208">
        <v>0</v>
      </c>
      <c r="J18" s="208">
        <v>0</v>
      </c>
      <c r="K18" s="208">
        <v>0</v>
      </c>
      <c r="L18" s="208">
        <v>0</v>
      </c>
      <c r="M18" s="208">
        <f>G18</f>
        <v>-221494</v>
      </c>
      <c r="N18" s="211">
        <f t="shared" si="0"/>
        <v>0</v>
      </c>
      <c r="O18" s="211">
        <f t="shared" si="1"/>
        <v>221494</v>
      </c>
    </row>
    <row r="19" spans="1:19" s="210" customFormat="1" ht="20.100000000000001" customHeight="1">
      <c r="A19" s="206" t="s">
        <v>661</v>
      </c>
      <c r="B19" s="279" t="s">
        <v>357</v>
      </c>
      <c r="C19" s="207" t="s">
        <v>354</v>
      </c>
      <c r="D19" s="212">
        <v>17783</v>
      </c>
      <c r="E19" s="208">
        <v>17783</v>
      </c>
      <c r="F19" s="208">
        <v>0</v>
      </c>
      <c r="G19" s="208">
        <f>+F19-E19</f>
        <v>-17783</v>
      </c>
      <c r="H19" s="213">
        <v>0</v>
      </c>
      <c r="I19" s="208">
        <v>0</v>
      </c>
      <c r="J19" s="208">
        <v>0</v>
      </c>
      <c r="K19" s="208">
        <v>0</v>
      </c>
      <c r="L19" s="208">
        <v>0</v>
      </c>
      <c r="M19" s="208">
        <f>G19</f>
        <v>-17783</v>
      </c>
      <c r="N19" s="211">
        <f t="shared" si="0"/>
        <v>0</v>
      </c>
      <c r="O19" s="211">
        <f t="shared" si="1"/>
        <v>17783</v>
      </c>
    </row>
    <row r="20" spans="1:19" s="210" customFormat="1" ht="20.100000000000001" customHeight="1">
      <c r="A20" s="206" t="s">
        <v>661</v>
      </c>
      <c r="B20" s="279" t="s">
        <v>359</v>
      </c>
      <c r="C20" s="207" t="s">
        <v>352</v>
      </c>
      <c r="D20" s="212">
        <v>18002</v>
      </c>
      <c r="E20" s="208">
        <v>43504.82</v>
      </c>
      <c r="F20" s="208">
        <v>3060.34</v>
      </c>
      <c r="G20" s="208">
        <v>0</v>
      </c>
      <c r="H20" s="208">
        <v>0</v>
      </c>
      <c r="I20" s="208">
        <v>0</v>
      </c>
      <c r="J20" s="208">
        <v>-900.1</v>
      </c>
      <c r="K20" s="208">
        <v>0</v>
      </c>
      <c r="L20" s="208">
        <v>0</v>
      </c>
      <c r="M20" s="208">
        <f>+J20</f>
        <v>-900.1</v>
      </c>
      <c r="N20" s="211">
        <f t="shared" si="0"/>
        <v>0</v>
      </c>
      <c r="O20" s="211">
        <f t="shared" si="1"/>
        <v>40444.479999999996</v>
      </c>
      <c r="Q20" s="210">
        <v>36303.120000000003</v>
      </c>
      <c r="R20" s="211">
        <f>N20-P20</f>
        <v>0</v>
      </c>
      <c r="S20" s="211">
        <f>O20-Q20</f>
        <v>4141.3599999999933</v>
      </c>
    </row>
    <row r="21" spans="1:19" s="210" customFormat="1" ht="19.5" customHeight="1">
      <c r="A21" s="206" t="s">
        <v>661</v>
      </c>
      <c r="B21" s="279" t="s">
        <v>361</v>
      </c>
      <c r="C21" s="207" t="s">
        <v>354</v>
      </c>
      <c r="D21" s="212">
        <v>1930880</v>
      </c>
      <c r="E21" s="208">
        <v>1930880</v>
      </c>
      <c r="F21" s="208">
        <v>256807.04000000001</v>
      </c>
      <c r="G21" s="208">
        <f>+F21-E21</f>
        <v>-1674072.96</v>
      </c>
      <c r="H21" s="213">
        <v>0</v>
      </c>
      <c r="I21" s="208">
        <v>0</v>
      </c>
      <c r="J21" s="208">
        <v>0</v>
      </c>
      <c r="K21" s="208">
        <v>0</v>
      </c>
      <c r="L21" s="208">
        <v>0</v>
      </c>
      <c r="M21" s="208">
        <f>G21</f>
        <v>-1674072.96</v>
      </c>
      <c r="N21" s="211">
        <f t="shared" si="0"/>
        <v>0</v>
      </c>
      <c r="O21" s="211">
        <f t="shared" si="1"/>
        <v>1674072.96</v>
      </c>
    </row>
    <row r="22" spans="1:19" s="210" customFormat="1" ht="20.100000000000001" customHeight="1">
      <c r="A22" s="206" t="s">
        <v>661</v>
      </c>
      <c r="B22" s="279" t="s">
        <v>362</v>
      </c>
      <c r="C22" s="207" t="s">
        <v>354</v>
      </c>
      <c r="D22" s="212">
        <v>10000000</v>
      </c>
      <c r="E22" s="208">
        <v>10015483.300000001</v>
      </c>
      <c r="F22" s="208">
        <v>3700000</v>
      </c>
      <c r="G22" s="208">
        <f>+F22-E22</f>
        <v>-6315483.3000000007</v>
      </c>
      <c r="H22" s="208">
        <v>0</v>
      </c>
      <c r="I22" s="208">
        <v>0</v>
      </c>
      <c r="J22" s="208">
        <v>0</v>
      </c>
      <c r="K22" s="208">
        <v>0</v>
      </c>
      <c r="L22" s="208">
        <v>0</v>
      </c>
      <c r="M22" s="208">
        <f>G22</f>
        <v>-6315483.3000000007</v>
      </c>
      <c r="N22" s="211">
        <f t="shared" si="0"/>
        <v>0</v>
      </c>
      <c r="O22" s="211">
        <f t="shared" si="1"/>
        <v>6315483.3000000007</v>
      </c>
    </row>
    <row r="23" spans="1:19" s="210" customFormat="1" ht="20.100000000000001" customHeight="1">
      <c r="A23" s="206" t="s">
        <v>661</v>
      </c>
      <c r="B23" s="279" t="s">
        <v>362</v>
      </c>
      <c r="C23" s="207" t="s">
        <v>352</v>
      </c>
      <c r="D23" s="212">
        <v>1228880</v>
      </c>
      <c r="E23" s="208">
        <v>1230638.8500000001</v>
      </c>
      <c r="F23" s="208">
        <v>454685.6</v>
      </c>
      <c r="G23" s="208">
        <v>0</v>
      </c>
      <c r="H23" s="208">
        <v>0</v>
      </c>
      <c r="I23" s="208">
        <v>0</v>
      </c>
      <c r="J23" s="208">
        <v>-36866.400000000001</v>
      </c>
      <c r="K23" s="208">
        <v>0</v>
      </c>
      <c r="L23" s="208">
        <v>0</v>
      </c>
      <c r="M23" s="208">
        <f>G23+J23</f>
        <v>-36866.400000000001</v>
      </c>
      <c r="N23" s="211">
        <f t="shared" si="0"/>
        <v>0</v>
      </c>
      <c r="O23" s="211">
        <f t="shared" si="1"/>
        <v>775953.25000000012</v>
      </c>
      <c r="Q23" s="210">
        <v>532635.01</v>
      </c>
      <c r="R23" s="211">
        <f>N23-P23</f>
        <v>0</v>
      </c>
      <c r="S23" s="211">
        <f>O23-Q23</f>
        <v>243318.24000000011</v>
      </c>
    </row>
    <row r="24" spans="1:19" s="210" customFormat="1" ht="18" customHeight="1">
      <c r="A24" s="206" t="s">
        <v>661</v>
      </c>
      <c r="B24" s="279" t="s">
        <v>363</v>
      </c>
      <c r="C24" s="207" t="s">
        <v>354</v>
      </c>
      <c r="D24" s="212">
        <v>1302041</v>
      </c>
      <c r="E24" s="208">
        <v>1349622.64</v>
      </c>
      <c r="F24" s="208">
        <v>636698.05000000005</v>
      </c>
      <c r="G24" s="208">
        <f>+F24-E24</f>
        <v>-712924.58999999985</v>
      </c>
      <c r="H24" s="213">
        <v>0</v>
      </c>
      <c r="I24" s="208">
        <v>0</v>
      </c>
      <c r="J24" s="208">
        <v>0</v>
      </c>
      <c r="K24" s="208">
        <v>0</v>
      </c>
      <c r="L24" s="208">
        <v>0</v>
      </c>
      <c r="M24" s="208">
        <f>+G24</f>
        <v>-712924.58999999985</v>
      </c>
      <c r="N24" s="211">
        <f t="shared" si="0"/>
        <v>0</v>
      </c>
      <c r="O24" s="211">
        <f t="shared" si="1"/>
        <v>712924.58999999985</v>
      </c>
    </row>
    <row r="25" spans="1:19" s="210" customFormat="1" ht="20.100000000000001" customHeight="1">
      <c r="A25" s="206" t="s">
        <v>661</v>
      </c>
      <c r="B25" s="279" t="s">
        <v>363</v>
      </c>
      <c r="C25" s="207" t="s">
        <v>352</v>
      </c>
      <c r="D25" s="212">
        <v>34509</v>
      </c>
      <c r="E25" s="208">
        <v>50730.11</v>
      </c>
      <c r="F25" s="208">
        <v>16874.900000000001</v>
      </c>
      <c r="G25" s="208">
        <v>0</v>
      </c>
      <c r="H25" s="208">
        <v>0</v>
      </c>
      <c r="I25" s="208">
        <v>0</v>
      </c>
      <c r="J25" s="208">
        <v>2543.31</v>
      </c>
      <c r="K25" s="208">
        <v>0</v>
      </c>
      <c r="L25" s="208">
        <v>0</v>
      </c>
      <c r="M25" s="208">
        <f>+J25</f>
        <v>2543.31</v>
      </c>
      <c r="N25" s="211">
        <f t="shared" si="0"/>
        <v>0</v>
      </c>
      <c r="O25" s="211">
        <f t="shared" si="1"/>
        <v>33855.21</v>
      </c>
      <c r="Q25" s="210">
        <v>31627.200000000001</v>
      </c>
      <c r="R25" s="211">
        <f>N25-P25</f>
        <v>0</v>
      </c>
      <c r="S25" s="211">
        <f>O25-Q25</f>
        <v>2228.0099999999984</v>
      </c>
    </row>
    <row r="26" spans="1:19" s="210" customFormat="1" ht="20.100000000000001" customHeight="1">
      <c r="A26" s="206" t="s">
        <v>661</v>
      </c>
      <c r="B26" s="279" t="s">
        <v>364</v>
      </c>
      <c r="C26" s="207" t="s">
        <v>352</v>
      </c>
      <c r="D26" s="212">
        <v>844448</v>
      </c>
      <c r="E26" s="208">
        <v>850226.21</v>
      </c>
      <c r="F26" s="208">
        <v>350445.92</v>
      </c>
      <c r="G26" s="208">
        <v>0</v>
      </c>
      <c r="H26" s="213">
        <v>0</v>
      </c>
      <c r="I26" s="208">
        <v>0</v>
      </c>
      <c r="J26" s="208">
        <v>-5911.14</v>
      </c>
      <c r="K26" s="208">
        <v>0</v>
      </c>
      <c r="L26" s="208">
        <v>0</v>
      </c>
      <c r="M26" s="208">
        <f>+J26</f>
        <v>-5911.14</v>
      </c>
      <c r="N26" s="211">
        <f t="shared" si="0"/>
        <v>0</v>
      </c>
      <c r="O26" s="211">
        <f t="shared" si="1"/>
        <v>499780.29</v>
      </c>
      <c r="Q26" s="210">
        <v>360446.37</v>
      </c>
      <c r="R26" s="211">
        <f>N26-P26</f>
        <v>0</v>
      </c>
      <c r="S26" s="211">
        <f>O26-Q26</f>
        <v>139333.91999999998</v>
      </c>
    </row>
    <row r="27" spans="1:19" s="210" customFormat="1" ht="20.100000000000001" customHeight="1">
      <c r="A27" s="206" t="s">
        <v>661</v>
      </c>
      <c r="B27" s="279" t="s">
        <v>364</v>
      </c>
      <c r="C27" s="207" t="s">
        <v>354</v>
      </c>
      <c r="D27" s="212">
        <v>7000000</v>
      </c>
      <c r="E27" s="208">
        <v>7046320.29</v>
      </c>
      <c r="F27" s="208">
        <v>2905000</v>
      </c>
      <c r="G27" s="208">
        <f>+F27-E27</f>
        <v>-4141320.29</v>
      </c>
      <c r="H27" s="208">
        <v>0</v>
      </c>
      <c r="I27" s="208">
        <v>0</v>
      </c>
      <c r="J27" s="208">
        <v>0</v>
      </c>
      <c r="K27" s="208">
        <v>0</v>
      </c>
      <c r="L27" s="208">
        <v>0</v>
      </c>
      <c r="M27" s="208">
        <f>+G27</f>
        <v>-4141320.29</v>
      </c>
      <c r="N27" s="211">
        <f t="shared" si="0"/>
        <v>0</v>
      </c>
      <c r="O27" s="211">
        <f t="shared" si="1"/>
        <v>4141320.29</v>
      </c>
    </row>
    <row r="28" spans="1:19" s="210" customFormat="1" ht="20.100000000000001" customHeight="1">
      <c r="A28" s="206" t="s">
        <v>661</v>
      </c>
      <c r="B28" s="279" t="s">
        <v>365</v>
      </c>
      <c r="C28" s="207" t="s">
        <v>354</v>
      </c>
      <c r="D28" s="212">
        <v>146794</v>
      </c>
      <c r="E28" s="208">
        <v>146794</v>
      </c>
      <c r="F28" s="208">
        <v>42570.26</v>
      </c>
      <c r="G28" s="208">
        <f>+F28-E28</f>
        <v>-104223.73999999999</v>
      </c>
      <c r="H28" s="208">
        <v>0</v>
      </c>
      <c r="I28" s="208">
        <v>0</v>
      </c>
      <c r="J28" s="208">
        <v>0</v>
      </c>
      <c r="K28" s="208">
        <v>0</v>
      </c>
      <c r="L28" s="208">
        <v>0</v>
      </c>
      <c r="M28" s="208">
        <f>G28</f>
        <v>-104223.73999999999</v>
      </c>
      <c r="N28" s="211">
        <f t="shared" si="0"/>
        <v>0</v>
      </c>
      <c r="O28" s="211">
        <f t="shared" si="1"/>
        <v>104223.73999999999</v>
      </c>
    </row>
    <row r="29" spans="1:19" s="210" customFormat="1" ht="20.100000000000001" customHeight="1">
      <c r="A29" s="206" t="s">
        <v>661</v>
      </c>
      <c r="B29" s="279" t="s">
        <v>400</v>
      </c>
      <c r="C29" s="207" t="s">
        <v>352</v>
      </c>
      <c r="D29" s="212">
        <v>570</v>
      </c>
      <c r="E29" s="208">
        <v>35230.47</v>
      </c>
      <c r="F29" s="208">
        <v>21904.07</v>
      </c>
      <c r="G29" s="208">
        <v>0</v>
      </c>
      <c r="H29" s="208">
        <v>0</v>
      </c>
      <c r="I29" s="208">
        <v>0</v>
      </c>
      <c r="J29" s="208">
        <v>-3923.26</v>
      </c>
      <c r="K29" s="208">
        <v>0</v>
      </c>
      <c r="L29" s="208">
        <v>0</v>
      </c>
      <c r="M29" s="208">
        <f>+J29</f>
        <v>-3923.26</v>
      </c>
      <c r="N29" s="211">
        <f t="shared" si="0"/>
        <v>0</v>
      </c>
      <c r="O29" s="211">
        <f t="shared" si="1"/>
        <v>13326.400000000001</v>
      </c>
      <c r="P29" s="210">
        <v>1469.49</v>
      </c>
      <c r="R29" s="211">
        <f>N29-P29</f>
        <v>-1469.49</v>
      </c>
      <c r="S29" s="211">
        <f>O29-Q29</f>
        <v>13326.400000000001</v>
      </c>
    </row>
    <row r="30" spans="1:19" s="210" customFormat="1" ht="20.100000000000001" customHeight="1">
      <c r="A30" s="206" t="s">
        <v>661</v>
      </c>
      <c r="B30" s="279" t="s">
        <v>366</v>
      </c>
      <c r="C30" s="207" t="s">
        <v>354</v>
      </c>
      <c r="D30" s="212">
        <v>82595</v>
      </c>
      <c r="E30" s="208">
        <v>82595</v>
      </c>
      <c r="F30" s="208">
        <v>0</v>
      </c>
      <c r="G30" s="208">
        <f t="shared" ref="G30:G35" si="2">+F30-E30</f>
        <v>-82595</v>
      </c>
      <c r="H30" s="213">
        <v>0</v>
      </c>
      <c r="I30" s="208">
        <v>0</v>
      </c>
      <c r="J30" s="208">
        <v>0</v>
      </c>
      <c r="K30" s="208">
        <v>0</v>
      </c>
      <c r="L30" s="208">
        <v>0</v>
      </c>
      <c r="M30" s="208">
        <f t="shared" ref="M30:M35" si="3">G30</f>
        <v>-82595</v>
      </c>
      <c r="N30" s="211">
        <f t="shared" si="0"/>
        <v>0</v>
      </c>
      <c r="O30" s="211">
        <f t="shared" si="1"/>
        <v>82595</v>
      </c>
    </row>
    <row r="31" spans="1:19" s="210" customFormat="1" ht="20.100000000000001" customHeight="1">
      <c r="A31" s="206" t="s">
        <v>661</v>
      </c>
      <c r="B31" s="279" t="s">
        <v>367</v>
      </c>
      <c r="C31" s="207" t="s">
        <v>354</v>
      </c>
      <c r="D31" s="212">
        <v>581883</v>
      </c>
      <c r="E31" s="208">
        <v>581883</v>
      </c>
      <c r="F31" s="208">
        <v>80299.850000000006</v>
      </c>
      <c r="G31" s="208">
        <f t="shared" si="2"/>
        <v>-501583.15</v>
      </c>
      <c r="H31" s="208">
        <v>0</v>
      </c>
      <c r="I31" s="208">
        <v>0</v>
      </c>
      <c r="J31" s="208">
        <v>0</v>
      </c>
      <c r="K31" s="208">
        <v>0</v>
      </c>
      <c r="L31" s="208">
        <v>0</v>
      </c>
      <c r="M31" s="208">
        <f t="shared" si="3"/>
        <v>-501583.15</v>
      </c>
      <c r="N31" s="211">
        <f t="shared" si="0"/>
        <v>0</v>
      </c>
      <c r="O31" s="211">
        <f t="shared" si="1"/>
        <v>501583.15</v>
      </c>
    </row>
    <row r="32" spans="1:19" s="210" customFormat="1" ht="20.100000000000001" customHeight="1">
      <c r="A32" s="206" t="s">
        <v>661</v>
      </c>
      <c r="B32" s="279" t="s">
        <v>368</v>
      </c>
      <c r="C32" s="207" t="s">
        <v>354</v>
      </c>
      <c r="D32" s="212">
        <v>26766</v>
      </c>
      <c r="E32" s="214">
        <v>26766</v>
      </c>
      <c r="F32" s="208">
        <v>0</v>
      </c>
      <c r="G32" s="208">
        <f t="shared" si="2"/>
        <v>-26766</v>
      </c>
      <c r="H32" s="208">
        <v>0</v>
      </c>
      <c r="I32" s="208">
        <v>0</v>
      </c>
      <c r="J32" s="208">
        <v>0</v>
      </c>
      <c r="K32" s="208">
        <v>0</v>
      </c>
      <c r="L32" s="208">
        <v>0</v>
      </c>
      <c r="M32" s="208">
        <f t="shared" si="3"/>
        <v>-26766</v>
      </c>
      <c r="N32" s="211">
        <f t="shared" si="0"/>
        <v>0</v>
      </c>
      <c r="O32" s="211">
        <f t="shared" si="1"/>
        <v>26766</v>
      </c>
    </row>
    <row r="33" spans="1:19" s="210" customFormat="1" ht="20.100000000000001" customHeight="1">
      <c r="A33" s="206" t="s">
        <v>661</v>
      </c>
      <c r="B33" s="279" t="s">
        <v>369</v>
      </c>
      <c r="C33" s="207" t="s">
        <v>354</v>
      </c>
      <c r="D33" s="212">
        <v>1552357</v>
      </c>
      <c r="E33" s="214">
        <v>1552357</v>
      </c>
      <c r="F33" s="208">
        <v>0</v>
      </c>
      <c r="G33" s="208">
        <f t="shared" si="2"/>
        <v>-1552357</v>
      </c>
      <c r="H33" s="213">
        <v>0</v>
      </c>
      <c r="I33" s="208">
        <v>0</v>
      </c>
      <c r="J33" s="208">
        <v>0</v>
      </c>
      <c r="K33" s="208">
        <v>0</v>
      </c>
      <c r="L33" s="208">
        <v>0</v>
      </c>
      <c r="M33" s="208">
        <f t="shared" si="3"/>
        <v>-1552357</v>
      </c>
      <c r="N33" s="211">
        <f t="shared" si="0"/>
        <v>0</v>
      </c>
      <c r="O33" s="211">
        <f t="shared" si="1"/>
        <v>1552357</v>
      </c>
    </row>
    <row r="34" spans="1:19" s="210" customFormat="1" ht="20.100000000000001" customHeight="1">
      <c r="A34" s="206" t="s">
        <v>661</v>
      </c>
      <c r="B34" s="279" t="s">
        <v>370</v>
      </c>
      <c r="C34" s="207" t="s">
        <v>354</v>
      </c>
      <c r="D34" s="212">
        <v>1251715</v>
      </c>
      <c r="E34" s="214">
        <v>1251715</v>
      </c>
      <c r="F34" s="208">
        <v>454247.37</v>
      </c>
      <c r="G34" s="208">
        <f t="shared" si="2"/>
        <v>-797467.63</v>
      </c>
      <c r="H34" s="208">
        <v>0</v>
      </c>
      <c r="I34" s="208">
        <v>0</v>
      </c>
      <c r="J34" s="208">
        <v>0</v>
      </c>
      <c r="K34" s="208">
        <v>0</v>
      </c>
      <c r="L34" s="208">
        <v>0</v>
      </c>
      <c r="M34" s="208">
        <f t="shared" si="3"/>
        <v>-797467.63</v>
      </c>
      <c r="N34" s="211">
        <f t="shared" si="0"/>
        <v>0</v>
      </c>
      <c r="O34" s="211">
        <f t="shared" si="1"/>
        <v>797467.63</v>
      </c>
    </row>
    <row r="35" spans="1:19" s="210" customFormat="1" ht="20.100000000000001" customHeight="1">
      <c r="A35" s="206" t="s">
        <v>661</v>
      </c>
      <c r="B35" s="279" t="s">
        <v>371</v>
      </c>
      <c r="C35" s="207" t="s">
        <v>354</v>
      </c>
      <c r="D35" s="212">
        <v>41675</v>
      </c>
      <c r="E35" s="214">
        <v>41675</v>
      </c>
      <c r="F35" s="208">
        <v>22296.13</v>
      </c>
      <c r="G35" s="208">
        <f t="shared" si="2"/>
        <v>-19378.87</v>
      </c>
      <c r="H35" s="208">
        <v>0</v>
      </c>
      <c r="I35" s="208">
        <v>0</v>
      </c>
      <c r="J35" s="208">
        <v>0</v>
      </c>
      <c r="K35" s="208">
        <v>0</v>
      </c>
      <c r="L35" s="208">
        <v>0</v>
      </c>
      <c r="M35" s="208">
        <f t="shared" si="3"/>
        <v>-19378.87</v>
      </c>
      <c r="N35" s="211">
        <f t="shared" si="0"/>
        <v>0</v>
      </c>
      <c r="O35" s="211">
        <f t="shared" si="1"/>
        <v>19378.87</v>
      </c>
    </row>
    <row r="36" spans="1:19" s="210" customFormat="1" ht="20.100000000000001" customHeight="1">
      <c r="A36" s="206" t="s">
        <v>661</v>
      </c>
      <c r="B36" s="279" t="s">
        <v>372</v>
      </c>
      <c r="C36" s="207" t="s">
        <v>352</v>
      </c>
      <c r="D36" s="212">
        <v>10091</v>
      </c>
      <c r="E36" s="208">
        <v>10091</v>
      </c>
      <c r="F36" s="208">
        <v>10403.82</v>
      </c>
      <c r="G36" s="208">
        <v>0</v>
      </c>
      <c r="H36" s="213">
        <v>0</v>
      </c>
      <c r="I36" s="208">
        <v>0</v>
      </c>
      <c r="J36" s="208">
        <v>-307.77999999999997</v>
      </c>
      <c r="K36" s="208">
        <v>0</v>
      </c>
      <c r="L36" s="208">
        <v>0</v>
      </c>
      <c r="M36" s="208">
        <f>J36</f>
        <v>-307.77999999999997</v>
      </c>
      <c r="N36" s="211">
        <f t="shared" si="0"/>
        <v>312.81999999999971</v>
      </c>
      <c r="O36" s="211">
        <f t="shared" si="1"/>
        <v>0</v>
      </c>
      <c r="P36" s="210">
        <v>9625.4</v>
      </c>
      <c r="R36" s="211">
        <f>N36-P36</f>
        <v>-9312.58</v>
      </c>
      <c r="S36" s="211">
        <f>O36-Q36</f>
        <v>0</v>
      </c>
    </row>
    <row r="37" spans="1:19" s="210" customFormat="1" ht="20.100000000000001" customHeight="1">
      <c r="A37" s="206" t="s">
        <v>661</v>
      </c>
      <c r="B37" s="279" t="s">
        <v>372</v>
      </c>
      <c r="C37" s="207" t="s">
        <v>354</v>
      </c>
      <c r="D37" s="212">
        <v>185000</v>
      </c>
      <c r="E37" s="214">
        <v>185000</v>
      </c>
      <c r="F37" s="208">
        <v>190735</v>
      </c>
      <c r="G37" s="208">
        <f>+F37-E37</f>
        <v>5735</v>
      </c>
      <c r="H37" s="208">
        <v>0</v>
      </c>
      <c r="I37" s="208">
        <v>0</v>
      </c>
      <c r="J37" s="208">
        <v>0</v>
      </c>
      <c r="K37" s="208">
        <v>0</v>
      </c>
      <c r="L37" s="208">
        <v>0</v>
      </c>
      <c r="M37" s="208">
        <f>G37</f>
        <v>5735</v>
      </c>
      <c r="N37" s="211">
        <f t="shared" si="0"/>
        <v>5735</v>
      </c>
      <c r="O37" s="211">
        <f t="shared" si="1"/>
        <v>0</v>
      </c>
    </row>
    <row r="38" spans="1:19" s="210" customFormat="1" ht="20.100000000000001" customHeight="1">
      <c r="A38" s="206" t="s">
        <v>661</v>
      </c>
      <c r="B38" s="279" t="s">
        <v>373</v>
      </c>
      <c r="C38" s="207" t="s">
        <v>354</v>
      </c>
      <c r="D38" s="212">
        <v>401129</v>
      </c>
      <c r="E38" s="214">
        <v>401129</v>
      </c>
      <c r="F38" s="208">
        <v>0</v>
      </c>
      <c r="G38" s="208">
        <f>+F38-E38</f>
        <v>-401129</v>
      </c>
      <c r="H38" s="213">
        <v>0</v>
      </c>
      <c r="I38" s="208">
        <v>0</v>
      </c>
      <c r="J38" s="208">
        <v>0</v>
      </c>
      <c r="K38" s="208">
        <v>0</v>
      </c>
      <c r="L38" s="208">
        <v>0</v>
      </c>
      <c r="M38" s="208">
        <f>G38</f>
        <v>-401129</v>
      </c>
      <c r="N38" s="211">
        <f t="shared" si="0"/>
        <v>0</v>
      </c>
      <c r="O38" s="211">
        <f t="shared" si="1"/>
        <v>401129</v>
      </c>
    </row>
    <row r="39" spans="1:19" s="210" customFormat="1" ht="20.100000000000001" customHeight="1">
      <c r="A39" s="206" t="s">
        <v>661</v>
      </c>
      <c r="B39" s="279" t="s">
        <v>374</v>
      </c>
      <c r="C39" s="207" t="s">
        <v>354</v>
      </c>
      <c r="D39" s="212">
        <v>294719</v>
      </c>
      <c r="E39" s="214">
        <v>294719</v>
      </c>
      <c r="F39" s="208">
        <v>0</v>
      </c>
      <c r="G39" s="208">
        <f>+F39-E39</f>
        <v>-294719</v>
      </c>
      <c r="H39" s="208">
        <v>0</v>
      </c>
      <c r="I39" s="208">
        <v>0</v>
      </c>
      <c r="J39" s="208">
        <v>0</v>
      </c>
      <c r="K39" s="208">
        <v>0</v>
      </c>
      <c r="L39" s="208">
        <v>0</v>
      </c>
      <c r="M39" s="208">
        <f>G39</f>
        <v>-294719</v>
      </c>
      <c r="N39" s="211">
        <f t="shared" si="0"/>
        <v>0</v>
      </c>
      <c r="O39" s="211">
        <f t="shared" si="1"/>
        <v>294719</v>
      </c>
    </row>
    <row r="40" spans="1:19" s="210" customFormat="1" ht="20.100000000000001" customHeight="1">
      <c r="A40" s="206" t="s">
        <v>661</v>
      </c>
      <c r="B40" s="279" t="s">
        <v>375</v>
      </c>
      <c r="C40" s="207" t="s">
        <v>352</v>
      </c>
      <c r="D40" s="212">
        <v>10001</v>
      </c>
      <c r="E40" s="208">
        <v>14676.39</v>
      </c>
      <c r="F40" s="208">
        <v>3400.34</v>
      </c>
      <c r="G40" s="208">
        <v>0</v>
      </c>
      <c r="H40" s="208">
        <v>0</v>
      </c>
      <c r="I40" s="208">
        <v>0</v>
      </c>
      <c r="J40" s="208">
        <v>170.02</v>
      </c>
      <c r="K40" s="208">
        <v>0</v>
      </c>
      <c r="L40" s="208">
        <v>0</v>
      </c>
      <c r="M40" s="208">
        <f>G40+J40</f>
        <v>170.02</v>
      </c>
      <c r="N40" s="211">
        <f t="shared" si="0"/>
        <v>0</v>
      </c>
      <c r="O40" s="211">
        <f t="shared" si="1"/>
        <v>11276.05</v>
      </c>
      <c r="Q40" s="210">
        <v>11176.04</v>
      </c>
      <c r="R40" s="211">
        <f>N40-P40</f>
        <v>0</v>
      </c>
      <c r="S40" s="211">
        <f>O40-Q40</f>
        <v>100.0099999999984</v>
      </c>
    </row>
    <row r="41" spans="1:19" s="210" customFormat="1" ht="20.100000000000001" customHeight="1">
      <c r="A41" s="206" t="s">
        <v>661</v>
      </c>
      <c r="B41" s="279" t="s">
        <v>376</v>
      </c>
      <c r="C41" s="207" t="s">
        <v>354</v>
      </c>
      <c r="D41" s="212">
        <v>102575</v>
      </c>
      <c r="E41" s="214">
        <v>102575</v>
      </c>
      <c r="F41" s="208">
        <v>6051.93</v>
      </c>
      <c r="G41" s="208">
        <f>+F41-E41</f>
        <v>-96523.07</v>
      </c>
      <c r="H41" s="213">
        <v>0</v>
      </c>
      <c r="I41" s="208">
        <v>0</v>
      </c>
      <c r="J41" s="208">
        <v>0</v>
      </c>
      <c r="K41" s="208">
        <v>0</v>
      </c>
      <c r="L41" s="208">
        <v>0</v>
      </c>
      <c r="M41" s="208">
        <f>G41</f>
        <v>-96523.07</v>
      </c>
      <c r="N41" s="211">
        <f t="shared" si="0"/>
        <v>0</v>
      </c>
      <c r="O41" s="211">
        <f t="shared" si="1"/>
        <v>96523.07</v>
      </c>
    </row>
    <row r="42" spans="1:19" s="210" customFormat="1" ht="20.100000000000001" customHeight="1">
      <c r="A42" s="206" t="s">
        <v>661</v>
      </c>
      <c r="B42" s="279" t="s">
        <v>377</v>
      </c>
      <c r="C42" s="207" t="s">
        <v>352</v>
      </c>
      <c r="D42" s="212">
        <v>1447528</v>
      </c>
      <c r="E42" s="208">
        <v>1415499.91</v>
      </c>
      <c r="F42" s="208">
        <v>124487.41</v>
      </c>
      <c r="G42" s="208">
        <v>0</v>
      </c>
      <c r="H42" s="208">
        <v>0</v>
      </c>
      <c r="I42" s="208">
        <v>0</v>
      </c>
      <c r="J42" s="208">
        <v>-57901.120000000003</v>
      </c>
      <c r="K42" s="208">
        <v>0</v>
      </c>
      <c r="L42" s="208">
        <v>0</v>
      </c>
      <c r="M42" s="208">
        <f>+J42</f>
        <v>-57901.120000000003</v>
      </c>
      <c r="N42" s="211">
        <f t="shared" si="0"/>
        <v>0</v>
      </c>
      <c r="O42" s="211">
        <f t="shared" si="1"/>
        <v>1291012.5</v>
      </c>
      <c r="Q42" s="210">
        <v>911760.17</v>
      </c>
      <c r="R42" s="211">
        <f>N42-P42</f>
        <v>0</v>
      </c>
      <c r="S42" s="211">
        <f>O42-Q42</f>
        <v>379252.32999999996</v>
      </c>
    </row>
    <row r="43" spans="1:19" s="210" customFormat="1" ht="20.100000000000001" customHeight="1">
      <c r="A43" s="206" t="s">
        <v>661</v>
      </c>
      <c r="B43" s="279" t="s">
        <v>377</v>
      </c>
      <c r="C43" s="207" t="s">
        <v>354</v>
      </c>
      <c r="D43" s="212">
        <v>26000000</v>
      </c>
      <c r="E43" s="214">
        <v>25424722.43</v>
      </c>
      <c r="F43" s="208">
        <v>2236000</v>
      </c>
      <c r="G43" s="208">
        <f>+F43-E43</f>
        <v>-23188722.43</v>
      </c>
      <c r="H43" s="213">
        <v>0</v>
      </c>
      <c r="I43" s="208">
        <v>0</v>
      </c>
      <c r="J43" s="208">
        <v>0</v>
      </c>
      <c r="K43" s="208">
        <v>0</v>
      </c>
      <c r="L43" s="208">
        <v>0</v>
      </c>
      <c r="M43" s="208">
        <f>+G43</f>
        <v>-23188722.43</v>
      </c>
      <c r="N43" s="211">
        <f t="shared" si="0"/>
        <v>0</v>
      </c>
      <c r="O43" s="211">
        <f t="shared" si="1"/>
        <v>23188722.43</v>
      </c>
    </row>
    <row r="44" spans="1:19" s="210" customFormat="1" ht="20.100000000000001" customHeight="1">
      <c r="A44" s="206" t="s">
        <v>661</v>
      </c>
      <c r="B44" s="279" t="s">
        <v>378</v>
      </c>
      <c r="C44" s="207" t="s">
        <v>352</v>
      </c>
      <c r="D44" s="212">
        <v>321207</v>
      </c>
      <c r="E44" s="214">
        <v>319620.47999999998</v>
      </c>
      <c r="F44" s="208">
        <v>7901.69</v>
      </c>
      <c r="G44" s="208">
        <v>0</v>
      </c>
      <c r="H44" s="208">
        <v>0</v>
      </c>
      <c r="I44" s="208">
        <v>0</v>
      </c>
      <c r="J44" s="208">
        <v>-8993.7999999999993</v>
      </c>
      <c r="K44" s="208">
        <v>0</v>
      </c>
      <c r="L44" s="208">
        <v>0</v>
      </c>
      <c r="M44" s="208">
        <f>J44</f>
        <v>-8993.7999999999993</v>
      </c>
      <c r="N44" s="211">
        <f t="shared" si="0"/>
        <v>0</v>
      </c>
      <c r="O44" s="211">
        <f t="shared" si="1"/>
        <v>311718.78999999998</v>
      </c>
      <c r="Q44" s="210">
        <v>284608.92</v>
      </c>
      <c r="R44" s="211">
        <f>N44-P44</f>
        <v>0</v>
      </c>
      <c r="S44" s="211">
        <f>O44-Q44</f>
        <v>27109.869999999995</v>
      </c>
    </row>
    <row r="45" spans="1:19" s="210" customFormat="1" ht="20.100000000000001" customHeight="1">
      <c r="A45" s="206" t="s">
        <v>661</v>
      </c>
      <c r="B45" s="279" t="s">
        <v>378</v>
      </c>
      <c r="C45" s="207" t="s">
        <v>354</v>
      </c>
      <c r="D45" s="212">
        <v>3500000</v>
      </c>
      <c r="E45" s="208">
        <v>3498534.78</v>
      </c>
      <c r="F45" s="208">
        <v>86100</v>
      </c>
      <c r="G45" s="208">
        <f>+F45-E45</f>
        <v>-3412434.78</v>
      </c>
      <c r="H45" s="208">
        <v>0</v>
      </c>
      <c r="I45" s="208">
        <v>0</v>
      </c>
      <c r="J45" s="208">
        <v>0</v>
      </c>
      <c r="K45" s="208">
        <v>0</v>
      </c>
      <c r="L45" s="208">
        <v>0</v>
      </c>
      <c r="M45" s="208">
        <f>G45</f>
        <v>-3412434.78</v>
      </c>
      <c r="N45" s="211">
        <f t="shared" si="0"/>
        <v>0</v>
      </c>
      <c r="O45" s="211">
        <f t="shared" si="1"/>
        <v>3412434.78</v>
      </c>
    </row>
    <row r="46" spans="1:19" s="210" customFormat="1" ht="20.100000000000001" customHeight="1">
      <c r="A46" s="206" t="s">
        <v>661</v>
      </c>
      <c r="B46" s="279" t="s">
        <v>379</v>
      </c>
      <c r="C46" s="207" t="s">
        <v>352</v>
      </c>
      <c r="D46" s="212">
        <v>945154</v>
      </c>
      <c r="E46" s="208">
        <v>804217.13</v>
      </c>
      <c r="F46" s="208">
        <v>151224.64000000001</v>
      </c>
      <c r="G46" s="208">
        <v>0</v>
      </c>
      <c r="H46" s="213">
        <v>0</v>
      </c>
      <c r="I46" s="208">
        <v>0</v>
      </c>
      <c r="J46" s="208">
        <v>-47257.7</v>
      </c>
      <c r="K46" s="208">
        <v>0</v>
      </c>
      <c r="L46" s="208">
        <v>0</v>
      </c>
      <c r="M46" s="208">
        <f>J46</f>
        <v>-47257.7</v>
      </c>
      <c r="N46" s="211">
        <f t="shared" si="0"/>
        <v>0</v>
      </c>
      <c r="O46" s="211">
        <f t="shared" si="1"/>
        <v>652992.49</v>
      </c>
      <c r="Q46" s="210">
        <v>549802.39</v>
      </c>
      <c r="R46" s="211">
        <f>N46-P46</f>
        <v>0</v>
      </c>
      <c r="S46" s="211">
        <f>O46-Q46</f>
        <v>103190.09999999998</v>
      </c>
    </row>
    <row r="47" spans="1:19" s="210" customFormat="1" ht="20.100000000000001" customHeight="1">
      <c r="A47" s="206" t="s">
        <v>661</v>
      </c>
      <c r="B47" s="279" t="s">
        <v>379</v>
      </c>
      <c r="C47" s="207" t="s">
        <v>354</v>
      </c>
      <c r="D47" s="212">
        <v>8500000</v>
      </c>
      <c r="E47" s="208">
        <v>8435036.3900000006</v>
      </c>
      <c r="F47" s="208">
        <v>1360000</v>
      </c>
      <c r="G47" s="208">
        <f>+F47-E47</f>
        <v>-7075036.3900000006</v>
      </c>
      <c r="H47" s="208">
        <v>0</v>
      </c>
      <c r="I47" s="208">
        <v>0</v>
      </c>
      <c r="J47" s="208">
        <v>0</v>
      </c>
      <c r="K47" s="208">
        <v>0</v>
      </c>
      <c r="L47" s="208">
        <v>0</v>
      </c>
      <c r="M47" s="208">
        <f>G47</f>
        <v>-7075036.3900000006</v>
      </c>
      <c r="N47" s="211">
        <f t="shared" si="0"/>
        <v>0</v>
      </c>
      <c r="O47" s="211">
        <f t="shared" si="1"/>
        <v>7075036.3900000006</v>
      </c>
    </row>
    <row r="48" spans="1:19" s="210" customFormat="1" ht="20.100000000000001" customHeight="1">
      <c r="A48" s="206" t="s">
        <v>661</v>
      </c>
      <c r="B48" s="279" t="s">
        <v>380</v>
      </c>
      <c r="C48" s="207" t="s">
        <v>352</v>
      </c>
      <c r="D48" s="212">
        <v>25000</v>
      </c>
      <c r="E48" s="208">
        <v>9992.34</v>
      </c>
      <c r="F48" s="208">
        <v>10382.5</v>
      </c>
      <c r="G48" s="208">
        <v>0</v>
      </c>
      <c r="H48" s="208">
        <v>0</v>
      </c>
      <c r="I48" s="208">
        <v>0</v>
      </c>
      <c r="J48" s="208">
        <v>1132.5</v>
      </c>
      <c r="K48" s="208">
        <v>0</v>
      </c>
      <c r="L48" s="208">
        <v>0</v>
      </c>
      <c r="M48" s="208">
        <f>J48</f>
        <v>1132.5</v>
      </c>
      <c r="N48" s="211">
        <f t="shared" si="0"/>
        <v>390.15999999999985</v>
      </c>
      <c r="O48" s="211">
        <f t="shared" si="1"/>
        <v>0</v>
      </c>
      <c r="Q48" s="210">
        <v>742.34</v>
      </c>
      <c r="R48" s="211">
        <f>N48-P48</f>
        <v>390.15999999999985</v>
      </c>
      <c r="S48" s="211">
        <f>O48-Q48</f>
        <v>-742.34</v>
      </c>
    </row>
    <row r="49" spans="1:19" s="210" customFormat="1" ht="20.100000000000001" customHeight="1">
      <c r="A49" s="206" t="s">
        <v>661</v>
      </c>
      <c r="B49" s="279" t="s">
        <v>380</v>
      </c>
      <c r="C49" s="207" t="s">
        <v>354</v>
      </c>
      <c r="D49" s="212">
        <v>558546</v>
      </c>
      <c r="E49" s="208">
        <v>558546</v>
      </c>
      <c r="F49" s="208">
        <v>231964.15</v>
      </c>
      <c r="G49" s="208">
        <f>+F49-E49</f>
        <v>-326581.84999999998</v>
      </c>
      <c r="H49" s="208">
        <v>0</v>
      </c>
      <c r="I49" s="208">
        <v>0</v>
      </c>
      <c r="J49" s="208">
        <v>0</v>
      </c>
      <c r="K49" s="208">
        <v>0</v>
      </c>
      <c r="L49" s="208">
        <v>0</v>
      </c>
      <c r="M49" s="208">
        <f>G49</f>
        <v>-326581.84999999998</v>
      </c>
      <c r="N49" s="211">
        <f t="shared" si="0"/>
        <v>0</v>
      </c>
      <c r="O49" s="211">
        <f t="shared" si="1"/>
        <v>326581.84999999998</v>
      </c>
    </row>
    <row r="50" spans="1:19" s="210" customFormat="1" ht="20.100000000000001" customHeight="1">
      <c r="A50" s="206" t="s">
        <v>661</v>
      </c>
      <c r="B50" s="279" t="s">
        <v>381</v>
      </c>
      <c r="C50" s="207" t="s">
        <v>354</v>
      </c>
      <c r="D50" s="212">
        <v>67688</v>
      </c>
      <c r="E50" s="208">
        <v>67688</v>
      </c>
      <c r="F50" s="208">
        <v>0</v>
      </c>
      <c r="G50" s="208">
        <f>+F50-E50</f>
        <v>-67688</v>
      </c>
      <c r="H50" s="208">
        <v>0</v>
      </c>
      <c r="I50" s="208">
        <v>0</v>
      </c>
      <c r="J50" s="208">
        <v>0</v>
      </c>
      <c r="K50" s="208">
        <v>0</v>
      </c>
      <c r="L50" s="208">
        <v>0</v>
      </c>
      <c r="M50" s="208">
        <f>G50</f>
        <v>-67688</v>
      </c>
      <c r="N50" s="211">
        <f t="shared" si="0"/>
        <v>0</v>
      </c>
      <c r="O50" s="211">
        <f t="shared" si="1"/>
        <v>67688</v>
      </c>
    </row>
    <row r="51" spans="1:19" s="210" customFormat="1" ht="20.100000000000001" customHeight="1">
      <c r="A51" s="206" t="s">
        <v>661</v>
      </c>
      <c r="B51" s="279" t="s">
        <v>383</v>
      </c>
      <c r="C51" s="207" t="s">
        <v>354</v>
      </c>
      <c r="D51" s="212">
        <v>10275</v>
      </c>
      <c r="E51" s="208">
        <v>10275</v>
      </c>
      <c r="F51" s="208">
        <v>370.93</v>
      </c>
      <c r="G51" s="208">
        <f>+F51-E51</f>
        <v>-9904.07</v>
      </c>
      <c r="H51" s="208">
        <v>0</v>
      </c>
      <c r="I51" s="208">
        <v>0</v>
      </c>
      <c r="J51" s="208">
        <v>0</v>
      </c>
      <c r="K51" s="208">
        <v>0</v>
      </c>
      <c r="L51" s="208">
        <v>0</v>
      </c>
      <c r="M51" s="208">
        <f>G51</f>
        <v>-9904.07</v>
      </c>
      <c r="N51" s="211">
        <f t="shared" si="0"/>
        <v>0</v>
      </c>
      <c r="O51" s="211">
        <f t="shared" si="1"/>
        <v>9904.07</v>
      </c>
    </row>
    <row r="52" spans="1:19" s="210" customFormat="1" ht="20.100000000000001" customHeight="1">
      <c r="A52" s="206" t="s">
        <v>661</v>
      </c>
      <c r="B52" s="279" t="s">
        <v>398</v>
      </c>
      <c r="C52" s="207" t="s">
        <v>352</v>
      </c>
      <c r="D52" s="212">
        <v>6716</v>
      </c>
      <c r="E52" s="208">
        <v>41620.75</v>
      </c>
      <c r="F52" s="208">
        <v>53854.93</v>
      </c>
      <c r="G52" s="208">
        <v>0</v>
      </c>
      <c r="H52" s="208">
        <v>0</v>
      </c>
      <c r="I52" s="208">
        <v>0</v>
      </c>
      <c r="J52" s="208">
        <v>-395.11</v>
      </c>
      <c r="K52" s="208">
        <v>0</v>
      </c>
      <c r="L52" s="208">
        <v>0</v>
      </c>
      <c r="M52" s="208">
        <f>J52</f>
        <v>-395.11</v>
      </c>
      <c r="N52" s="211">
        <f t="shared" si="0"/>
        <v>12234.18</v>
      </c>
      <c r="O52" s="211">
        <f t="shared" si="1"/>
        <v>0</v>
      </c>
      <c r="P52" s="210">
        <v>6219.74</v>
      </c>
      <c r="R52" s="211">
        <f>N52-P52</f>
        <v>6014.4400000000005</v>
      </c>
      <c r="S52" s="211">
        <f>O52-Q52</f>
        <v>0</v>
      </c>
    </row>
    <row r="53" spans="1:19" s="210" customFormat="1" ht="19.5" customHeight="1">
      <c r="A53" s="206" t="s">
        <v>661</v>
      </c>
      <c r="B53" s="279" t="s">
        <v>384</v>
      </c>
      <c r="C53" s="207" t="s">
        <v>352</v>
      </c>
      <c r="D53" s="212">
        <v>250025</v>
      </c>
      <c r="E53" s="208">
        <v>263142.38</v>
      </c>
      <c r="F53" s="208">
        <v>397539.75</v>
      </c>
      <c r="G53" s="208">
        <v>0</v>
      </c>
      <c r="H53" s="208">
        <v>0</v>
      </c>
      <c r="I53" s="208">
        <v>0</v>
      </c>
      <c r="J53" s="208">
        <v>-11401.14</v>
      </c>
      <c r="K53" s="208">
        <v>0</v>
      </c>
      <c r="L53" s="208">
        <v>0</v>
      </c>
      <c r="M53" s="208">
        <f>J53</f>
        <v>-11401.14</v>
      </c>
      <c r="N53" s="211">
        <f t="shared" si="0"/>
        <v>134397.37</v>
      </c>
      <c r="O53" s="211">
        <f t="shared" si="1"/>
        <v>0</v>
      </c>
      <c r="P53" s="210">
        <v>130196.95</v>
      </c>
      <c r="R53" s="211">
        <f>N53-P53</f>
        <v>4200.4199999999983</v>
      </c>
      <c r="S53" s="211">
        <f>O53-Q53</f>
        <v>0</v>
      </c>
    </row>
    <row r="54" spans="1:19" s="210" customFormat="1" ht="20.100000000000001" customHeight="1">
      <c r="A54" s="206" t="s">
        <v>661</v>
      </c>
      <c r="B54" s="279" t="s">
        <v>384</v>
      </c>
      <c r="C54" s="207" t="s">
        <v>354</v>
      </c>
      <c r="D54" s="212">
        <v>2916415</v>
      </c>
      <c r="E54" s="208">
        <v>3031872.78</v>
      </c>
      <c r="F54" s="208">
        <v>4637099.8499999996</v>
      </c>
      <c r="G54" s="208">
        <f t="shared" ref="G54:G60" si="4">+F54-E54</f>
        <v>1605227.0699999998</v>
      </c>
      <c r="H54" s="208">
        <v>0</v>
      </c>
      <c r="I54" s="208">
        <v>0</v>
      </c>
      <c r="J54" s="208">
        <v>0</v>
      </c>
      <c r="K54" s="208">
        <v>0</v>
      </c>
      <c r="L54" s="208">
        <v>0</v>
      </c>
      <c r="M54" s="208">
        <f>G54</f>
        <v>1605227.0699999998</v>
      </c>
      <c r="N54" s="210">
        <f>IF(E54&lt;F54,F54-E54,0)</f>
        <v>1605227.0699999998</v>
      </c>
      <c r="O54" s="211">
        <f t="shared" si="1"/>
        <v>0</v>
      </c>
    </row>
    <row r="55" spans="1:19" s="210" customFormat="1" ht="20.100000000000001" customHeight="1">
      <c r="A55" s="206" t="s">
        <v>661</v>
      </c>
      <c r="B55" s="279" t="s">
        <v>386</v>
      </c>
      <c r="C55" s="207" t="s">
        <v>354</v>
      </c>
      <c r="D55" s="212">
        <v>54576</v>
      </c>
      <c r="E55" s="208">
        <v>54576</v>
      </c>
      <c r="F55" s="208">
        <v>19188.919999999998</v>
      </c>
      <c r="G55" s="208">
        <f t="shared" si="4"/>
        <v>-35387.08</v>
      </c>
      <c r="H55" s="213">
        <v>0</v>
      </c>
      <c r="I55" s="208">
        <v>0</v>
      </c>
      <c r="J55" s="208">
        <v>0</v>
      </c>
      <c r="K55" s="208">
        <v>0</v>
      </c>
      <c r="L55" s="208">
        <v>0</v>
      </c>
      <c r="M55" s="208">
        <f>G55</f>
        <v>-35387.08</v>
      </c>
      <c r="N55" s="210">
        <f t="shared" si="0"/>
        <v>0</v>
      </c>
      <c r="O55" s="211">
        <f t="shared" si="1"/>
        <v>35387.08</v>
      </c>
    </row>
    <row r="56" spans="1:19" s="210" customFormat="1" ht="20.100000000000001" customHeight="1">
      <c r="A56" s="206" t="s">
        <v>661</v>
      </c>
      <c r="B56" s="279" t="s">
        <v>387</v>
      </c>
      <c r="C56" s="207" t="s">
        <v>354</v>
      </c>
      <c r="D56" s="212">
        <v>84201</v>
      </c>
      <c r="E56" s="208">
        <v>84201</v>
      </c>
      <c r="F56" s="208">
        <v>0</v>
      </c>
      <c r="G56" s="208">
        <f t="shared" si="4"/>
        <v>-84201</v>
      </c>
      <c r="H56" s="208">
        <v>0</v>
      </c>
      <c r="I56" s="208">
        <v>0</v>
      </c>
      <c r="J56" s="208">
        <v>0</v>
      </c>
      <c r="K56" s="208">
        <v>0</v>
      </c>
      <c r="L56" s="208">
        <v>0</v>
      </c>
      <c r="M56" s="208">
        <v>-84201</v>
      </c>
      <c r="N56" s="210">
        <f t="shared" si="0"/>
        <v>0</v>
      </c>
      <c r="O56" s="211">
        <f t="shared" si="1"/>
        <v>84201</v>
      </c>
    </row>
    <row r="57" spans="1:19" s="210" customFormat="1" ht="20.100000000000001" customHeight="1">
      <c r="A57" s="206" t="s">
        <v>661</v>
      </c>
      <c r="B57" s="279" t="s">
        <v>388</v>
      </c>
      <c r="C57" s="207" t="s">
        <v>354</v>
      </c>
      <c r="D57" s="212">
        <v>180360</v>
      </c>
      <c r="E57" s="208">
        <v>180360</v>
      </c>
      <c r="F57" s="208">
        <v>0</v>
      </c>
      <c r="G57" s="208">
        <f t="shared" si="4"/>
        <v>-180360</v>
      </c>
      <c r="H57" s="208">
        <v>0</v>
      </c>
      <c r="I57" s="208">
        <v>0</v>
      </c>
      <c r="J57" s="208">
        <v>0</v>
      </c>
      <c r="K57" s="208">
        <v>0</v>
      </c>
      <c r="L57" s="208">
        <v>0</v>
      </c>
      <c r="M57" s="208">
        <v>-180360</v>
      </c>
      <c r="N57" s="210">
        <f t="shared" si="0"/>
        <v>0</v>
      </c>
      <c r="O57" s="211">
        <f t="shared" si="1"/>
        <v>180360</v>
      </c>
    </row>
    <row r="58" spans="1:19" s="210" customFormat="1" ht="20.100000000000001" customHeight="1">
      <c r="A58" s="206" t="s">
        <v>661</v>
      </c>
      <c r="B58" s="279" t="s">
        <v>389</v>
      </c>
      <c r="C58" s="207" t="s">
        <v>354</v>
      </c>
      <c r="D58" s="212">
        <v>127927</v>
      </c>
      <c r="E58" s="208">
        <v>127927</v>
      </c>
      <c r="F58" s="208">
        <v>0</v>
      </c>
      <c r="G58" s="208">
        <f t="shared" si="4"/>
        <v>-127927</v>
      </c>
      <c r="H58" s="208">
        <v>0</v>
      </c>
      <c r="I58" s="208">
        <v>0</v>
      </c>
      <c r="J58" s="208">
        <v>0</v>
      </c>
      <c r="K58" s="208">
        <v>0</v>
      </c>
      <c r="L58" s="208">
        <v>0</v>
      </c>
      <c r="M58" s="208">
        <v>-127927</v>
      </c>
      <c r="N58" s="210">
        <f t="shared" si="0"/>
        <v>0</v>
      </c>
      <c r="O58" s="211">
        <f t="shared" si="1"/>
        <v>127927</v>
      </c>
    </row>
    <row r="59" spans="1:19" s="210" customFormat="1" ht="20.100000000000001" customHeight="1">
      <c r="A59" s="206" t="s">
        <v>661</v>
      </c>
      <c r="B59" s="279">
        <v>1111795</v>
      </c>
      <c r="C59" s="207" t="s">
        <v>354</v>
      </c>
      <c r="D59" s="212">
        <v>43801</v>
      </c>
      <c r="E59" s="208">
        <v>43801</v>
      </c>
      <c r="F59" s="208">
        <v>0</v>
      </c>
      <c r="G59" s="208">
        <f t="shared" si="4"/>
        <v>-43801</v>
      </c>
      <c r="H59" s="213">
        <v>0</v>
      </c>
      <c r="I59" s="208">
        <v>0</v>
      </c>
      <c r="J59" s="208">
        <v>0</v>
      </c>
      <c r="K59" s="208">
        <v>0</v>
      </c>
      <c r="L59" s="208">
        <v>0</v>
      </c>
      <c r="M59" s="208">
        <v>-43801</v>
      </c>
      <c r="N59" s="210">
        <f t="shared" si="0"/>
        <v>0</v>
      </c>
      <c r="O59" s="211">
        <f t="shared" si="1"/>
        <v>43801</v>
      </c>
    </row>
    <row r="60" spans="1:19" s="210" customFormat="1" ht="20.100000000000001" customHeight="1">
      <c r="A60" s="206" t="s">
        <v>661</v>
      </c>
      <c r="B60" s="279">
        <v>1154435</v>
      </c>
      <c r="C60" s="207" t="s">
        <v>354</v>
      </c>
      <c r="D60" s="212">
        <v>186939</v>
      </c>
      <c r="E60" s="208">
        <v>186939</v>
      </c>
      <c r="F60" s="208">
        <v>0</v>
      </c>
      <c r="G60" s="208">
        <f t="shared" si="4"/>
        <v>-186939</v>
      </c>
      <c r="H60" s="208">
        <v>0</v>
      </c>
      <c r="I60" s="208">
        <v>0</v>
      </c>
      <c r="J60" s="208">
        <v>0</v>
      </c>
      <c r="K60" s="208">
        <v>0</v>
      </c>
      <c r="L60" s="208">
        <v>0</v>
      </c>
      <c r="M60" s="208">
        <v>-186939</v>
      </c>
      <c r="N60" s="210">
        <f t="shared" si="0"/>
        <v>0</v>
      </c>
      <c r="O60" s="211">
        <f t="shared" si="1"/>
        <v>186939</v>
      </c>
    </row>
    <row r="61" spans="1:19" ht="20.100000000000001" customHeight="1" thickBot="1">
      <c r="A61" s="206"/>
      <c r="B61" s="523" t="s">
        <v>419</v>
      </c>
      <c r="C61" s="524"/>
      <c r="D61" s="524"/>
      <c r="E61" s="524"/>
      <c r="F61" s="524"/>
      <c r="G61" s="524"/>
      <c r="H61" s="524"/>
      <c r="I61" s="524"/>
      <c r="J61" s="524"/>
      <c r="K61" s="524"/>
      <c r="L61" s="524"/>
      <c r="M61" s="524"/>
      <c r="N61" s="210">
        <f t="shared" si="0"/>
        <v>0</v>
      </c>
      <c r="O61" s="211">
        <f t="shared" si="1"/>
        <v>0</v>
      </c>
    </row>
    <row r="62" spans="1:19" ht="20.100000000000001" customHeight="1" thickTop="1">
      <c r="A62" s="206" t="s">
        <v>661</v>
      </c>
      <c r="B62" s="280" t="s">
        <v>391</v>
      </c>
      <c r="C62" s="215" t="s">
        <v>352</v>
      </c>
      <c r="D62" s="216">
        <v>500</v>
      </c>
      <c r="E62" s="217">
        <v>2350</v>
      </c>
      <c r="F62" s="217">
        <v>1030</v>
      </c>
      <c r="G62" s="217">
        <v>0</v>
      </c>
      <c r="H62" s="218">
        <v>0</v>
      </c>
      <c r="I62" s="218">
        <v>0</v>
      </c>
      <c r="J62" s="217">
        <v>-470</v>
      </c>
      <c r="K62" s="218">
        <v>0</v>
      </c>
      <c r="L62" s="218">
        <v>0</v>
      </c>
      <c r="M62" s="217">
        <f>J62</f>
        <v>-470</v>
      </c>
      <c r="N62" s="211">
        <f t="shared" si="0"/>
        <v>0</v>
      </c>
      <c r="O62" s="211">
        <f t="shared" si="1"/>
        <v>1320</v>
      </c>
      <c r="P62" s="189">
        <v>3115</v>
      </c>
      <c r="R62" s="211">
        <f t="shared" ref="R62:S66" si="5">N62-P62</f>
        <v>-3115</v>
      </c>
      <c r="S62" s="211">
        <f t="shared" si="5"/>
        <v>1320</v>
      </c>
    </row>
    <row r="63" spans="1:19" ht="20.100000000000001" customHeight="1">
      <c r="A63" s="206" t="s">
        <v>661</v>
      </c>
      <c r="B63" s="281" t="s">
        <v>392</v>
      </c>
      <c r="C63" s="219" t="s">
        <v>352</v>
      </c>
      <c r="D63" s="220">
        <v>1000</v>
      </c>
      <c r="E63" s="208">
        <v>19000</v>
      </c>
      <c r="F63" s="208">
        <v>2460</v>
      </c>
      <c r="G63" s="217">
        <v>0</v>
      </c>
      <c r="H63" s="218">
        <v>0</v>
      </c>
      <c r="I63" s="218">
        <v>0</v>
      </c>
      <c r="J63" s="217">
        <v>-580</v>
      </c>
      <c r="K63" s="218">
        <v>0</v>
      </c>
      <c r="L63" s="218">
        <v>0</v>
      </c>
      <c r="M63" s="208">
        <f>+J63</f>
        <v>-580</v>
      </c>
      <c r="N63" s="211">
        <f t="shared" si="0"/>
        <v>0</v>
      </c>
      <c r="O63" s="211">
        <f t="shared" si="1"/>
        <v>16540</v>
      </c>
      <c r="Q63" s="189">
        <v>7840</v>
      </c>
      <c r="R63" s="211">
        <f t="shared" si="5"/>
        <v>0</v>
      </c>
      <c r="S63" s="211">
        <f t="shared" si="5"/>
        <v>8700</v>
      </c>
    </row>
    <row r="64" spans="1:19" ht="20.100000000000001" customHeight="1">
      <c r="A64" s="206" t="s">
        <v>661</v>
      </c>
      <c r="B64" s="281" t="s">
        <v>393</v>
      </c>
      <c r="C64" s="219" t="s">
        <v>352</v>
      </c>
      <c r="D64" s="220">
        <v>2000</v>
      </c>
      <c r="E64" s="208">
        <v>14731.65</v>
      </c>
      <c r="F64" s="208">
        <v>10466.6</v>
      </c>
      <c r="G64" s="217">
        <v>0</v>
      </c>
      <c r="H64" s="218">
        <v>0</v>
      </c>
      <c r="I64" s="218">
        <v>0</v>
      </c>
      <c r="J64" s="217">
        <v>178.8</v>
      </c>
      <c r="K64" s="218">
        <v>0</v>
      </c>
      <c r="L64" s="218">
        <v>0</v>
      </c>
      <c r="M64" s="208">
        <f>+J64</f>
        <v>178.8</v>
      </c>
      <c r="N64" s="211">
        <f t="shared" si="0"/>
        <v>0</v>
      </c>
      <c r="O64" s="211">
        <f t="shared" si="1"/>
        <v>4265.0499999999993</v>
      </c>
      <c r="P64" s="189">
        <v>15828.35</v>
      </c>
      <c r="R64" s="211">
        <f t="shared" si="5"/>
        <v>-15828.35</v>
      </c>
      <c r="S64" s="211">
        <f t="shared" si="5"/>
        <v>4265.0499999999993</v>
      </c>
    </row>
    <row r="65" spans="1:19" ht="20.100000000000001" customHeight="1">
      <c r="A65" s="206" t="s">
        <v>661</v>
      </c>
      <c r="B65" s="281" t="s">
        <v>394</v>
      </c>
      <c r="C65" s="219" t="s">
        <v>352</v>
      </c>
      <c r="D65" s="220">
        <v>5000</v>
      </c>
      <c r="E65" s="208">
        <v>29000</v>
      </c>
      <c r="F65" s="208">
        <v>7100</v>
      </c>
      <c r="G65" s="217">
        <v>0</v>
      </c>
      <c r="H65" s="218">
        <v>0</v>
      </c>
      <c r="I65" s="218">
        <v>0</v>
      </c>
      <c r="J65" s="217">
        <v>-5491</v>
      </c>
      <c r="K65" s="218">
        <v>0</v>
      </c>
      <c r="L65" s="218">
        <v>0</v>
      </c>
      <c r="M65" s="208">
        <f>+J65</f>
        <v>-5491</v>
      </c>
      <c r="N65" s="211">
        <f t="shared" si="0"/>
        <v>0</v>
      </c>
      <c r="O65" s="211">
        <f t="shared" si="1"/>
        <v>21900</v>
      </c>
      <c r="P65" s="189">
        <v>13050</v>
      </c>
      <c r="R65" s="211">
        <f t="shared" si="5"/>
        <v>-13050</v>
      </c>
      <c r="S65" s="211">
        <f t="shared" si="5"/>
        <v>21900</v>
      </c>
    </row>
    <row r="66" spans="1:19" ht="20.100000000000001" customHeight="1">
      <c r="A66" s="206" t="s">
        <v>661</v>
      </c>
      <c r="B66" s="281" t="s">
        <v>395</v>
      </c>
      <c r="C66" s="219" t="s">
        <v>352</v>
      </c>
      <c r="D66" s="220">
        <v>12161</v>
      </c>
      <c r="E66" s="208">
        <v>175067.97</v>
      </c>
      <c r="F66" s="208">
        <v>93341.759999999995</v>
      </c>
      <c r="G66" s="208">
        <v>0</v>
      </c>
      <c r="H66" s="209">
        <v>0</v>
      </c>
      <c r="I66" s="209">
        <v>0</v>
      </c>
      <c r="J66" s="217">
        <v>-2663.25</v>
      </c>
      <c r="K66" s="209">
        <v>0</v>
      </c>
      <c r="L66" s="209">
        <v>0</v>
      </c>
      <c r="M66" s="208">
        <f>+J66</f>
        <v>-2663.25</v>
      </c>
      <c r="N66" s="211">
        <f t="shared" si="0"/>
        <v>0</v>
      </c>
      <c r="O66" s="211">
        <f t="shared" si="1"/>
        <v>81726.210000000006</v>
      </c>
      <c r="P66" s="189">
        <v>12070.76</v>
      </c>
      <c r="R66" s="211">
        <f t="shared" si="5"/>
        <v>-12070.76</v>
      </c>
      <c r="S66" s="211">
        <f t="shared" si="5"/>
        <v>81726.210000000006</v>
      </c>
    </row>
    <row r="67" spans="1:19" ht="20.100000000000001" customHeight="1" thickBot="1">
      <c r="A67" s="206"/>
      <c r="B67" s="525" t="s">
        <v>420</v>
      </c>
      <c r="C67" s="526"/>
      <c r="D67" s="526"/>
      <c r="E67" s="526"/>
      <c r="F67" s="526"/>
      <c r="G67" s="526"/>
      <c r="H67" s="526"/>
      <c r="I67" s="526"/>
      <c r="J67" s="526"/>
      <c r="K67" s="526"/>
      <c r="L67" s="526"/>
      <c r="M67" s="526"/>
      <c r="N67" s="210">
        <f t="shared" si="0"/>
        <v>0</v>
      </c>
      <c r="O67" s="210">
        <f t="shared" ref="O67" si="6">IF(E67&gt;F67,E67-F67,0)</f>
        <v>0</v>
      </c>
    </row>
    <row r="68" spans="1:19" ht="20.100000000000001" customHeight="1" thickTop="1">
      <c r="A68" s="206" t="s">
        <v>661</v>
      </c>
      <c r="B68" s="260" t="s">
        <v>632</v>
      </c>
      <c r="C68" s="221" t="s">
        <v>354</v>
      </c>
      <c r="D68" s="222">
        <v>100</v>
      </c>
      <c r="E68" s="217">
        <v>100600</v>
      </c>
      <c r="F68" s="217">
        <v>100352.97</v>
      </c>
      <c r="G68" s="217">
        <f t="shared" ref="G68:G72" si="7">+F68-E68</f>
        <v>-247.02999999999884</v>
      </c>
      <c r="H68" s="217">
        <v>0</v>
      </c>
      <c r="I68" s="218">
        <v>0</v>
      </c>
      <c r="J68" s="217">
        <v>0</v>
      </c>
      <c r="K68" s="218">
        <v>0</v>
      </c>
      <c r="L68" s="218">
        <v>0</v>
      </c>
      <c r="M68" s="217">
        <f t="shared" ref="M68:M74" si="8">+G68</f>
        <v>-247.02999999999884</v>
      </c>
      <c r="N68" s="210"/>
      <c r="O68" s="210"/>
    </row>
    <row r="69" spans="1:19" ht="20.100000000000001" customHeight="1">
      <c r="A69" s="206" t="s">
        <v>661</v>
      </c>
      <c r="B69" s="260" t="s">
        <v>598</v>
      </c>
      <c r="C69" s="221" t="s">
        <v>354</v>
      </c>
      <c r="D69" s="222">
        <v>30000</v>
      </c>
      <c r="E69" s="217">
        <v>4910.91</v>
      </c>
      <c r="F69" s="217">
        <v>5892</v>
      </c>
      <c r="G69" s="217">
        <f t="shared" si="7"/>
        <v>981.09000000000015</v>
      </c>
      <c r="H69" s="217">
        <v>0</v>
      </c>
      <c r="I69" s="218">
        <v>0</v>
      </c>
      <c r="J69" s="217">
        <v>0</v>
      </c>
      <c r="K69" s="218">
        <v>0</v>
      </c>
      <c r="L69" s="218">
        <v>0</v>
      </c>
      <c r="M69" s="217">
        <f t="shared" si="8"/>
        <v>981.09000000000015</v>
      </c>
      <c r="N69" s="210"/>
      <c r="O69" s="210"/>
    </row>
    <row r="70" spans="1:19" ht="20.100000000000001" customHeight="1">
      <c r="A70" s="206" t="s">
        <v>661</v>
      </c>
      <c r="B70" s="260" t="s">
        <v>438</v>
      </c>
      <c r="C70" s="221" t="s">
        <v>354</v>
      </c>
      <c r="D70" s="222">
        <v>30000</v>
      </c>
      <c r="E70" s="217">
        <v>13273.27</v>
      </c>
      <c r="F70" s="217">
        <v>20250</v>
      </c>
      <c r="G70" s="217">
        <f t="shared" si="7"/>
        <v>6976.73</v>
      </c>
      <c r="H70" s="217">
        <v>0</v>
      </c>
      <c r="I70" s="218">
        <v>0</v>
      </c>
      <c r="J70" s="217">
        <v>0</v>
      </c>
      <c r="K70" s="218">
        <v>0</v>
      </c>
      <c r="L70" s="218">
        <v>0</v>
      </c>
      <c r="M70" s="217">
        <f t="shared" si="8"/>
        <v>6976.73</v>
      </c>
      <c r="N70" s="210"/>
      <c r="O70" s="210"/>
    </row>
    <row r="71" spans="1:19" ht="20.100000000000001" customHeight="1">
      <c r="A71" s="206" t="s">
        <v>661</v>
      </c>
      <c r="B71" s="282" t="s">
        <v>439</v>
      </c>
      <c r="C71" s="223" t="s">
        <v>354</v>
      </c>
      <c r="D71" s="224">
        <v>35000</v>
      </c>
      <c r="E71" s="208">
        <v>15907.77</v>
      </c>
      <c r="F71" s="208">
        <v>22932</v>
      </c>
      <c r="G71" s="217">
        <f t="shared" si="7"/>
        <v>7024.23</v>
      </c>
      <c r="H71" s="217">
        <v>0</v>
      </c>
      <c r="I71" s="218">
        <v>0</v>
      </c>
      <c r="J71" s="217">
        <v>0</v>
      </c>
      <c r="K71" s="218">
        <v>0</v>
      </c>
      <c r="L71" s="218">
        <v>0</v>
      </c>
      <c r="M71" s="217">
        <f t="shared" si="8"/>
        <v>7024.23</v>
      </c>
      <c r="N71" s="210"/>
      <c r="O71" s="210"/>
    </row>
    <row r="72" spans="1:19" ht="20.100000000000001" customHeight="1">
      <c r="A72" s="206" t="s">
        <v>661</v>
      </c>
      <c r="B72" s="310" t="s">
        <v>421</v>
      </c>
      <c r="C72" s="311" t="s">
        <v>354</v>
      </c>
      <c r="D72" s="312">
        <v>20000</v>
      </c>
      <c r="E72" s="227">
        <v>6616.78</v>
      </c>
      <c r="F72" s="227">
        <v>13142</v>
      </c>
      <c r="G72" s="217">
        <f t="shared" si="7"/>
        <v>6525.22</v>
      </c>
      <c r="H72" s="228">
        <v>0</v>
      </c>
      <c r="I72" s="229">
        <v>0</v>
      </c>
      <c r="J72" s="228">
        <v>0</v>
      </c>
      <c r="K72" s="229">
        <v>0</v>
      </c>
      <c r="L72" s="229">
        <v>0</v>
      </c>
      <c r="M72" s="228">
        <f t="shared" si="8"/>
        <v>6525.22</v>
      </c>
      <c r="N72" s="210"/>
      <c r="O72" s="210"/>
    </row>
    <row r="73" spans="1:19" ht="20.100000000000001" customHeight="1">
      <c r="A73" s="206" t="s">
        <v>661</v>
      </c>
      <c r="B73" s="310" t="s">
        <v>628</v>
      </c>
      <c r="C73" s="225" t="s">
        <v>354</v>
      </c>
      <c r="D73" s="226">
        <v>93546</v>
      </c>
      <c r="E73" s="208">
        <v>50192.61</v>
      </c>
      <c r="F73" s="208">
        <v>60542.97</v>
      </c>
      <c r="G73" s="217">
        <f>+F73-E73</f>
        <v>10350.36</v>
      </c>
      <c r="H73" s="208">
        <v>0</v>
      </c>
      <c r="I73" s="209">
        <v>0</v>
      </c>
      <c r="J73" s="208">
        <v>0</v>
      </c>
      <c r="K73" s="209">
        <v>0</v>
      </c>
      <c r="L73" s="209">
        <v>0</v>
      </c>
      <c r="M73" s="208">
        <f t="shared" si="8"/>
        <v>10350.36</v>
      </c>
      <c r="N73" s="210"/>
      <c r="O73" s="210"/>
    </row>
    <row r="74" spans="1:19" ht="20.100000000000001" customHeight="1">
      <c r="A74" s="206" t="s">
        <v>661</v>
      </c>
      <c r="B74" s="310" t="s">
        <v>628</v>
      </c>
      <c r="C74" s="225" t="s">
        <v>354</v>
      </c>
      <c r="D74" s="226">
        <v>160100</v>
      </c>
      <c r="E74" s="208">
        <v>100221.21</v>
      </c>
      <c r="F74" s="208">
        <v>99486.14</v>
      </c>
      <c r="G74" s="217">
        <v>-735.07</v>
      </c>
      <c r="H74" s="227">
        <v>0</v>
      </c>
      <c r="I74" s="439">
        <v>0</v>
      </c>
      <c r="J74" s="227">
        <v>0</v>
      </c>
      <c r="K74" s="439">
        <v>0</v>
      </c>
      <c r="L74" s="439">
        <v>0</v>
      </c>
      <c r="M74" s="208">
        <f t="shared" si="8"/>
        <v>-735.07</v>
      </c>
      <c r="N74" s="210"/>
      <c r="O74" s="210"/>
    </row>
    <row r="75" spans="1:19" ht="20.100000000000001" customHeight="1" thickBot="1">
      <c r="A75" s="230"/>
      <c r="B75" s="231" t="s">
        <v>666</v>
      </c>
      <c r="C75" s="232"/>
      <c r="D75" s="233"/>
      <c r="E75" s="234">
        <f>SUM(E16:E60)+SUM(E62:E66)+SUM(E68:E74)</f>
        <v>81885304.479999989</v>
      </c>
      <c r="F75" s="234">
        <f>SUM(F16:F60)+SUM(F62:F66)+SUM(F68:F74)</f>
        <v>18908591.829999998</v>
      </c>
      <c r="G75" s="234">
        <f>SUM(G16:G60)+SUM(G62:G66)+SUM(G68:G74)</f>
        <v>-58924556.899999999</v>
      </c>
      <c r="H75" s="234">
        <f>SUM(H16:H60)+SUM(H62:H66)+SUM(H68:H71)</f>
        <v>0</v>
      </c>
      <c r="I75" s="234">
        <f>SUM(I16:I60)+SUM(I62:I66)+SUM(I68:I71)</f>
        <v>0</v>
      </c>
      <c r="J75" s="234">
        <f>SUM(J16:J60)+SUM(J62:J66)+SUM(J68:J72)</f>
        <v>-179037.16999999998</v>
      </c>
      <c r="K75" s="234">
        <f>SUM(K16:K60)+SUM(K62:K66)+SUM(K68:K71)</f>
        <v>0</v>
      </c>
      <c r="L75" s="234">
        <f>SUM(L16:L60)+SUM(L62:L66)+SUM(L68:L72)</f>
        <v>0</v>
      </c>
      <c r="M75" s="234">
        <f>SUM(M16:M60)+SUM(M62:M66)+SUM(M68:M74)</f>
        <v>-59103594.07</v>
      </c>
      <c r="N75" s="210"/>
      <c r="O75" s="189">
        <v>51985951.740000002</v>
      </c>
      <c r="P75" s="190">
        <f>O75+M75</f>
        <v>-7117642.3299999982</v>
      </c>
    </row>
    <row r="76" spans="1:19" s="235" customFormat="1" ht="20.100000000000001" customHeight="1">
      <c r="A76" s="313"/>
      <c r="B76" s="531"/>
      <c r="C76" s="532"/>
      <c r="D76" s="532"/>
      <c r="E76" s="532"/>
      <c r="F76" s="532"/>
      <c r="G76" s="532"/>
      <c r="H76" s="532"/>
      <c r="I76" s="532"/>
      <c r="J76" s="532"/>
      <c r="K76" s="532"/>
      <c r="L76" s="532"/>
      <c r="M76" s="532"/>
      <c r="N76" s="236"/>
    </row>
    <row r="77" spans="1:19" s="235" customFormat="1" ht="20.100000000000001" customHeight="1">
      <c r="B77" s="198"/>
      <c r="C77" s="189"/>
      <c r="D77" s="199"/>
      <c r="E77" s="190"/>
      <c r="F77" s="190"/>
      <c r="G77" s="190"/>
      <c r="H77" s="190"/>
      <c r="I77" s="190"/>
      <c r="J77" s="190"/>
      <c r="K77" s="190"/>
      <c r="L77" s="190"/>
      <c r="M77" s="190"/>
      <c r="N77" s="238">
        <f>N29+N36+N48+N52+N53+N62+N64+N65+N66</f>
        <v>147334.53</v>
      </c>
      <c r="O77" s="238">
        <f>O16+O20+O23+O25+O26+O29+O36+O40+O42+O44+O46+O48+O62+O63+O64+O65+O66</f>
        <v>4199490.28</v>
      </c>
      <c r="R77" s="239" t="e">
        <f>R16+R20+R23+R25+R26+R29+R36+R40+#REF!+R42+R44+R46+R48+R52+R53+R62+R63+R64+R65+R66</f>
        <v>#REF!</v>
      </c>
      <c r="S77" s="239" t="e">
        <f>S16+S20+S23+S25+S26+S29+S36+S40+#REF!+S42+S44+S46+S48+S52+S53+S62+S63+S64+S65+S66</f>
        <v>#REF!</v>
      </c>
    </row>
    <row r="78" spans="1:19" s="235" customFormat="1" ht="20.100000000000001" customHeight="1">
      <c r="B78" s="198"/>
      <c r="C78" s="189"/>
      <c r="D78" s="240"/>
      <c r="E78" s="190"/>
      <c r="F78" s="189"/>
      <c r="G78" s="189"/>
      <c r="H78" s="189"/>
      <c r="I78" s="189"/>
      <c r="J78" s="190"/>
      <c r="K78" s="190"/>
      <c r="L78" s="190"/>
      <c r="M78" s="190"/>
      <c r="O78" s="237"/>
    </row>
    <row r="79" spans="1:19" s="235" customFormat="1" ht="20.100000000000001" customHeight="1">
      <c r="B79" s="198"/>
      <c r="C79" s="189"/>
      <c r="D79" s="199"/>
      <c r="E79" s="190"/>
      <c r="F79" s="189"/>
      <c r="G79" s="189"/>
      <c r="H79" s="189"/>
      <c r="I79" s="189"/>
      <c r="J79" s="189"/>
      <c r="K79" s="189"/>
      <c r="L79" s="189"/>
      <c r="M79" s="190"/>
      <c r="O79" s="237"/>
    </row>
    <row r="80" spans="1:19" s="235" customFormat="1" ht="20.100000000000001" customHeight="1">
      <c r="B80" s="241" t="s">
        <v>633</v>
      </c>
      <c r="C80" s="210"/>
      <c r="D80" s="242"/>
      <c r="E80" s="190"/>
      <c r="F80" s="210" t="s">
        <v>422</v>
      </c>
      <c r="G80" s="210"/>
      <c r="H80" s="210"/>
      <c r="I80" s="189"/>
      <c r="J80" s="190"/>
      <c r="K80" s="527" t="s">
        <v>423</v>
      </c>
      <c r="L80" s="527"/>
      <c r="M80" s="527"/>
      <c r="O80" s="237"/>
      <c r="P80" s="235">
        <f>37960.21-28.8</f>
        <v>37931.409999999996</v>
      </c>
    </row>
    <row r="81" spans="2:16" s="235" customFormat="1" ht="20.100000000000001" customHeight="1">
      <c r="B81" s="198"/>
      <c r="C81" s="189"/>
      <c r="D81" s="199"/>
      <c r="E81" s="243"/>
      <c r="F81" s="210" t="s">
        <v>634</v>
      </c>
      <c r="G81" s="210"/>
      <c r="H81" s="189"/>
      <c r="I81" s="189"/>
      <c r="J81" s="189"/>
      <c r="K81" s="527"/>
      <c r="L81" s="527"/>
      <c r="M81" s="527"/>
      <c r="O81" s="237"/>
      <c r="P81" s="235">
        <f>P80-36303.12</f>
        <v>1628.2899999999936</v>
      </c>
    </row>
    <row r="82" spans="2:16" s="235" customFormat="1" ht="20.100000000000001" customHeight="1">
      <c r="B82" s="206" t="s">
        <v>661</v>
      </c>
      <c r="C82" s="210"/>
      <c r="D82" s="242"/>
      <c r="E82" s="190"/>
      <c r="F82" s="189"/>
      <c r="G82" s="189"/>
      <c r="H82" s="189"/>
      <c r="I82" s="189"/>
      <c r="J82" s="189"/>
      <c r="K82" s="520" t="s">
        <v>406</v>
      </c>
      <c r="L82" s="520"/>
      <c r="M82" s="520"/>
      <c r="O82" s="237"/>
      <c r="P82" s="235">
        <v>1656.18</v>
      </c>
    </row>
    <row r="83" spans="2:16" s="235" customFormat="1" ht="20.100000000000001" customHeight="1">
      <c r="B83" s="198"/>
      <c r="C83" s="189"/>
      <c r="D83" s="199"/>
      <c r="E83" s="190"/>
      <c r="F83" s="189"/>
      <c r="G83" s="189"/>
      <c r="H83" s="189"/>
      <c r="I83" s="189"/>
      <c r="J83" s="189"/>
      <c r="K83" s="189"/>
      <c r="L83" s="189"/>
      <c r="M83" s="190"/>
      <c r="O83" s="237"/>
      <c r="P83" s="235">
        <f>P82-P81</f>
        <v>27.890000000006467</v>
      </c>
    </row>
    <row r="84" spans="2:16" s="235" customFormat="1" ht="20.100000000000001" customHeight="1">
      <c r="B84" s="198"/>
      <c r="C84" s="189"/>
      <c r="D84" s="199"/>
      <c r="E84" s="190"/>
      <c r="F84" s="189"/>
      <c r="G84" s="189"/>
      <c r="H84" s="189"/>
      <c r="I84" s="189"/>
      <c r="J84" s="189"/>
      <c r="K84" s="189"/>
      <c r="L84" s="189"/>
      <c r="M84" s="190"/>
      <c r="O84" s="237"/>
    </row>
    <row r="85" spans="2:16" s="235" customFormat="1" ht="20.100000000000001" customHeight="1">
      <c r="B85" s="198"/>
      <c r="C85" s="189"/>
      <c r="D85" s="199"/>
      <c r="E85" s="190"/>
      <c r="F85" s="189"/>
      <c r="G85" s="189"/>
      <c r="H85" s="189"/>
      <c r="I85" s="189"/>
      <c r="J85" s="189"/>
      <c r="K85" s="189"/>
      <c r="L85" s="189"/>
      <c r="M85" s="190"/>
      <c r="O85" s="237"/>
    </row>
    <row r="86" spans="2:16" s="235" customFormat="1" ht="20.100000000000001" customHeight="1">
      <c r="B86" s="198"/>
      <c r="C86" s="189"/>
      <c r="D86" s="199"/>
      <c r="E86" s="190"/>
      <c r="F86" s="189"/>
      <c r="G86" s="189"/>
      <c r="H86" s="189"/>
      <c r="I86" s="189"/>
      <c r="J86" s="189"/>
      <c r="K86" s="189"/>
      <c r="L86" s="189"/>
      <c r="M86" s="190"/>
      <c r="O86" s="237"/>
    </row>
    <row r="87" spans="2:16" s="235" customFormat="1" ht="20.100000000000001" customHeight="1">
      <c r="B87" s="198"/>
      <c r="C87" s="189"/>
      <c r="D87" s="199"/>
      <c r="E87" s="190"/>
      <c r="F87" s="189"/>
      <c r="G87" s="189"/>
      <c r="H87" s="189"/>
      <c r="I87" s="189"/>
      <c r="J87" s="189"/>
      <c r="K87" s="189"/>
      <c r="L87" s="189"/>
      <c r="M87" s="190"/>
    </row>
    <row r="88" spans="2:16" s="235" customFormat="1" ht="20.100000000000001" customHeight="1">
      <c r="B88" s="198"/>
      <c r="C88" s="189"/>
      <c r="D88" s="199"/>
      <c r="E88" s="190"/>
      <c r="F88" s="189"/>
      <c r="G88" s="189"/>
      <c r="H88" s="189"/>
      <c r="I88" s="189"/>
      <c r="J88" s="189"/>
      <c r="K88" s="189"/>
      <c r="L88" s="189"/>
      <c r="M88" s="190"/>
    </row>
    <row r="89" spans="2:16" s="235" customFormat="1" ht="20.100000000000001" customHeight="1">
      <c r="B89" s="244"/>
      <c r="C89" s="245"/>
      <c r="D89" s="246"/>
      <c r="E89" s="247"/>
      <c r="F89" s="245"/>
      <c r="G89" s="245"/>
      <c r="H89" s="189"/>
      <c r="I89" s="189"/>
      <c r="J89" s="189"/>
      <c r="K89" s="189"/>
      <c r="L89" s="189"/>
      <c r="M89" s="190"/>
    </row>
    <row r="90" spans="2:16" s="235" customFormat="1" ht="20.100000000000001" customHeight="1">
      <c r="B90" s="244"/>
      <c r="C90" s="245"/>
      <c r="D90" s="246"/>
      <c r="E90" s="247"/>
      <c r="F90" s="245"/>
      <c r="G90" s="245"/>
      <c r="H90" s="189"/>
      <c r="I90" s="189"/>
      <c r="J90" s="189"/>
      <c r="K90" s="189"/>
      <c r="L90" s="189"/>
      <c r="M90" s="190"/>
    </row>
    <row r="91" spans="2:16" s="235" customFormat="1" ht="20.100000000000001" customHeight="1">
      <c r="B91" s="198"/>
      <c r="C91" s="189"/>
      <c r="D91" s="199"/>
      <c r="E91" s="190"/>
      <c r="F91" s="189"/>
      <c r="G91" s="189"/>
      <c r="H91" s="189"/>
      <c r="I91" s="189"/>
      <c r="J91" s="189"/>
      <c r="K91" s="189"/>
      <c r="L91" s="189"/>
      <c r="M91" s="190"/>
    </row>
    <row r="92" spans="2:16" s="235" customFormat="1" ht="20.100000000000001" customHeight="1">
      <c r="B92" s="198"/>
      <c r="C92" s="189"/>
      <c r="D92" s="199"/>
      <c r="E92" s="190"/>
      <c r="F92" s="189"/>
      <c r="G92" s="189"/>
      <c r="H92" s="189"/>
      <c r="I92" s="189"/>
      <c r="J92" s="189"/>
      <c r="K92" s="189"/>
      <c r="L92" s="189"/>
      <c r="M92" s="190"/>
    </row>
    <row r="93" spans="2:16" s="235" customFormat="1" ht="20.100000000000001" customHeight="1">
      <c r="B93" s="198"/>
      <c r="C93" s="189"/>
      <c r="D93" s="199"/>
      <c r="E93" s="190"/>
      <c r="F93" s="189"/>
      <c r="G93" s="189"/>
      <c r="H93" s="189"/>
      <c r="I93" s="189"/>
      <c r="J93" s="189"/>
      <c r="K93" s="189"/>
      <c r="L93" s="189"/>
      <c r="M93" s="190"/>
    </row>
    <row r="94" spans="2:16" s="235" customFormat="1" ht="20.100000000000001" customHeight="1">
      <c r="B94" s="198"/>
      <c r="C94" s="189"/>
      <c r="D94" s="199"/>
      <c r="E94" s="190"/>
      <c r="F94" s="189"/>
      <c r="G94" s="189"/>
      <c r="H94" s="189"/>
      <c r="I94" s="189"/>
      <c r="J94" s="189"/>
      <c r="K94" s="189"/>
      <c r="L94" s="189"/>
      <c r="M94" s="190"/>
    </row>
    <row r="95" spans="2:16" s="235" customFormat="1" ht="20.100000000000001" customHeight="1">
      <c r="B95" s="198"/>
      <c r="C95" s="189"/>
      <c r="D95" s="199"/>
      <c r="E95" s="190"/>
      <c r="F95" s="189"/>
      <c r="G95" s="189"/>
      <c r="H95" s="189"/>
      <c r="I95" s="189"/>
      <c r="J95" s="189"/>
      <c r="K95" s="189"/>
      <c r="L95" s="189"/>
      <c r="M95" s="190"/>
    </row>
    <row r="96" spans="2:16" s="235" customFormat="1" ht="20.100000000000001" customHeight="1">
      <c r="B96" s="198"/>
      <c r="C96" s="189"/>
      <c r="D96" s="199"/>
      <c r="E96" s="190"/>
      <c r="F96" s="189"/>
      <c r="G96" s="189"/>
      <c r="H96" s="189"/>
      <c r="I96" s="189"/>
      <c r="J96" s="189"/>
      <c r="K96" s="189"/>
      <c r="L96" s="189"/>
      <c r="M96" s="190"/>
    </row>
    <row r="97" spans="2:13" s="235" customFormat="1" ht="20.100000000000001" customHeight="1">
      <c r="B97" s="198"/>
      <c r="C97" s="189"/>
      <c r="D97" s="199"/>
      <c r="E97" s="190"/>
      <c r="F97" s="189"/>
      <c r="G97" s="189"/>
      <c r="H97" s="189"/>
      <c r="I97" s="189"/>
      <c r="J97" s="189"/>
      <c r="K97" s="189"/>
      <c r="L97" s="189"/>
      <c r="M97" s="190"/>
    </row>
    <row r="98" spans="2:13" s="235" customFormat="1" ht="20.100000000000001" customHeight="1">
      <c r="B98" s="198"/>
      <c r="C98" s="189"/>
      <c r="D98" s="199"/>
      <c r="E98" s="190"/>
      <c r="F98" s="189"/>
      <c r="G98" s="189"/>
      <c r="H98" s="189"/>
      <c r="I98" s="189"/>
      <c r="J98" s="189"/>
      <c r="K98" s="189"/>
      <c r="L98" s="189"/>
      <c r="M98" s="190"/>
    </row>
    <row r="99" spans="2:13" s="235" customFormat="1" ht="20.100000000000001" customHeight="1">
      <c r="B99" s="198"/>
      <c r="C99" s="189"/>
      <c r="D99" s="199"/>
      <c r="E99" s="190"/>
      <c r="F99" s="189"/>
      <c r="G99" s="189"/>
      <c r="H99" s="189"/>
      <c r="I99" s="189"/>
      <c r="J99" s="189"/>
      <c r="K99" s="189"/>
      <c r="L99" s="189"/>
      <c r="M99" s="190"/>
    </row>
    <row r="100" spans="2:13" s="235" customFormat="1" ht="20.100000000000001" customHeight="1">
      <c r="B100" s="198"/>
      <c r="C100" s="189"/>
      <c r="D100" s="199"/>
      <c r="E100" s="190"/>
      <c r="F100" s="189"/>
      <c r="G100" s="189"/>
      <c r="H100" s="189"/>
      <c r="I100" s="189"/>
      <c r="J100" s="189"/>
      <c r="K100" s="189"/>
      <c r="L100" s="189"/>
      <c r="M100" s="190"/>
    </row>
    <row r="101" spans="2:13" s="235" customFormat="1" ht="20.100000000000001" customHeight="1">
      <c r="B101" s="198"/>
      <c r="C101" s="189"/>
      <c r="D101" s="199"/>
      <c r="E101" s="190"/>
      <c r="F101" s="189"/>
      <c r="G101" s="189"/>
      <c r="H101" s="189"/>
      <c r="I101" s="189"/>
      <c r="J101" s="189"/>
      <c r="K101" s="189"/>
      <c r="L101" s="189"/>
      <c r="M101" s="190"/>
    </row>
    <row r="102" spans="2:13" s="235" customFormat="1" ht="20.100000000000001" customHeight="1">
      <c r="B102" s="198"/>
      <c r="C102" s="189"/>
      <c r="D102" s="199"/>
      <c r="E102" s="190"/>
      <c r="F102" s="189"/>
      <c r="G102" s="189"/>
      <c r="H102" s="189"/>
      <c r="I102" s="189"/>
      <c r="J102" s="189"/>
      <c r="K102" s="189"/>
      <c r="L102" s="189"/>
      <c r="M102" s="190"/>
    </row>
    <row r="103" spans="2:13" s="235" customFormat="1" ht="20.100000000000001" customHeight="1">
      <c r="B103" s="198"/>
      <c r="C103" s="189"/>
      <c r="D103" s="199"/>
      <c r="E103" s="190"/>
      <c r="F103" s="189"/>
      <c r="G103" s="189"/>
      <c r="H103" s="189"/>
      <c r="I103" s="189"/>
      <c r="J103" s="189"/>
      <c r="K103" s="189"/>
      <c r="L103" s="189"/>
      <c r="M103" s="190"/>
    </row>
    <row r="104" spans="2:13" s="235" customFormat="1" ht="20.100000000000001" customHeight="1">
      <c r="B104" s="198"/>
      <c r="C104" s="189"/>
      <c r="D104" s="199"/>
      <c r="E104" s="190"/>
      <c r="F104" s="189"/>
      <c r="G104" s="189"/>
      <c r="H104" s="189"/>
      <c r="I104" s="189"/>
      <c r="J104" s="189"/>
      <c r="K104" s="189"/>
      <c r="L104" s="189"/>
      <c r="M104" s="190"/>
    </row>
    <row r="105" spans="2:13" s="235" customFormat="1" ht="20.100000000000001" customHeight="1">
      <c r="B105" s="198"/>
      <c r="C105" s="189"/>
      <c r="D105" s="199"/>
      <c r="E105" s="190"/>
      <c r="F105" s="189"/>
      <c r="G105" s="189"/>
      <c r="H105" s="189"/>
      <c r="I105" s="189"/>
      <c r="J105" s="189"/>
      <c r="K105" s="189"/>
      <c r="L105" s="189"/>
      <c r="M105" s="190"/>
    </row>
    <row r="106" spans="2:13" s="235" customFormat="1" ht="20.100000000000001" customHeight="1">
      <c r="B106" s="198"/>
      <c r="C106" s="189"/>
      <c r="D106" s="199"/>
      <c r="E106" s="190"/>
      <c r="F106" s="189"/>
      <c r="G106" s="189"/>
      <c r="H106" s="189"/>
      <c r="I106" s="189"/>
      <c r="J106" s="189"/>
      <c r="K106" s="189"/>
      <c r="L106" s="189"/>
      <c r="M106" s="190"/>
    </row>
    <row r="107" spans="2:13" s="235" customFormat="1" ht="20.100000000000001" customHeight="1">
      <c r="B107" s="198"/>
      <c r="C107" s="189"/>
      <c r="D107" s="199"/>
      <c r="E107" s="190"/>
      <c r="F107" s="189"/>
      <c r="G107" s="189"/>
      <c r="H107" s="189"/>
      <c r="I107" s="189"/>
      <c r="J107" s="189"/>
      <c r="K107" s="189"/>
      <c r="L107" s="189"/>
      <c r="M107" s="190"/>
    </row>
    <row r="108" spans="2:13" s="235" customFormat="1" ht="20.100000000000001" customHeight="1">
      <c r="B108" s="198"/>
      <c r="C108" s="189"/>
      <c r="D108" s="199"/>
      <c r="E108" s="190"/>
      <c r="F108" s="189"/>
      <c r="G108" s="189"/>
      <c r="H108" s="189"/>
      <c r="I108" s="189"/>
      <c r="J108" s="189"/>
      <c r="K108" s="189"/>
      <c r="L108" s="189"/>
      <c r="M108" s="190"/>
    </row>
    <row r="109" spans="2:13" s="235" customFormat="1" ht="20.100000000000001" customHeight="1">
      <c r="B109" s="198"/>
      <c r="C109" s="189"/>
      <c r="D109" s="199"/>
      <c r="E109" s="190"/>
      <c r="F109" s="189"/>
      <c r="G109" s="189"/>
      <c r="H109" s="189"/>
      <c r="I109" s="189"/>
      <c r="J109" s="189"/>
      <c r="K109" s="189"/>
      <c r="L109" s="189"/>
      <c r="M109" s="190"/>
    </row>
    <row r="110" spans="2:13" s="235" customFormat="1" ht="20.100000000000001" customHeight="1">
      <c r="B110" s="198"/>
      <c r="C110" s="189"/>
      <c r="D110" s="199"/>
      <c r="E110" s="190"/>
      <c r="F110" s="189"/>
      <c r="G110" s="189"/>
      <c r="H110" s="189"/>
      <c r="I110" s="189"/>
      <c r="J110" s="189"/>
      <c r="K110" s="189"/>
      <c r="L110" s="189"/>
      <c r="M110" s="190"/>
    </row>
    <row r="111" spans="2:13" s="235" customFormat="1" ht="20.100000000000001" customHeight="1">
      <c r="B111" s="198"/>
      <c r="C111" s="189"/>
      <c r="D111" s="199"/>
      <c r="E111" s="190"/>
      <c r="F111" s="189"/>
      <c r="G111" s="189"/>
      <c r="H111" s="189"/>
      <c r="I111" s="189"/>
      <c r="J111" s="189"/>
      <c r="K111" s="189"/>
      <c r="L111" s="189"/>
      <c r="M111" s="190"/>
    </row>
    <row r="112" spans="2:13" s="235" customFormat="1" ht="20.100000000000001" customHeight="1">
      <c r="B112" s="198"/>
      <c r="C112" s="189"/>
      <c r="D112" s="199"/>
      <c r="E112" s="190"/>
      <c r="F112" s="189"/>
      <c r="G112" s="189"/>
      <c r="H112" s="189"/>
      <c r="I112" s="189"/>
      <c r="J112" s="189"/>
      <c r="K112" s="189"/>
      <c r="L112" s="189"/>
      <c r="M112" s="190"/>
    </row>
    <row r="113" spans="2:13" s="235" customFormat="1" ht="20.100000000000001" customHeight="1">
      <c r="B113" s="198"/>
      <c r="C113" s="189"/>
      <c r="D113" s="199"/>
      <c r="E113" s="190"/>
      <c r="F113" s="189"/>
      <c r="G113" s="189"/>
      <c r="H113" s="189"/>
      <c r="I113" s="189"/>
      <c r="J113" s="189"/>
      <c r="K113" s="189"/>
      <c r="L113" s="189"/>
      <c r="M113" s="190"/>
    </row>
    <row r="114" spans="2:13" s="235" customFormat="1" ht="20.100000000000001" customHeight="1">
      <c r="B114" s="198"/>
      <c r="C114" s="189"/>
      <c r="D114" s="199"/>
      <c r="E114" s="190"/>
      <c r="F114" s="189"/>
      <c r="G114" s="189"/>
      <c r="H114" s="189"/>
      <c r="I114" s="189"/>
      <c r="J114" s="189"/>
      <c r="K114" s="189"/>
      <c r="L114" s="189"/>
      <c r="M114" s="190"/>
    </row>
    <row r="115" spans="2:13" s="235" customFormat="1" ht="20.100000000000001" customHeight="1">
      <c r="B115" s="198"/>
      <c r="C115" s="189"/>
      <c r="D115" s="199"/>
      <c r="E115" s="190"/>
      <c r="F115" s="189"/>
      <c r="G115" s="189"/>
      <c r="H115" s="189"/>
      <c r="I115" s="189"/>
      <c r="J115" s="189"/>
      <c r="K115" s="189"/>
      <c r="L115" s="189"/>
      <c r="M115" s="190"/>
    </row>
    <row r="116" spans="2:13" s="235" customFormat="1" ht="20.100000000000001" customHeight="1">
      <c r="B116" s="198"/>
      <c r="C116" s="189"/>
      <c r="D116" s="199"/>
      <c r="E116" s="190"/>
      <c r="F116" s="189"/>
      <c r="G116" s="189"/>
      <c r="H116" s="189"/>
      <c r="I116" s="189"/>
      <c r="J116" s="189"/>
      <c r="K116" s="189"/>
      <c r="L116" s="189"/>
      <c r="M116" s="190"/>
    </row>
    <row r="117" spans="2:13" s="235" customFormat="1" ht="20.100000000000001" customHeight="1">
      <c r="B117" s="198"/>
      <c r="C117" s="189"/>
      <c r="D117" s="199"/>
      <c r="E117" s="190"/>
      <c r="F117" s="189"/>
      <c r="G117" s="189"/>
      <c r="H117" s="189"/>
      <c r="I117" s="189"/>
      <c r="J117" s="189"/>
      <c r="K117" s="189"/>
      <c r="L117" s="189"/>
      <c r="M117" s="190"/>
    </row>
    <row r="118" spans="2:13" s="235" customFormat="1" ht="20.100000000000001" customHeight="1">
      <c r="B118" s="198"/>
      <c r="C118" s="189"/>
      <c r="D118" s="199"/>
      <c r="E118" s="190"/>
      <c r="F118" s="189"/>
      <c r="G118" s="189"/>
      <c r="H118" s="189"/>
      <c r="I118" s="189"/>
      <c r="J118" s="189"/>
      <c r="K118" s="189"/>
      <c r="L118" s="189"/>
      <c r="M118" s="190"/>
    </row>
    <row r="119" spans="2:13" s="235" customFormat="1" ht="20.100000000000001" customHeight="1">
      <c r="B119" s="198"/>
      <c r="C119" s="189"/>
      <c r="D119" s="199"/>
      <c r="E119" s="190"/>
      <c r="F119" s="189"/>
      <c r="G119" s="189"/>
      <c r="H119" s="189"/>
      <c r="I119" s="189"/>
      <c r="J119" s="189"/>
      <c r="K119" s="189"/>
      <c r="L119" s="189"/>
      <c r="M119" s="190"/>
    </row>
    <row r="120" spans="2:13" s="235" customFormat="1" ht="20.100000000000001" customHeight="1">
      <c r="B120" s="198"/>
      <c r="C120" s="189"/>
      <c r="D120" s="199"/>
      <c r="E120" s="190"/>
      <c r="F120" s="189"/>
      <c r="G120" s="189"/>
      <c r="H120" s="189"/>
      <c r="I120" s="189"/>
      <c r="J120" s="189"/>
      <c r="K120" s="189"/>
      <c r="L120" s="189"/>
      <c r="M120" s="190"/>
    </row>
    <row r="121" spans="2:13" s="235" customFormat="1" ht="20.100000000000001" customHeight="1">
      <c r="B121" s="198"/>
      <c r="C121" s="189"/>
      <c r="D121" s="199"/>
      <c r="E121" s="190"/>
      <c r="F121" s="189"/>
      <c r="G121" s="189"/>
      <c r="H121" s="189"/>
      <c r="I121" s="189"/>
      <c r="J121" s="189"/>
      <c r="K121" s="189"/>
      <c r="L121" s="189"/>
      <c r="M121" s="190"/>
    </row>
    <row r="122" spans="2:13" s="235" customFormat="1" ht="20.100000000000001" customHeight="1">
      <c r="B122" s="198"/>
      <c r="C122" s="189"/>
      <c r="D122" s="199"/>
      <c r="E122" s="190"/>
      <c r="F122" s="189"/>
      <c r="G122" s="189"/>
      <c r="H122" s="189"/>
      <c r="I122" s="189"/>
      <c r="J122" s="189"/>
      <c r="K122" s="189"/>
      <c r="L122" s="189"/>
      <c r="M122" s="190"/>
    </row>
    <row r="123" spans="2:13" s="235" customFormat="1" ht="20.100000000000001" customHeight="1">
      <c r="B123" s="198"/>
      <c r="C123" s="189"/>
      <c r="D123" s="199"/>
      <c r="E123" s="190"/>
      <c r="F123" s="189"/>
      <c r="G123" s="189"/>
      <c r="H123" s="189"/>
      <c r="I123" s="189"/>
      <c r="J123" s="189"/>
      <c r="K123" s="189"/>
      <c r="L123" s="189"/>
      <c r="M123" s="190"/>
    </row>
    <row r="124" spans="2:13" s="235" customFormat="1" ht="20.100000000000001" customHeight="1">
      <c r="B124" s="198"/>
      <c r="C124" s="189"/>
      <c r="D124" s="199"/>
      <c r="E124" s="190"/>
      <c r="F124" s="189"/>
      <c r="G124" s="189"/>
      <c r="H124" s="189"/>
      <c r="I124" s="189"/>
      <c r="J124" s="189"/>
      <c r="K124" s="189"/>
      <c r="L124" s="189"/>
      <c r="M124" s="190"/>
    </row>
    <row r="125" spans="2:13" s="235" customFormat="1" ht="20.100000000000001" customHeight="1">
      <c r="B125" s="198"/>
      <c r="C125" s="189"/>
      <c r="D125" s="199"/>
      <c r="E125" s="190"/>
      <c r="F125" s="189"/>
      <c r="G125" s="189"/>
      <c r="H125" s="189"/>
      <c r="I125" s="189"/>
      <c r="J125" s="189"/>
      <c r="K125" s="189"/>
      <c r="L125" s="189"/>
      <c r="M125" s="190"/>
    </row>
    <row r="126" spans="2:13" s="235" customFormat="1" ht="20.100000000000001" customHeight="1">
      <c r="B126" s="198"/>
      <c r="C126" s="189"/>
      <c r="D126" s="199"/>
      <c r="E126" s="190"/>
      <c r="F126" s="189"/>
      <c r="G126" s="189"/>
      <c r="H126" s="189"/>
      <c r="I126" s="189"/>
      <c r="J126" s="189"/>
      <c r="K126" s="189"/>
      <c r="L126" s="189"/>
      <c r="M126" s="190"/>
    </row>
    <row r="127" spans="2:13" s="235" customFormat="1" ht="20.100000000000001" customHeight="1">
      <c r="B127" s="198"/>
      <c r="C127" s="189"/>
      <c r="D127" s="199"/>
      <c r="E127" s="190"/>
      <c r="F127" s="189"/>
      <c r="G127" s="189"/>
      <c r="H127" s="189"/>
      <c r="I127" s="189"/>
      <c r="J127" s="189"/>
      <c r="K127" s="189"/>
      <c r="L127" s="189"/>
      <c r="M127" s="190"/>
    </row>
    <row r="128" spans="2:13" s="235" customFormat="1" ht="20.100000000000001" customHeight="1">
      <c r="B128" s="198"/>
      <c r="C128" s="189"/>
      <c r="D128" s="199"/>
      <c r="E128" s="190"/>
      <c r="F128" s="189"/>
      <c r="G128" s="189"/>
      <c r="H128" s="189"/>
      <c r="I128" s="189"/>
      <c r="J128" s="189"/>
      <c r="K128" s="189"/>
      <c r="L128" s="189"/>
      <c r="M128" s="190"/>
    </row>
    <row r="129" spans="2:13" s="235" customFormat="1" ht="20.100000000000001" customHeight="1">
      <c r="B129" s="198"/>
      <c r="C129" s="189"/>
      <c r="D129" s="199"/>
      <c r="E129" s="190"/>
      <c r="F129" s="189"/>
      <c r="G129" s="189"/>
      <c r="H129" s="189"/>
      <c r="I129" s="189"/>
      <c r="J129" s="189"/>
      <c r="K129" s="189"/>
      <c r="L129" s="189"/>
      <c r="M129" s="190"/>
    </row>
    <row r="130" spans="2:13" s="235" customFormat="1" ht="20.100000000000001" customHeight="1">
      <c r="B130" s="198"/>
      <c r="C130" s="189"/>
      <c r="D130" s="199"/>
      <c r="E130" s="190"/>
      <c r="F130" s="189"/>
      <c r="G130" s="189"/>
      <c r="H130" s="189"/>
      <c r="I130" s="189"/>
      <c r="J130" s="189"/>
      <c r="K130" s="189"/>
      <c r="L130" s="189"/>
      <c r="M130" s="190"/>
    </row>
    <row r="131" spans="2:13" s="235" customFormat="1" ht="20.100000000000001" customHeight="1">
      <c r="B131" s="198"/>
      <c r="C131" s="189"/>
      <c r="D131" s="199"/>
      <c r="E131" s="190"/>
      <c r="F131" s="189"/>
      <c r="G131" s="189"/>
      <c r="H131" s="189"/>
      <c r="I131" s="189"/>
      <c r="J131" s="189"/>
      <c r="K131" s="189"/>
      <c r="L131" s="189"/>
      <c r="M131" s="190"/>
    </row>
    <row r="132" spans="2:13" s="235" customFormat="1" ht="20.100000000000001" customHeight="1">
      <c r="B132" s="198"/>
      <c r="C132" s="189"/>
      <c r="D132" s="199"/>
      <c r="E132" s="190"/>
      <c r="F132" s="189"/>
      <c r="G132" s="189"/>
      <c r="H132" s="189"/>
      <c r="I132" s="189"/>
      <c r="J132" s="189"/>
      <c r="K132" s="189"/>
      <c r="L132" s="189"/>
      <c r="M132" s="190"/>
    </row>
    <row r="133" spans="2:13" s="235" customFormat="1" ht="20.100000000000001" customHeight="1">
      <c r="B133" s="198"/>
      <c r="C133" s="189"/>
      <c r="D133" s="199"/>
      <c r="E133" s="190"/>
      <c r="F133" s="189"/>
      <c r="G133" s="189"/>
      <c r="H133" s="189"/>
      <c r="I133" s="189"/>
      <c r="J133" s="189"/>
      <c r="K133" s="189"/>
      <c r="L133" s="189"/>
      <c r="M133" s="190"/>
    </row>
    <row r="134" spans="2:13" s="235" customFormat="1" ht="20.100000000000001" customHeight="1">
      <c r="B134" s="198"/>
      <c r="C134" s="189"/>
      <c r="D134" s="199"/>
      <c r="E134" s="190"/>
      <c r="F134" s="189"/>
      <c r="G134" s="189"/>
      <c r="H134" s="189"/>
      <c r="I134" s="189"/>
      <c r="J134" s="189"/>
      <c r="K134" s="189"/>
      <c r="L134" s="189"/>
      <c r="M134" s="190"/>
    </row>
    <row r="135" spans="2:13" s="235" customFormat="1" ht="20.100000000000001" customHeight="1">
      <c r="B135" s="198"/>
      <c r="C135" s="189"/>
      <c r="D135" s="199"/>
      <c r="E135" s="190"/>
      <c r="F135" s="189"/>
      <c r="G135" s="189"/>
      <c r="H135" s="189"/>
      <c r="I135" s="189"/>
      <c r="J135" s="189"/>
      <c r="K135" s="189"/>
      <c r="L135" s="189"/>
      <c r="M135" s="190"/>
    </row>
    <row r="136" spans="2:13" s="235" customFormat="1" ht="20.100000000000001" customHeight="1">
      <c r="B136" s="198"/>
      <c r="C136" s="189"/>
      <c r="D136" s="199"/>
      <c r="E136" s="190"/>
      <c r="F136" s="189"/>
      <c r="G136" s="189"/>
      <c r="H136" s="189"/>
      <c r="I136" s="189"/>
      <c r="J136" s="189"/>
      <c r="K136" s="189"/>
      <c r="L136" s="189"/>
      <c r="M136" s="190"/>
    </row>
    <row r="137" spans="2:13" s="235" customFormat="1" ht="20.100000000000001" customHeight="1">
      <c r="B137" s="198"/>
      <c r="C137" s="189"/>
      <c r="D137" s="199"/>
      <c r="E137" s="190"/>
      <c r="F137" s="189"/>
      <c r="G137" s="189"/>
      <c r="H137" s="189"/>
      <c r="I137" s="189"/>
      <c r="J137" s="189"/>
      <c r="K137" s="189"/>
      <c r="L137" s="189"/>
      <c r="M137" s="190"/>
    </row>
    <row r="138" spans="2:13" s="235" customFormat="1" ht="20.100000000000001" customHeight="1">
      <c r="B138" s="198"/>
      <c r="C138" s="189"/>
      <c r="D138" s="199"/>
      <c r="E138" s="190"/>
      <c r="F138" s="189"/>
      <c r="G138" s="189"/>
      <c r="H138" s="189"/>
      <c r="I138" s="189"/>
      <c r="J138" s="189"/>
      <c r="K138" s="189"/>
      <c r="L138" s="189"/>
      <c r="M138" s="190"/>
    </row>
    <row r="139" spans="2:13" s="235" customFormat="1" ht="20.100000000000001" customHeight="1">
      <c r="B139" s="198"/>
      <c r="C139" s="189"/>
      <c r="D139" s="199"/>
      <c r="E139" s="190"/>
      <c r="F139" s="189"/>
      <c r="G139" s="189"/>
      <c r="H139" s="189"/>
      <c r="I139" s="189"/>
      <c r="J139" s="189"/>
      <c r="K139" s="189"/>
      <c r="L139" s="189"/>
      <c r="M139" s="190"/>
    </row>
    <row r="140" spans="2:13" s="235" customFormat="1" ht="20.100000000000001" customHeight="1">
      <c r="B140" s="198"/>
      <c r="C140" s="189"/>
      <c r="D140" s="199"/>
      <c r="E140" s="190"/>
      <c r="F140" s="189"/>
      <c r="G140" s="189"/>
      <c r="H140" s="189"/>
      <c r="I140" s="189"/>
      <c r="J140" s="189"/>
      <c r="K140" s="189"/>
      <c r="L140" s="189"/>
      <c r="M140" s="190"/>
    </row>
    <row r="141" spans="2:13" s="235" customFormat="1" ht="20.100000000000001" customHeight="1">
      <c r="B141" s="198"/>
      <c r="C141" s="189"/>
      <c r="D141" s="199"/>
      <c r="E141" s="190"/>
      <c r="F141" s="189"/>
      <c r="G141" s="189"/>
      <c r="H141" s="189"/>
      <c r="I141" s="189"/>
      <c r="J141" s="189"/>
      <c r="K141" s="189"/>
      <c r="L141" s="189"/>
      <c r="M141" s="190"/>
    </row>
    <row r="142" spans="2:13" s="235" customFormat="1" ht="20.100000000000001" customHeight="1">
      <c r="B142" s="198"/>
      <c r="C142" s="189"/>
      <c r="D142" s="199"/>
      <c r="E142" s="190"/>
      <c r="F142" s="189"/>
      <c r="G142" s="189"/>
      <c r="H142" s="189"/>
      <c r="I142" s="189"/>
      <c r="J142" s="189"/>
      <c r="K142" s="189"/>
      <c r="L142" s="189"/>
      <c r="M142" s="190"/>
    </row>
    <row r="143" spans="2:13" s="235" customFormat="1" ht="20.100000000000001" customHeight="1">
      <c r="B143" s="198"/>
      <c r="C143" s="189"/>
      <c r="D143" s="199"/>
      <c r="E143" s="190"/>
      <c r="F143" s="189"/>
      <c r="G143" s="189"/>
      <c r="H143" s="189"/>
      <c r="I143" s="189"/>
      <c r="J143" s="189"/>
      <c r="K143" s="189"/>
      <c r="L143" s="189"/>
      <c r="M143" s="190"/>
    </row>
    <row r="144" spans="2:13" s="235" customFormat="1" ht="20.100000000000001" customHeight="1">
      <c r="B144" s="198"/>
      <c r="C144" s="189"/>
      <c r="D144" s="199"/>
      <c r="E144" s="190"/>
      <c r="F144" s="189"/>
      <c r="G144" s="189"/>
      <c r="H144" s="189"/>
      <c r="I144" s="189"/>
      <c r="J144" s="189"/>
      <c r="K144" s="189"/>
      <c r="L144" s="189"/>
      <c r="M144" s="190"/>
    </row>
    <row r="145" spans="2:13" s="235" customFormat="1" ht="20.100000000000001" customHeight="1">
      <c r="B145" s="198"/>
      <c r="C145" s="189"/>
      <c r="D145" s="199"/>
      <c r="E145" s="190"/>
      <c r="F145" s="189"/>
      <c r="G145" s="189"/>
      <c r="H145" s="189"/>
      <c r="I145" s="189"/>
      <c r="J145" s="189"/>
      <c r="K145" s="189"/>
      <c r="L145" s="189"/>
      <c r="M145" s="190"/>
    </row>
    <row r="146" spans="2:13" s="235" customFormat="1" ht="20.100000000000001" customHeight="1">
      <c r="B146" s="198"/>
      <c r="C146" s="189"/>
      <c r="D146" s="199"/>
      <c r="E146" s="190"/>
      <c r="F146" s="189"/>
      <c r="G146" s="189"/>
      <c r="H146" s="189"/>
      <c r="I146" s="189"/>
      <c r="J146" s="189"/>
      <c r="K146" s="189"/>
      <c r="L146" s="189"/>
      <c r="M146" s="190"/>
    </row>
    <row r="147" spans="2:13" s="235" customFormat="1" ht="20.100000000000001" customHeight="1">
      <c r="B147" s="198"/>
      <c r="C147" s="189"/>
      <c r="D147" s="199"/>
      <c r="E147" s="190"/>
      <c r="F147" s="189"/>
      <c r="G147" s="189"/>
      <c r="H147" s="189"/>
      <c r="I147" s="189"/>
      <c r="J147" s="189"/>
      <c r="K147" s="189"/>
      <c r="L147" s="189"/>
      <c r="M147" s="190"/>
    </row>
    <row r="148" spans="2:13" s="235" customFormat="1" ht="20.100000000000001" customHeight="1">
      <c r="B148" s="198"/>
      <c r="C148" s="189"/>
      <c r="D148" s="199"/>
      <c r="E148" s="190"/>
      <c r="F148" s="189"/>
      <c r="G148" s="189"/>
      <c r="H148" s="189"/>
      <c r="I148" s="189"/>
      <c r="J148" s="189"/>
      <c r="K148" s="189"/>
      <c r="L148" s="189"/>
      <c r="M148" s="190"/>
    </row>
    <row r="149" spans="2:13" s="235" customFormat="1" ht="20.100000000000001" customHeight="1">
      <c r="B149" s="198"/>
      <c r="C149" s="189"/>
      <c r="D149" s="199"/>
      <c r="E149" s="190"/>
      <c r="F149" s="189"/>
      <c r="G149" s="189"/>
      <c r="H149" s="189"/>
      <c r="I149" s="189"/>
      <c r="J149" s="189"/>
      <c r="K149" s="189"/>
      <c r="L149" s="189"/>
      <c r="M149" s="190"/>
    </row>
    <row r="150" spans="2:13" s="235" customFormat="1" ht="20.100000000000001" customHeight="1">
      <c r="B150" s="198"/>
      <c r="C150" s="189"/>
      <c r="D150" s="199"/>
      <c r="E150" s="190"/>
      <c r="F150" s="189"/>
      <c r="G150" s="189"/>
      <c r="H150" s="189"/>
      <c r="I150" s="189"/>
      <c r="J150" s="189"/>
      <c r="K150" s="189"/>
      <c r="L150" s="189"/>
      <c r="M150" s="190"/>
    </row>
    <row r="151" spans="2:13" s="235" customFormat="1" ht="20.100000000000001" customHeight="1">
      <c r="B151" s="198"/>
      <c r="C151" s="189"/>
      <c r="D151" s="199"/>
      <c r="E151" s="190"/>
      <c r="F151" s="189"/>
      <c r="G151" s="189"/>
      <c r="H151" s="189"/>
      <c r="I151" s="189"/>
      <c r="J151" s="189"/>
      <c r="K151" s="189"/>
      <c r="L151" s="189"/>
      <c r="M151" s="190"/>
    </row>
    <row r="152" spans="2:13" s="235" customFormat="1" ht="20.100000000000001" customHeight="1">
      <c r="B152" s="198"/>
      <c r="C152" s="189"/>
      <c r="D152" s="199"/>
      <c r="E152" s="190"/>
      <c r="F152" s="189"/>
      <c r="G152" s="189"/>
      <c r="H152" s="189"/>
      <c r="I152" s="189"/>
      <c r="J152" s="189"/>
      <c r="K152" s="189"/>
      <c r="L152" s="189"/>
      <c r="M152" s="190"/>
    </row>
    <row r="153" spans="2:13" s="235" customFormat="1" ht="20.100000000000001" customHeight="1">
      <c r="B153" s="198"/>
      <c r="C153" s="189"/>
      <c r="D153" s="199"/>
      <c r="E153" s="190"/>
      <c r="F153" s="189"/>
      <c r="G153" s="189"/>
      <c r="H153" s="189"/>
      <c r="I153" s="189"/>
      <c r="J153" s="189"/>
      <c r="K153" s="189"/>
      <c r="L153" s="189"/>
      <c r="M153" s="190"/>
    </row>
    <row r="154" spans="2:13" s="235" customFormat="1" ht="20.100000000000001" customHeight="1">
      <c r="B154" s="198"/>
      <c r="C154" s="189"/>
      <c r="D154" s="199"/>
      <c r="E154" s="190"/>
      <c r="F154" s="189"/>
      <c r="G154" s="189"/>
      <c r="H154" s="189"/>
      <c r="I154" s="189"/>
      <c r="J154" s="189"/>
      <c r="K154" s="189"/>
      <c r="L154" s="189"/>
      <c r="M154" s="190"/>
    </row>
    <row r="155" spans="2:13" s="235" customFormat="1" ht="20.100000000000001" customHeight="1">
      <c r="B155" s="198"/>
      <c r="C155" s="189"/>
      <c r="D155" s="199"/>
      <c r="E155" s="190"/>
      <c r="F155" s="189"/>
      <c r="G155" s="189"/>
      <c r="H155" s="189"/>
      <c r="I155" s="189"/>
      <c r="J155" s="189"/>
      <c r="K155" s="189"/>
      <c r="L155" s="189"/>
      <c r="M155" s="190"/>
    </row>
    <row r="156" spans="2:13" s="235" customFormat="1" ht="20.100000000000001" customHeight="1">
      <c r="B156" s="198"/>
      <c r="C156" s="189"/>
      <c r="D156" s="199"/>
      <c r="E156" s="190"/>
      <c r="F156" s="189"/>
      <c r="G156" s="189"/>
      <c r="H156" s="189"/>
      <c r="I156" s="189"/>
      <c r="J156" s="189"/>
      <c r="K156" s="189"/>
      <c r="L156" s="189"/>
      <c r="M156" s="190"/>
    </row>
    <row r="157" spans="2:13" s="235" customFormat="1">
      <c r="B157" s="198"/>
      <c r="C157" s="189"/>
      <c r="D157" s="199"/>
      <c r="E157" s="190"/>
      <c r="F157" s="189"/>
      <c r="G157" s="189"/>
      <c r="H157" s="189"/>
      <c r="I157" s="189"/>
      <c r="J157" s="189"/>
      <c r="K157" s="189"/>
      <c r="L157" s="189"/>
      <c r="M157" s="190"/>
    </row>
    <row r="158" spans="2:13" s="235" customFormat="1">
      <c r="B158" s="198"/>
      <c r="C158" s="189"/>
      <c r="D158" s="199"/>
      <c r="E158" s="190"/>
      <c r="F158" s="189"/>
      <c r="G158" s="189"/>
      <c r="H158" s="189"/>
      <c r="I158" s="189"/>
      <c r="J158" s="189"/>
      <c r="K158" s="189"/>
      <c r="L158" s="189"/>
      <c r="M158" s="190"/>
    </row>
    <row r="159" spans="2:13" s="235" customFormat="1">
      <c r="B159" s="198"/>
      <c r="C159" s="189"/>
      <c r="D159" s="199"/>
      <c r="E159" s="190"/>
      <c r="F159" s="189"/>
      <c r="G159" s="189"/>
      <c r="H159" s="189"/>
      <c r="I159" s="189"/>
      <c r="J159" s="189"/>
      <c r="K159" s="189"/>
      <c r="L159" s="189"/>
      <c r="M159" s="190"/>
    </row>
    <row r="160" spans="2:13" s="235" customFormat="1">
      <c r="B160" s="198"/>
      <c r="C160" s="189"/>
      <c r="D160" s="199"/>
      <c r="E160" s="190"/>
      <c r="F160" s="189"/>
      <c r="G160" s="189"/>
      <c r="H160" s="189"/>
      <c r="I160" s="189"/>
      <c r="J160" s="189"/>
      <c r="K160" s="189"/>
      <c r="L160" s="189"/>
      <c r="M160" s="190"/>
    </row>
    <row r="161" spans="2:13" s="235" customFormat="1">
      <c r="B161" s="198"/>
      <c r="C161" s="189"/>
      <c r="D161" s="199"/>
      <c r="E161" s="190"/>
      <c r="F161" s="189"/>
      <c r="G161" s="189"/>
      <c r="H161" s="189"/>
      <c r="I161" s="189"/>
      <c r="J161" s="189"/>
      <c r="K161" s="189"/>
      <c r="L161" s="189"/>
      <c r="M161" s="190"/>
    </row>
    <row r="162" spans="2:13" s="235" customFormat="1">
      <c r="B162" s="198"/>
      <c r="C162" s="189"/>
      <c r="D162" s="199"/>
      <c r="E162" s="190"/>
      <c r="F162" s="189"/>
      <c r="G162" s="189"/>
      <c r="H162" s="189"/>
      <c r="I162" s="189"/>
      <c r="J162" s="189"/>
      <c r="K162" s="189"/>
      <c r="L162" s="189"/>
      <c r="M162" s="190"/>
    </row>
    <row r="163" spans="2:13" s="235" customFormat="1">
      <c r="B163" s="198"/>
      <c r="C163" s="189"/>
      <c r="D163" s="199"/>
      <c r="E163" s="190"/>
      <c r="F163" s="189"/>
      <c r="G163" s="189"/>
      <c r="H163" s="189"/>
      <c r="I163" s="189"/>
      <c r="J163" s="189"/>
      <c r="K163" s="189"/>
      <c r="L163" s="189"/>
      <c r="M163" s="190"/>
    </row>
    <row r="164" spans="2:13" s="235" customFormat="1">
      <c r="B164" s="198"/>
      <c r="C164" s="189"/>
      <c r="D164" s="199"/>
      <c r="E164" s="190"/>
      <c r="F164" s="189"/>
      <c r="G164" s="189"/>
      <c r="H164" s="189"/>
      <c r="I164" s="189"/>
      <c r="J164" s="189"/>
      <c r="K164" s="189"/>
      <c r="L164" s="189"/>
      <c r="M164" s="190"/>
    </row>
    <row r="165" spans="2:13" s="235" customFormat="1">
      <c r="B165" s="198"/>
      <c r="C165" s="189"/>
      <c r="D165" s="199"/>
      <c r="E165" s="190"/>
      <c r="F165" s="189"/>
      <c r="G165" s="189"/>
      <c r="H165" s="189"/>
      <c r="I165" s="189"/>
      <c r="J165" s="189"/>
      <c r="K165" s="189"/>
      <c r="L165" s="189"/>
      <c r="M165" s="190"/>
    </row>
    <row r="166" spans="2:13" s="235" customFormat="1">
      <c r="B166" s="198"/>
      <c r="C166" s="189"/>
      <c r="D166" s="199"/>
      <c r="E166" s="190"/>
      <c r="F166" s="189"/>
      <c r="G166" s="189"/>
      <c r="H166" s="189"/>
      <c r="I166" s="189"/>
      <c r="J166" s="189"/>
      <c r="K166" s="189"/>
      <c r="L166" s="189"/>
      <c r="M166" s="190"/>
    </row>
    <row r="167" spans="2:13" s="235" customFormat="1">
      <c r="B167" s="198"/>
      <c r="C167" s="189"/>
      <c r="D167" s="199"/>
      <c r="E167" s="190"/>
      <c r="F167" s="189"/>
      <c r="G167" s="189"/>
      <c r="H167" s="189"/>
      <c r="I167" s="189"/>
      <c r="J167" s="189"/>
      <c r="K167" s="189"/>
      <c r="L167" s="189"/>
      <c r="M167" s="190"/>
    </row>
    <row r="168" spans="2:13" s="235" customFormat="1">
      <c r="B168" s="198"/>
      <c r="C168" s="189"/>
      <c r="D168" s="199"/>
      <c r="E168" s="190"/>
      <c r="F168" s="189"/>
      <c r="G168" s="189"/>
      <c r="H168" s="189"/>
      <c r="I168" s="189"/>
      <c r="J168" s="189"/>
      <c r="K168" s="189"/>
      <c r="L168" s="189"/>
      <c r="M168" s="190"/>
    </row>
    <row r="169" spans="2:13" s="235" customFormat="1">
      <c r="B169" s="198"/>
      <c r="C169" s="189"/>
      <c r="D169" s="199"/>
      <c r="E169" s="190"/>
      <c r="F169" s="189"/>
      <c r="G169" s="189"/>
      <c r="H169" s="189"/>
      <c r="I169" s="189"/>
      <c r="J169" s="189"/>
      <c r="K169" s="189"/>
      <c r="L169" s="189"/>
      <c r="M169" s="190"/>
    </row>
    <row r="170" spans="2:13" s="235" customFormat="1">
      <c r="B170" s="198"/>
      <c r="C170" s="189"/>
      <c r="D170" s="199"/>
      <c r="E170" s="190"/>
      <c r="F170" s="189"/>
      <c r="G170" s="189"/>
      <c r="H170" s="189"/>
      <c r="I170" s="189"/>
      <c r="J170" s="189"/>
      <c r="K170" s="189"/>
      <c r="L170" s="189"/>
      <c r="M170" s="190"/>
    </row>
    <row r="171" spans="2:13" s="235" customFormat="1">
      <c r="B171" s="198"/>
      <c r="C171" s="189"/>
      <c r="D171" s="199"/>
      <c r="E171" s="190"/>
      <c r="F171" s="189"/>
      <c r="G171" s="189"/>
      <c r="H171" s="189"/>
      <c r="I171" s="189"/>
      <c r="J171" s="189"/>
      <c r="K171" s="189"/>
      <c r="L171" s="189"/>
      <c r="M171" s="190"/>
    </row>
    <row r="172" spans="2:13" s="235" customFormat="1">
      <c r="B172" s="198"/>
      <c r="C172" s="189"/>
      <c r="D172" s="199"/>
      <c r="E172" s="190"/>
      <c r="F172" s="189"/>
      <c r="G172" s="189"/>
      <c r="H172" s="189"/>
      <c r="I172" s="189"/>
      <c r="J172" s="189"/>
      <c r="K172" s="189"/>
      <c r="L172" s="189"/>
      <c r="M172" s="190"/>
    </row>
    <row r="173" spans="2:13" s="235" customFormat="1">
      <c r="B173" s="198"/>
      <c r="C173" s="189"/>
      <c r="D173" s="199"/>
      <c r="E173" s="190"/>
      <c r="F173" s="189"/>
      <c r="G173" s="189"/>
      <c r="H173" s="189"/>
      <c r="I173" s="189"/>
      <c r="J173" s="189"/>
      <c r="K173" s="189"/>
      <c r="L173" s="189"/>
      <c r="M173" s="190"/>
    </row>
    <row r="174" spans="2:13" s="235" customFormat="1">
      <c r="B174" s="198"/>
      <c r="C174" s="189"/>
      <c r="D174" s="199"/>
      <c r="E174" s="190"/>
      <c r="F174" s="189"/>
      <c r="G174" s="189"/>
      <c r="H174" s="189"/>
      <c r="I174" s="189"/>
      <c r="J174" s="189"/>
      <c r="K174" s="189"/>
      <c r="L174" s="189"/>
      <c r="M174" s="190"/>
    </row>
    <row r="175" spans="2:13" s="235" customFormat="1">
      <c r="B175" s="198"/>
      <c r="C175" s="189"/>
      <c r="D175" s="199"/>
      <c r="E175" s="190"/>
      <c r="F175" s="189"/>
      <c r="G175" s="189"/>
      <c r="H175" s="189"/>
      <c r="I175" s="189"/>
      <c r="J175" s="189"/>
      <c r="K175" s="189"/>
      <c r="L175" s="189"/>
      <c r="M175" s="190"/>
    </row>
    <row r="176" spans="2:13" s="235" customFormat="1">
      <c r="B176" s="198"/>
      <c r="C176" s="189"/>
      <c r="D176" s="199"/>
      <c r="E176" s="190"/>
      <c r="F176" s="189"/>
      <c r="G176" s="189"/>
      <c r="H176" s="189"/>
      <c r="I176" s="189"/>
      <c r="J176" s="189"/>
      <c r="K176" s="189"/>
      <c r="L176" s="189"/>
      <c r="M176" s="190"/>
    </row>
    <row r="177" spans="2:13" s="235" customFormat="1">
      <c r="B177" s="198"/>
      <c r="C177" s="189"/>
      <c r="D177" s="199"/>
      <c r="E177" s="190"/>
      <c r="F177" s="189"/>
      <c r="G177" s="189"/>
      <c r="H177" s="189"/>
      <c r="I177" s="189"/>
      <c r="J177" s="189"/>
      <c r="K177" s="189"/>
      <c r="L177" s="189"/>
      <c r="M177" s="190"/>
    </row>
    <row r="178" spans="2:13" s="235" customFormat="1">
      <c r="B178" s="198"/>
      <c r="C178" s="189"/>
      <c r="D178" s="199"/>
      <c r="E178" s="190"/>
      <c r="F178" s="189"/>
      <c r="G178" s="189"/>
      <c r="H178" s="189"/>
      <c r="I178" s="189"/>
      <c r="J178" s="189"/>
      <c r="K178" s="189"/>
      <c r="L178" s="189"/>
      <c r="M178" s="190"/>
    </row>
    <row r="179" spans="2:13" s="235" customFormat="1">
      <c r="B179" s="198"/>
      <c r="C179" s="189"/>
      <c r="D179" s="199"/>
      <c r="E179" s="190"/>
      <c r="F179" s="189"/>
      <c r="G179" s="189"/>
      <c r="H179" s="189"/>
      <c r="I179" s="189"/>
      <c r="J179" s="189"/>
      <c r="K179" s="189"/>
      <c r="L179" s="189"/>
      <c r="M179" s="190"/>
    </row>
    <row r="180" spans="2:13" s="235" customFormat="1">
      <c r="B180" s="198"/>
      <c r="C180" s="189"/>
      <c r="D180" s="199"/>
      <c r="E180" s="190"/>
      <c r="F180" s="189"/>
      <c r="G180" s="189"/>
      <c r="H180" s="189"/>
      <c r="I180" s="189"/>
      <c r="J180" s="189"/>
      <c r="K180" s="189"/>
      <c r="L180" s="189"/>
      <c r="M180" s="190"/>
    </row>
    <row r="181" spans="2:13" s="235" customFormat="1">
      <c r="B181" s="198"/>
      <c r="C181" s="189"/>
      <c r="D181" s="199"/>
      <c r="E181" s="190"/>
      <c r="F181" s="189"/>
      <c r="G181" s="189"/>
      <c r="H181" s="189"/>
      <c r="I181" s="189"/>
      <c r="J181" s="189"/>
      <c r="K181" s="189"/>
      <c r="L181" s="189"/>
      <c r="M181" s="190"/>
    </row>
    <row r="182" spans="2:13" s="235" customFormat="1">
      <c r="B182" s="198"/>
      <c r="C182" s="189"/>
      <c r="D182" s="199"/>
      <c r="E182" s="190"/>
      <c r="F182" s="189"/>
      <c r="G182" s="189"/>
      <c r="H182" s="189"/>
      <c r="I182" s="189"/>
      <c r="J182" s="189"/>
      <c r="K182" s="189"/>
      <c r="L182" s="189"/>
      <c r="M182" s="190"/>
    </row>
    <row r="183" spans="2:13" s="235" customFormat="1">
      <c r="B183" s="198"/>
      <c r="C183" s="189"/>
      <c r="D183" s="199"/>
      <c r="E183" s="190"/>
      <c r="F183" s="189"/>
      <c r="G183" s="189"/>
      <c r="H183" s="189"/>
      <c r="I183" s="189"/>
      <c r="J183" s="189"/>
      <c r="K183" s="189"/>
      <c r="L183" s="189"/>
      <c r="M183" s="190"/>
    </row>
    <row r="184" spans="2:13" s="235" customFormat="1">
      <c r="B184" s="198"/>
      <c r="C184" s="189"/>
      <c r="D184" s="199"/>
      <c r="E184" s="190"/>
      <c r="F184" s="189"/>
      <c r="G184" s="189"/>
      <c r="H184" s="189"/>
      <c r="I184" s="189"/>
      <c r="J184" s="189"/>
      <c r="K184" s="189"/>
      <c r="L184" s="189"/>
      <c r="M184" s="190"/>
    </row>
    <row r="185" spans="2:13" s="235" customFormat="1">
      <c r="B185" s="198"/>
      <c r="C185" s="189"/>
      <c r="D185" s="199"/>
      <c r="E185" s="190"/>
      <c r="F185" s="189"/>
      <c r="G185" s="189"/>
      <c r="H185" s="189"/>
      <c r="I185" s="189"/>
      <c r="J185" s="189"/>
      <c r="K185" s="189"/>
      <c r="L185" s="189"/>
      <c r="M185" s="190"/>
    </row>
    <row r="186" spans="2:13" s="235" customFormat="1">
      <c r="B186" s="198"/>
      <c r="C186" s="189"/>
      <c r="D186" s="199"/>
      <c r="E186" s="190"/>
      <c r="F186" s="189"/>
      <c r="G186" s="189"/>
      <c r="H186" s="189"/>
      <c r="I186" s="189"/>
      <c r="J186" s="189"/>
      <c r="K186" s="189"/>
      <c r="L186" s="189"/>
      <c r="M186" s="190"/>
    </row>
    <row r="187" spans="2:13" s="235" customFormat="1">
      <c r="B187" s="198"/>
      <c r="C187" s="189"/>
      <c r="D187" s="199"/>
      <c r="E187" s="190"/>
      <c r="F187" s="189"/>
      <c r="G187" s="189"/>
      <c r="H187" s="189"/>
      <c r="I187" s="189"/>
      <c r="J187" s="189"/>
      <c r="K187" s="189"/>
      <c r="L187" s="189"/>
      <c r="M187" s="190"/>
    </row>
    <row r="188" spans="2:13" s="235" customFormat="1">
      <c r="B188" s="198"/>
      <c r="C188" s="189"/>
      <c r="D188" s="199"/>
      <c r="E188" s="190"/>
      <c r="F188" s="189"/>
      <c r="G188" s="189"/>
      <c r="H188" s="189"/>
      <c r="I188" s="189"/>
      <c r="J188" s="189"/>
      <c r="K188" s="189"/>
      <c r="L188" s="189"/>
      <c r="M188" s="190"/>
    </row>
    <row r="189" spans="2:13" s="235" customFormat="1">
      <c r="B189" s="198"/>
      <c r="C189" s="189"/>
      <c r="D189" s="199"/>
      <c r="E189" s="190"/>
      <c r="F189" s="189"/>
      <c r="G189" s="189"/>
      <c r="H189" s="189"/>
      <c r="I189" s="189"/>
      <c r="J189" s="189"/>
      <c r="K189" s="189"/>
      <c r="L189" s="189"/>
      <c r="M189" s="190"/>
    </row>
    <row r="190" spans="2:13" s="235" customFormat="1">
      <c r="B190" s="198"/>
      <c r="C190" s="189"/>
      <c r="D190" s="199"/>
      <c r="E190" s="190"/>
      <c r="F190" s="189"/>
      <c r="G190" s="189"/>
      <c r="H190" s="189"/>
      <c r="I190" s="189"/>
      <c r="J190" s="189"/>
      <c r="K190" s="189"/>
      <c r="L190" s="189"/>
      <c r="M190" s="190"/>
    </row>
    <row r="191" spans="2:13" s="235" customFormat="1">
      <c r="B191" s="198"/>
      <c r="C191" s="189"/>
      <c r="D191" s="199"/>
      <c r="E191" s="190"/>
      <c r="F191" s="189"/>
      <c r="G191" s="189"/>
      <c r="H191" s="189"/>
      <c r="I191" s="189"/>
      <c r="J191" s="189"/>
      <c r="K191" s="189"/>
      <c r="L191" s="189"/>
      <c r="M191" s="190"/>
    </row>
    <row r="192" spans="2:13" s="235" customFormat="1">
      <c r="B192" s="198"/>
      <c r="C192" s="189"/>
      <c r="D192" s="199"/>
      <c r="E192" s="190"/>
      <c r="F192" s="189"/>
      <c r="G192" s="189"/>
      <c r="H192" s="189"/>
      <c r="I192" s="189"/>
      <c r="J192" s="189"/>
      <c r="K192" s="189"/>
      <c r="L192" s="189"/>
      <c r="M192" s="190"/>
    </row>
    <row r="193" spans="2:13" s="235" customFormat="1">
      <c r="B193" s="198"/>
      <c r="C193" s="189"/>
      <c r="D193" s="199"/>
      <c r="E193" s="190"/>
      <c r="F193" s="189"/>
      <c r="G193" s="189"/>
      <c r="H193" s="189"/>
      <c r="I193" s="189"/>
      <c r="J193" s="189"/>
      <c r="K193" s="189"/>
      <c r="L193" s="189"/>
      <c r="M193" s="190"/>
    </row>
    <row r="194" spans="2:13" s="235" customFormat="1">
      <c r="B194" s="198"/>
      <c r="C194" s="189"/>
      <c r="D194" s="199"/>
      <c r="E194" s="190"/>
      <c r="F194" s="189"/>
      <c r="G194" s="189"/>
      <c r="H194" s="189"/>
      <c r="I194" s="189"/>
      <c r="J194" s="189"/>
      <c r="K194" s="189"/>
      <c r="L194" s="189"/>
      <c r="M194" s="190"/>
    </row>
    <row r="195" spans="2:13" s="235" customFormat="1">
      <c r="B195" s="198"/>
      <c r="C195" s="189"/>
      <c r="D195" s="199"/>
      <c r="E195" s="190"/>
      <c r="F195" s="189"/>
      <c r="G195" s="189"/>
      <c r="H195" s="189"/>
      <c r="I195" s="189"/>
      <c r="J195" s="189"/>
      <c r="K195" s="189"/>
      <c r="L195" s="189"/>
      <c r="M195" s="190"/>
    </row>
    <row r="196" spans="2:13" s="235" customFormat="1">
      <c r="B196" s="198"/>
      <c r="C196" s="189"/>
      <c r="D196" s="199"/>
      <c r="E196" s="190"/>
      <c r="F196" s="189"/>
      <c r="G196" s="189"/>
      <c r="H196" s="189"/>
      <c r="I196" s="189"/>
      <c r="J196" s="189"/>
      <c r="K196" s="189"/>
      <c r="L196" s="189"/>
      <c r="M196" s="190"/>
    </row>
    <row r="197" spans="2:13" s="235" customFormat="1">
      <c r="B197" s="198"/>
      <c r="C197" s="189"/>
      <c r="D197" s="199"/>
      <c r="E197" s="190"/>
      <c r="F197" s="189"/>
      <c r="G197" s="189"/>
      <c r="H197" s="189"/>
      <c r="I197" s="189"/>
      <c r="J197" s="189"/>
      <c r="K197" s="189"/>
      <c r="L197" s="189"/>
      <c r="M197" s="190"/>
    </row>
    <row r="198" spans="2:13" s="235" customFormat="1">
      <c r="B198" s="198"/>
      <c r="C198" s="189"/>
      <c r="D198" s="199"/>
      <c r="E198" s="190"/>
      <c r="F198" s="189"/>
      <c r="G198" s="189"/>
      <c r="H198" s="189"/>
      <c r="I198" s="189"/>
      <c r="J198" s="189"/>
      <c r="K198" s="189"/>
      <c r="L198" s="189"/>
      <c r="M198" s="190"/>
    </row>
    <row r="199" spans="2:13" s="235" customFormat="1">
      <c r="B199" s="198"/>
      <c r="C199" s="189"/>
      <c r="D199" s="199"/>
      <c r="E199" s="190"/>
      <c r="F199" s="189"/>
      <c r="G199" s="189"/>
      <c r="H199" s="189"/>
      <c r="I199" s="189"/>
      <c r="J199" s="189"/>
      <c r="K199" s="189"/>
      <c r="L199" s="189"/>
      <c r="M199" s="190"/>
    </row>
    <row r="200" spans="2:13" s="235" customFormat="1">
      <c r="B200" s="198"/>
      <c r="C200" s="189"/>
      <c r="D200" s="199"/>
      <c r="E200" s="190"/>
      <c r="F200" s="189"/>
      <c r="G200" s="189"/>
      <c r="H200" s="189"/>
      <c r="I200" s="189"/>
      <c r="J200" s="189"/>
      <c r="K200" s="189"/>
      <c r="L200" s="189"/>
      <c r="M200" s="190"/>
    </row>
    <row r="201" spans="2:13" s="235" customFormat="1">
      <c r="B201" s="198"/>
      <c r="C201" s="189"/>
      <c r="D201" s="199"/>
      <c r="E201" s="190"/>
      <c r="F201" s="189"/>
      <c r="G201" s="189"/>
      <c r="H201" s="189"/>
      <c r="I201" s="189"/>
      <c r="J201" s="189"/>
      <c r="K201" s="189"/>
      <c r="L201" s="189"/>
      <c r="M201" s="190"/>
    </row>
    <row r="202" spans="2:13" s="235" customFormat="1">
      <c r="B202" s="198"/>
      <c r="C202" s="189"/>
      <c r="D202" s="199"/>
      <c r="E202" s="190"/>
      <c r="F202" s="189"/>
      <c r="G202" s="189"/>
      <c r="H202" s="189"/>
      <c r="I202" s="189"/>
      <c r="J202" s="189"/>
      <c r="K202" s="189"/>
      <c r="L202" s="189"/>
      <c r="M202" s="190"/>
    </row>
    <row r="203" spans="2:13" s="235" customFormat="1">
      <c r="B203" s="198"/>
      <c r="C203" s="189"/>
      <c r="D203" s="199"/>
      <c r="E203" s="190"/>
      <c r="F203" s="189"/>
      <c r="G203" s="189"/>
      <c r="H203" s="189"/>
      <c r="I203" s="189"/>
      <c r="J203" s="189"/>
      <c r="K203" s="189"/>
      <c r="L203" s="189"/>
      <c r="M203" s="190"/>
    </row>
    <row r="204" spans="2:13" s="235" customFormat="1">
      <c r="B204" s="198"/>
      <c r="C204" s="189"/>
      <c r="D204" s="199"/>
      <c r="E204" s="190"/>
      <c r="F204" s="189"/>
      <c r="G204" s="189"/>
      <c r="H204" s="189"/>
      <c r="I204" s="189"/>
      <c r="J204" s="189"/>
      <c r="K204" s="189"/>
      <c r="L204" s="189"/>
      <c r="M204" s="190"/>
    </row>
    <row r="205" spans="2:13" s="235" customFormat="1">
      <c r="B205" s="198"/>
      <c r="C205" s="189"/>
      <c r="D205" s="199"/>
      <c r="E205" s="190"/>
      <c r="F205" s="189"/>
      <c r="G205" s="189"/>
      <c r="H205" s="189"/>
      <c r="I205" s="189"/>
      <c r="J205" s="189"/>
      <c r="K205" s="189"/>
      <c r="L205" s="189"/>
      <c r="M205" s="190"/>
    </row>
    <row r="206" spans="2:13" s="235" customFormat="1">
      <c r="B206" s="198"/>
      <c r="C206" s="189"/>
      <c r="D206" s="199"/>
      <c r="E206" s="190"/>
      <c r="F206" s="189"/>
      <c r="G206" s="189"/>
      <c r="H206" s="189"/>
      <c r="I206" s="189"/>
      <c r="J206" s="189"/>
      <c r="K206" s="189"/>
      <c r="L206" s="189"/>
      <c r="M206" s="190"/>
    </row>
    <row r="207" spans="2:13" s="235" customFormat="1">
      <c r="B207" s="198"/>
      <c r="C207" s="189"/>
      <c r="D207" s="199"/>
      <c r="E207" s="190"/>
      <c r="F207" s="189"/>
      <c r="G207" s="189"/>
      <c r="H207" s="189"/>
      <c r="I207" s="189"/>
      <c r="J207" s="189"/>
      <c r="K207" s="189"/>
      <c r="L207" s="189"/>
      <c r="M207" s="190"/>
    </row>
    <row r="208" spans="2:13" s="235" customFormat="1">
      <c r="B208" s="198"/>
      <c r="C208" s="189"/>
      <c r="D208" s="199"/>
      <c r="E208" s="190"/>
      <c r="F208" s="189"/>
      <c r="G208" s="189"/>
      <c r="H208" s="189"/>
      <c r="I208" s="189"/>
      <c r="J208" s="189"/>
      <c r="K208" s="189"/>
      <c r="L208" s="189"/>
      <c r="M208" s="190"/>
    </row>
    <row r="209" spans="2:13" s="235" customFormat="1">
      <c r="B209" s="198"/>
      <c r="C209" s="189"/>
      <c r="D209" s="199"/>
      <c r="E209" s="190"/>
      <c r="F209" s="189"/>
      <c r="G209" s="189"/>
      <c r="H209" s="189"/>
      <c r="I209" s="189"/>
      <c r="J209" s="189"/>
      <c r="K209" s="189"/>
      <c r="L209" s="189"/>
      <c r="M209" s="190"/>
    </row>
    <row r="210" spans="2:13" s="235" customFormat="1">
      <c r="B210" s="198"/>
      <c r="C210" s="189"/>
      <c r="D210" s="199"/>
      <c r="E210" s="190"/>
      <c r="F210" s="189"/>
      <c r="G210" s="189"/>
      <c r="H210" s="189"/>
      <c r="I210" s="189"/>
      <c r="J210" s="189"/>
      <c r="K210" s="189"/>
      <c r="L210" s="189"/>
      <c r="M210" s="190"/>
    </row>
    <row r="211" spans="2:13" s="235" customFormat="1">
      <c r="B211" s="198"/>
      <c r="C211" s="189"/>
      <c r="D211" s="199"/>
      <c r="E211" s="190"/>
      <c r="F211" s="189"/>
      <c r="G211" s="189"/>
      <c r="H211" s="189"/>
      <c r="I211" s="189"/>
      <c r="J211" s="189"/>
      <c r="K211" s="189"/>
      <c r="L211" s="189"/>
      <c r="M211" s="190"/>
    </row>
    <row r="212" spans="2:13" s="235" customFormat="1">
      <c r="B212" s="198"/>
      <c r="C212" s="189"/>
      <c r="D212" s="199"/>
      <c r="E212" s="190"/>
      <c r="F212" s="189"/>
      <c r="G212" s="189"/>
      <c r="H212" s="189"/>
      <c r="I212" s="189"/>
      <c r="J212" s="189"/>
      <c r="K212" s="189"/>
      <c r="L212" s="189"/>
      <c r="M212" s="190"/>
    </row>
    <row r="213" spans="2:13" s="235" customFormat="1">
      <c r="B213" s="198"/>
      <c r="C213" s="189"/>
      <c r="D213" s="199"/>
      <c r="E213" s="190"/>
      <c r="F213" s="189"/>
      <c r="G213" s="189"/>
      <c r="H213" s="189"/>
      <c r="I213" s="189"/>
      <c r="J213" s="189"/>
      <c r="K213" s="189"/>
      <c r="L213" s="189"/>
      <c r="M213" s="190"/>
    </row>
    <row r="214" spans="2:13" s="235" customFormat="1">
      <c r="B214" s="198"/>
      <c r="C214" s="189"/>
      <c r="D214" s="199"/>
      <c r="E214" s="190"/>
      <c r="F214" s="189"/>
      <c r="G214" s="189"/>
      <c r="H214" s="189"/>
      <c r="I214" s="189"/>
      <c r="J214" s="189"/>
      <c r="K214" s="189"/>
      <c r="L214" s="189"/>
      <c r="M214" s="190"/>
    </row>
    <row r="215" spans="2:13" s="235" customFormat="1">
      <c r="B215" s="198"/>
      <c r="C215" s="189"/>
      <c r="D215" s="199"/>
      <c r="E215" s="190"/>
      <c r="F215" s="189"/>
      <c r="G215" s="189"/>
      <c r="H215" s="189"/>
      <c r="I215" s="189"/>
      <c r="J215" s="189"/>
      <c r="K215" s="189"/>
      <c r="L215" s="189"/>
      <c r="M215" s="190"/>
    </row>
    <row r="216" spans="2:13" s="235" customFormat="1">
      <c r="B216" s="198"/>
      <c r="C216" s="189"/>
      <c r="D216" s="199"/>
      <c r="E216" s="190"/>
      <c r="F216" s="189"/>
      <c r="G216" s="189"/>
      <c r="H216" s="189"/>
      <c r="I216" s="189"/>
      <c r="J216" s="189"/>
      <c r="K216" s="189"/>
      <c r="L216" s="189"/>
      <c r="M216" s="190"/>
    </row>
    <row r="217" spans="2:13" s="235" customFormat="1">
      <c r="B217" s="198"/>
      <c r="C217" s="189"/>
      <c r="D217" s="199"/>
      <c r="E217" s="190"/>
      <c r="F217" s="189"/>
      <c r="G217" s="189"/>
      <c r="H217" s="189"/>
      <c r="I217" s="189"/>
      <c r="J217" s="189"/>
      <c r="K217" s="189"/>
      <c r="L217" s="189"/>
      <c r="M217" s="190"/>
    </row>
    <row r="218" spans="2:13" s="235" customFormat="1">
      <c r="B218" s="198"/>
      <c r="C218" s="189"/>
      <c r="D218" s="199"/>
      <c r="E218" s="190"/>
      <c r="F218" s="189"/>
      <c r="G218" s="189"/>
      <c r="H218" s="189"/>
      <c r="I218" s="189"/>
      <c r="J218" s="189"/>
      <c r="K218" s="189"/>
      <c r="L218" s="189"/>
      <c r="M218" s="190"/>
    </row>
    <row r="219" spans="2:13" s="235" customFormat="1">
      <c r="B219" s="198"/>
      <c r="C219" s="189"/>
      <c r="D219" s="199"/>
      <c r="E219" s="190"/>
      <c r="F219" s="189"/>
      <c r="G219" s="189"/>
      <c r="H219" s="189"/>
      <c r="I219" s="189"/>
      <c r="J219" s="189"/>
      <c r="K219" s="189"/>
      <c r="L219" s="189"/>
      <c r="M219" s="190"/>
    </row>
    <row r="220" spans="2:13" s="235" customFormat="1">
      <c r="B220" s="198"/>
      <c r="C220" s="189"/>
      <c r="D220" s="199"/>
      <c r="E220" s="190"/>
      <c r="F220" s="189"/>
      <c r="G220" s="189"/>
      <c r="H220" s="189"/>
      <c r="I220" s="189"/>
      <c r="J220" s="189"/>
      <c r="K220" s="189"/>
      <c r="L220" s="189"/>
      <c r="M220" s="190"/>
    </row>
    <row r="221" spans="2:13" s="235" customFormat="1">
      <c r="B221" s="198"/>
      <c r="C221" s="189"/>
      <c r="D221" s="199"/>
      <c r="E221" s="190"/>
      <c r="F221" s="189"/>
      <c r="G221" s="189"/>
      <c r="H221" s="189"/>
      <c r="I221" s="189"/>
      <c r="J221" s="189"/>
      <c r="K221" s="189"/>
      <c r="L221" s="189"/>
      <c r="M221" s="190"/>
    </row>
    <row r="222" spans="2:13" s="235" customFormat="1">
      <c r="B222" s="198"/>
      <c r="C222" s="189"/>
      <c r="D222" s="199"/>
      <c r="E222" s="190"/>
      <c r="F222" s="189"/>
      <c r="G222" s="189"/>
      <c r="H222" s="189"/>
      <c r="I222" s="189"/>
      <c r="J222" s="189"/>
      <c r="K222" s="189"/>
      <c r="L222" s="189"/>
      <c r="M222" s="190"/>
    </row>
    <row r="223" spans="2:13" s="235" customFormat="1">
      <c r="B223" s="198"/>
      <c r="C223" s="189"/>
      <c r="D223" s="199"/>
      <c r="E223" s="190"/>
      <c r="F223" s="189"/>
      <c r="G223" s="189"/>
      <c r="H223" s="189"/>
      <c r="I223" s="189"/>
      <c r="J223" s="189"/>
      <c r="K223" s="189"/>
      <c r="L223" s="189"/>
      <c r="M223" s="190"/>
    </row>
    <row r="224" spans="2:13" s="235" customFormat="1">
      <c r="B224" s="198"/>
      <c r="C224" s="189"/>
      <c r="D224" s="199"/>
      <c r="E224" s="190"/>
      <c r="F224" s="189"/>
      <c r="G224" s="189"/>
      <c r="H224" s="189"/>
      <c r="I224" s="189"/>
      <c r="J224" s="189"/>
      <c r="K224" s="189"/>
      <c r="L224" s="189"/>
      <c r="M224" s="190"/>
    </row>
    <row r="225" spans="2:13" s="235" customFormat="1">
      <c r="B225" s="198"/>
      <c r="C225" s="189"/>
      <c r="D225" s="199"/>
      <c r="E225" s="190"/>
      <c r="F225" s="189"/>
      <c r="G225" s="189"/>
      <c r="H225" s="189"/>
      <c r="I225" s="189"/>
      <c r="J225" s="189"/>
      <c r="K225" s="189"/>
      <c r="L225" s="189"/>
      <c r="M225" s="190"/>
    </row>
    <row r="226" spans="2:13" s="235" customFormat="1">
      <c r="B226" s="198"/>
      <c r="C226" s="189"/>
      <c r="D226" s="199"/>
      <c r="E226" s="190"/>
      <c r="F226" s="189"/>
      <c r="G226" s="189"/>
      <c r="H226" s="189"/>
      <c r="I226" s="189"/>
      <c r="J226" s="189"/>
      <c r="K226" s="189"/>
      <c r="L226" s="189"/>
      <c r="M226" s="190"/>
    </row>
    <row r="227" spans="2:13" s="235" customFormat="1">
      <c r="B227" s="198"/>
      <c r="C227" s="189"/>
      <c r="D227" s="199"/>
      <c r="E227" s="190"/>
      <c r="F227" s="189"/>
      <c r="G227" s="189"/>
      <c r="H227" s="189"/>
      <c r="I227" s="189"/>
      <c r="J227" s="189"/>
      <c r="K227" s="189"/>
      <c r="L227" s="189"/>
      <c r="M227" s="190"/>
    </row>
    <row r="228" spans="2:13" s="235" customFormat="1">
      <c r="B228" s="198"/>
      <c r="C228" s="189"/>
      <c r="D228" s="199"/>
      <c r="E228" s="190"/>
      <c r="F228" s="189"/>
      <c r="G228" s="189"/>
      <c r="H228" s="189"/>
      <c r="I228" s="189"/>
      <c r="J228" s="189"/>
      <c r="K228" s="189"/>
      <c r="L228" s="189"/>
      <c r="M228" s="190"/>
    </row>
    <row r="229" spans="2:13" s="235" customFormat="1">
      <c r="B229" s="198"/>
      <c r="C229" s="189"/>
      <c r="D229" s="199"/>
      <c r="E229" s="190"/>
      <c r="F229" s="189"/>
      <c r="G229" s="189"/>
      <c r="H229" s="189"/>
      <c r="I229" s="189"/>
      <c r="J229" s="189"/>
      <c r="K229" s="189"/>
      <c r="L229" s="189"/>
      <c r="M229" s="190"/>
    </row>
    <row r="230" spans="2:13" s="235" customFormat="1">
      <c r="B230" s="198"/>
      <c r="C230" s="189"/>
      <c r="D230" s="199"/>
      <c r="E230" s="190"/>
      <c r="F230" s="189"/>
      <c r="G230" s="189"/>
      <c r="H230" s="189"/>
      <c r="I230" s="189"/>
      <c r="J230" s="189"/>
      <c r="K230" s="189"/>
      <c r="L230" s="189"/>
      <c r="M230" s="190"/>
    </row>
    <row r="231" spans="2:13" s="235" customFormat="1">
      <c r="B231" s="198"/>
      <c r="C231" s="189"/>
      <c r="D231" s="199"/>
      <c r="E231" s="190"/>
      <c r="F231" s="189"/>
      <c r="G231" s="189"/>
      <c r="H231" s="189"/>
      <c r="I231" s="189"/>
      <c r="J231" s="189"/>
      <c r="K231" s="189"/>
      <c r="L231" s="189"/>
      <c r="M231" s="190"/>
    </row>
    <row r="232" spans="2:13" s="235" customFormat="1">
      <c r="B232" s="198"/>
      <c r="C232" s="189"/>
      <c r="D232" s="199"/>
      <c r="E232" s="190"/>
      <c r="F232" s="189"/>
      <c r="G232" s="189"/>
      <c r="H232" s="189"/>
      <c r="I232" s="189"/>
      <c r="J232" s="189"/>
      <c r="K232" s="189"/>
      <c r="L232" s="189"/>
      <c r="M232" s="190"/>
    </row>
    <row r="233" spans="2:13" s="235" customFormat="1">
      <c r="B233" s="198"/>
      <c r="C233" s="189"/>
      <c r="D233" s="199"/>
      <c r="E233" s="190"/>
      <c r="F233" s="189"/>
      <c r="G233" s="189"/>
      <c r="H233" s="189"/>
      <c r="I233" s="189"/>
      <c r="J233" s="189"/>
      <c r="K233" s="189"/>
      <c r="L233" s="189"/>
      <c r="M233" s="190"/>
    </row>
    <row r="234" spans="2:13" s="235" customFormat="1">
      <c r="B234" s="198"/>
      <c r="C234" s="189"/>
      <c r="D234" s="199"/>
      <c r="E234" s="190"/>
      <c r="F234" s="189"/>
      <c r="G234" s="189"/>
      <c r="H234" s="189"/>
      <c r="I234" s="189"/>
      <c r="J234" s="189"/>
      <c r="K234" s="189"/>
      <c r="L234" s="189"/>
      <c r="M234" s="190"/>
    </row>
    <row r="235" spans="2:13" s="235" customFormat="1">
      <c r="B235" s="198"/>
      <c r="C235" s="189"/>
      <c r="D235" s="199"/>
      <c r="E235" s="190"/>
      <c r="F235" s="189"/>
      <c r="G235" s="189"/>
      <c r="H235" s="189"/>
      <c r="I235" s="189"/>
      <c r="J235" s="189"/>
      <c r="K235" s="189"/>
      <c r="L235" s="189"/>
      <c r="M235" s="190"/>
    </row>
    <row r="236" spans="2:13" s="235" customFormat="1">
      <c r="B236" s="198"/>
      <c r="C236" s="189"/>
      <c r="D236" s="199"/>
      <c r="E236" s="190"/>
      <c r="F236" s="189"/>
      <c r="G236" s="189"/>
      <c r="H236" s="189"/>
      <c r="I236" s="189"/>
      <c r="J236" s="189"/>
      <c r="K236" s="189"/>
      <c r="L236" s="189"/>
      <c r="M236" s="190"/>
    </row>
    <row r="237" spans="2:13" s="235" customFormat="1">
      <c r="B237" s="198"/>
      <c r="C237" s="189"/>
      <c r="D237" s="199"/>
      <c r="E237" s="190"/>
      <c r="F237" s="189"/>
      <c r="G237" s="189"/>
      <c r="H237" s="189"/>
      <c r="I237" s="189"/>
      <c r="J237" s="189"/>
      <c r="K237" s="189"/>
      <c r="L237" s="189"/>
      <c r="M237" s="190"/>
    </row>
    <row r="238" spans="2:13" s="235" customFormat="1">
      <c r="B238" s="198"/>
      <c r="C238" s="189"/>
      <c r="D238" s="199"/>
      <c r="E238" s="190"/>
      <c r="F238" s="189"/>
      <c r="G238" s="189"/>
      <c r="H238" s="189"/>
      <c r="I238" s="189"/>
      <c r="J238" s="189"/>
      <c r="K238" s="189"/>
      <c r="L238" s="189"/>
      <c r="M238" s="190"/>
    </row>
    <row r="239" spans="2:13" s="235" customFormat="1">
      <c r="B239" s="198"/>
      <c r="C239" s="189"/>
      <c r="D239" s="199"/>
      <c r="E239" s="190"/>
      <c r="F239" s="189"/>
      <c r="G239" s="189"/>
      <c r="H239" s="189"/>
      <c r="I239" s="189"/>
      <c r="J239" s="189"/>
      <c r="K239" s="189"/>
      <c r="L239" s="189"/>
      <c r="M239" s="190"/>
    </row>
    <row r="240" spans="2:13" s="235" customFormat="1">
      <c r="B240" s="198"/>
      <c r="C240" s="189"/>
      <c r="D240" s="199"/>
      <c r="E240" s="190"/>
      <c r="F240" s="189"/>
      <c r="G240" s="189"/>
      <c r="H240" s="189"/>
      <c r="I240" s="189"/>
      <c r="J240" s="189"/>
      <c r="K240" s="189"/>
      <c r="L240" s="189"/>
      <c r="M240" s="190"/>
    </row>
    <row r="241" spans="2:13" s="235" customFormat="1">
      <c r="B241" s="198"/>
      <c r="C241" s="189"/>
      <c r="D241" s="199"/>
      <c r="E241" s="190"/>
      <c r="F241" s="189"/>
      <c r="G241" s="189"/>
      <c r="H241" s="189"/>
      <c r="I241" s="189"/>
      <c r="J241" s="189"/>
      <c r="K241" s="189"/>
      <c r="L241" s="189"/>
      <c r="M241" s="190"/>
    </row>
    <row r="242" spans="2:13" s="235" customFormat="1">
      <c r="B242" s="198"/>
      <c r="C242" s="189"/>
      <c r="D242" s="199"/>
      <c r="E242" s="190"/>
      <c r="F242" s="189"/>
      <c r="G242" s="189"/>
      <c r="H242" s="189"/>
      <c r="I242" s="189"/>
      <c r="J242" s="189"/>
      <c r="K242" s="189"/>
      <c r="L242" s="189"/>
      <c r="M242" s="190"/>
    </row>
    <row r="243" spans="2:13" s="235" customFormat="1">
      <c r="B243" s="198"/>
      <c r="C243" s="189"/>
      <c r="D243" s="199"/>
      <c r="E243" s="190"/>
      <c r="F243" s="189"/>
      <c r="G243" s="189"/>
      <c r="H243" s="189"/>
      <c r="I243" s="189"/>
      <c r="J243" s="189"/>
      <c r="K243" s="189"/>
      <c r="L243" s="189"/>
      <c r="M243" s="190"/>
    </row>
    <row r="244" spans="2:13" s="235" customFormat="1">
      <c r="B244" s="198"/>
      <c r="C244" s="189"/>
      <c r="D244" s="199"/>
      <c r="E244" s="190"/>
      <c r="F244" s="189"/>
      <c r="G244" s="189"/>
      <c r="H244" s="189"/>
      <c r="I244" s="189"/>
      <c r="J244" s="189"/>
      <c r="K244" s="189"/>
      <c r="L244" s="189"/>
      <c r="M244" s="190"/>
    </row>
    <row r="245" spans="2:13" s="235" customFormat="1">
      <c r="B245" s="198"/>
      <c r="C245" s="189"/>
      <c r="D245" s="199"/>
      <c r="E245" s="190"/>
      <c r="F245" s="189"/>
      <c r="G245" s="189"/>
      <c r="H245" s="189"/>
      <c r="I245" s="189"/>
      <c r="J245" s="189"/>
      <c r="K245" s="189"/>
      <c r="L245" s="189"/>
      <c r="M245" s="190"/>
    </row>
    <row r="246" spans="2:13" s="235" customFormat="1">
      <c r="B246" s="198"/>
      <c r="C246" s="189"/>
      <c r="D246" s="199"/>
      <c r="E246" s="190"/>
      <c r="F246" s="189"/>
      <c r="G246" s="189"/>
      <c r="H246" s="189"/>
      <c r="I246" s="189"/>
      <c r="J246" s="189"/>
      <c r="K246" s="189"/>
      <c r="L246" s="189"/>
      <c r="M246" s="190"/>
    </row>
    <row r="247" spans="2:13" s="235" customFormat="1">
      <c r="B247" s="198"/>
      <c r="C247" s="189"/>
      <c r="D247" s="199"/>
      <c r="E247" s="190"/>
      <c r="F247" s="189"/>
      <c r="G247" s="189"/>
      <c r="H247" s="189"/>
      <c r="I247" s="189"/>
      <c r="J247" s="189"/>
      <c r="K247" s="189"/>
      <c r="L247" s="189"/>
      <c r="M247" s="190"/>
    </row>
    <row r="248" spans="2:13" s="235" customFormat="1">
      <c r="B248" s="198"/>
      <c r="C248" s="189"/>
      <c r="D248" s="199"/>
      <c r="E248" s="190"/>
      <c r="F248" s="189"/>
      <c r="G248" s="189"/>
      <c r="H248" s="189"/>
      <c r="I248" s="189"/>
      <c r="J248" s="189"/>
      <c r="K248" s="189"/>
      <c r="L248" s="189"/>
      <c r="M248" s="190"/>
    </row>
    <row r="249" spans="2:13" s="235" customFormat="1">
      <c r="B249" s="198"/>
      <c r="C249" s="189"/>
      <c r="D249" s="199"/>
      <c r="E249" s="190"/>
      <c r="F249" s="189"/>
      <c r="G249" s="189"/>
      <c r="H249" s="189"/>
      <c r="I249" s="189"/>
      <c r="J249" s="189"/>
      <c r="K249" s="189"/>
      <c r="L249" s="189"/>
      <c r="M249" s="190"/>
    </row>
    <row r="250" spans="2:13" s="235" customFormat="1">
      <c r="B250" s="198"/>
      <c r="C250" s="189"/>
      <c r="D250" s="199"/>
      <c r="E250" s="190"/>
      <c r="F250" s="189"/>
      <c r="G250" s="189"/>
      <c r="H250" s="189"/>
      <c r="I250" s="189"/>
      <c r="J250" s="189"/>
      <c r="K250" s="189"/>
      <c r="L250" s="189"/>
      <c r="M250" s="190"/>
    </row>
    <row r="251" spans="2:13" s="235" customFormat="1">
      <c r="B251" s="198"/>
      <c r="C251" s="189"/>
      <c r="D251" s="199"/>
      <c r="E251" s="190"/>
      <c r="F251" s="189"/>
      <c r="G251" s="189"/>
      <c r="H251" s="189"/>
      <c r="I251" s="189"/>
      <c r="J251" s="189"/>
      <c r="K251" s="189"/>
      <c r="L251" s="189"/>
      <c r="M251" s="190"/>
    </row>
    <row r="252" spans="2:13" s="235" customFormat="1">
      <c r="B252" s="198"/>
      <c r="C252" s="189"/>
      <c r="D252" s="199"/>
      <c r="E252" s="190"/>
      <c r="F252" s="189"/>
      <c r="G252" s="189"/>
      <c r="H252" s="189"/>
      <c r="I252" s="189"/>
      <c r="J252" s="189"/>
      <c r="K252" s="189"/>
      <c r="L252" s="189"/>
      <c r="M252" s="190"/>
    </row>
    <row r="253" spans="2:13" s="235" customFormat="1">
      <c r="B253" s="198"/>
      <c r="C253" s="189"/>
      <c r="D253" s="199"/>
      <c r="E253" s="190"/>
      <c r="F253" s="189"/>
      <c r="G253" s="189"/>
      <c r="H253" s="189"/>
      <c r="I253" s="189"/>
      <c r="J253" s="189"/>
      <c r="K253" s="189"/>
      <c r="L253" s="189"/>
      <c r="M253" s="190"/>
    </row>
    <row r="254" spans="2:13" s="235" customFormat="1">
      <c r="B254" s="198"/>
      <c r="C254" s="189"/>
      <c r="D254" s="199"/>
      <c r="E254" s="190"/>
      <c r="F254" s="189"/>
      <c r="G254" s="189"/>
      <c r="H254" s="189"/>
      <c r="I254" s="189"/>
      <c r="J254" s="189"/>
      <c r="K254" s="189"/>
      <c r="L254" s="189"/>
      <c r="M254" s="190"/>
    </row>
    <row r="255" spans="2:13" s="235" customFormat="1">
      <c r="B255" s="198"/>
      <c r="C255" s="189"/>
      <c r="D255" s="199"/>
      <c r="E255" s="190"/>
      <c r="F255" s="189"/>
      <c r="G255" s="189"/>
      <c r="H255" s="189"/>
      <c r="I255" s="189"/>
      <c r="J255" s="189"/>
      <c r="K255" s="189"/>
      <c r="L255" s="189"/>
      <c r="M255" s="190"/>
    </row>
    <row r="256" spans="2:13" s="235" customFormat="1">
      <c r="B256" s="198"/>
      <c r="C256" s="189"/>
      <c r="D256" s="199"/>
      <c r="E256" s="190"/>
      <c r="F256" s="189"/>
      <c r="G256" s="189"/>
      <c r="H256" s="189"/>
      <c r="I256" s="189"/>
      <c r="J256" s="189"/>
      <c r="K256" s="189"/>
      <c r="L256" s="189"/>
      <c r="M256" s="190"/>
    </row>
    <row r="257" spans="2:13" s="235" customFormat="1">
      <c r="B257" s="198"/>
      <c r="C257" s="189"/>
      <c r="D257" s="199"/>
      <c r="E257" s="190"/>
      <c r="F257" s="189"/>
      <c r="G257" s="189"/>
      <c r="H257" s="189"/>
      <c r="I257" s="189"/>
      <c r="J257" s="189"/>
      <c r="K257" s="189"/>
      <c r="L257" s="189"/>
      <c r="M257" s="190"/>
    </row>
    <row r="258" spans="2:13" s="235" customFormat="1">
      <c r="B258" s="198"/>
      <c r="C258" s="189"/>
      <c r="D258" s="199"/>
      <c r="E258" s="190"/>
      <c r="F258" s="189"/>
      <c r="G258" s="189"/>
      <c r="H258" s="189"/>
      <c r="I258" s="189"/>
      <c r="J258" s="189"/>
      <c r="K258" s="189"/>
      <c r="L258" s="189"/>
      <c r="M258" s="190"/>
    </row>
    <row r="259" spans="2:13" s="235" customFormat="1">
      <c r="B259" s="198"/>
      <c r="C259" s="189"/>
      <c r="D259" s="199"/>
      <c r="E259" s="190"/>
      <c r="F259" s="189"/>
      <c r="G259" s="189"/>
      <c r="H259" s="189"/>
      <c r="I259" s="189"/>
      <c r="J259" s="189"/>
      <c r="K259" s="189"/>
      <c r="L259" s="189"/>
      <c r="M259" s="190"/>
    </row>
    <row r="260" spans="2:13" s="235" customFormat="1">
      <c r="B260" s="198"/>
      <c r="C260" s="189"/>
      <c r="D260" s="199"/>
      <c r="E260" s="190"/>
      <c r="F260" s="189"/>
      <c r="G260" s="189"/>
      <c r="H260" s="189"/>
      <c r="I260" s="189"/>
      <c r="J260" s="189"/>
      <c r="K260" s="189"/>
      <c r="L260" s="189"/>
      <c r="M260" s="190"/>
    </row>
    <row r="261" spans="2:13" s="235" customFormat="1">
      <c r="B261" s="198"/>
      <c r="C261" s="189"/>
      <c r="D261" s="199"/>
      <c r="E261" s="190"/>
      <c r="F261" s="189"/>
      <c r="G261" s="189"/>
      <c r="H261" s="189"/>
      <c r="I261" s="189"/>
      <c r="J261" s="189"/>
      <c r="K261" s="189"/>
      <c r="L261" s="189"/>
      <c r="M261" s="190"/>
    </row>
    <row r="262" spans="2:13" s="235" customFormat="1">
      <c r="B262" s="198"/>
      <c r="C262" s="189"/>
      <c r="D262" s="199"/>
      <c r="E262" s="190"/>
      <c r="F262" s="189"/>
      <c r="G262" s="189"/>
      <c r="H262" s="189"/>
      <c r="I262" s="189"/>
      <c r="J262" s="189"/>
      <c r="K262" s="189"/>
      <c r="L262" s="189"/>
      <c r="M262" s="190"/>
    </row>
    <row r="263" spans="2:13" s="235" customFormat="1">
      <c r="B263" s="198"/>
      <c r="C263" s="189"/>
      <c r="D263" s="199"/>
      <c r="E263" s="190"/>
      <c r="F263" s="189"/>
      <c r="G263" s="189"/>
      <c r="H263" s="189"/>
      <c r="I263" s="189"/>
      <c r="J263" s="189"/>
      <c r="K263" s="189"/>
      <c r="L263" s="189"/>
      <c r="M263" s="190"/>
    </row>
    <row r="264" spans="2:13" s="235" customFormat="1">
      <c r="B264" s="198"/>
      <c r="C264" s="189"/>
      <c r="D264" s="199"/>
      <c r="E264" s="190"/>
      <c r="F264" s="189"/>
      <c r="G264" s="189"/>
      <c r="H264" s="189"/>
      <c r="I264" s="189"/>
      <c r="J264" s="189"/>
      <c r="K264" s="189"/>
      <c r="L264" s="189"/>
      <c r="M264" s="190"/>
    </row>
    <row r="265" spans="2:13" s="235" customFormat="1">
      <c r="B265" s="198"/>
      <c r="C265" s="189"/>
      <c r="D265" s="199"/>
      <c r="E265" s="190"/>
      <c r="F265" s="189"/>
      <c r="G265" s="189"/>
      <c r="H265" s="189"/>
      <c r="I265" s="189"/>
      <c r="J265" s="189"/>
      <c r="K265" s="189"/>
      <c r="L265" s="189"/>
      <c r="M265" s="190"/>
    </row>
    <row r="266" spans="2:13" s="235" customFormat="1">
      <c r="B266" s="198"/>
      <c r="C266" s="189"/>
      <c r="D266" s="199"/>
      <c r="E266" s="190"/>
      <c r="F266" s="189"/>
      <c r="G266" s="189"/>
      <c r="H266" s="189"/>
      <c r="I266" s="189"/>
      <c r="J266" s="189"/>
      <c r="K266" s="189"/>
      <c r="L266" s="189"/>
      <c r="M266" s="190"/>
    </row>
    <row r="267" spans="2:13" s="235" customFormat="1">
      <c r="B267" s="198"/>
      <c r="C267" s="189"/>
      <c r="D267" s="199"/>
      <c r="E267" s="190"/>
      <c r="F267" s="189"/>
      <c r="G267" s="189"/>
      <c r="H267" s="189"/>
      <c r="I267" s="189"/>
      <c r="J267" s="189"/>
      <c r="K267" s="189"/>
      <c r="L267" s="189"/>
      <c r="M267" s="190"/>
    </row>
    <row r="268" spans="2:13" s="235" customFormat="1">
      <c r="B268" s="198"/>
      <c r="C268" s="189"/>
      <c r="D268" s="199"/>
      <c r="E268" s="190"/>
      <c r="F268" s="189"/>
      <c r="G268" s="189"/>
      <c r="H268" s="189"/>
      <c r="I268" s="189"/>
      <c r="J268" s="189"/>
      <c r="K268" s="189"/>
      <c r="L268" s="189"/>
      <c r="M268" s="190"/>
    </row>
    <row r="269" spans="2:13" s="235" customFormat="1">
      <c r="B269" s="198"/>
      <c r="C269" s="189"/>
      <c r="D269" s="199"/>
      <c r="E269" s="190"/>
      <c r="F269" s="189"/>
      <c r="G269" s="189"/>
      <c r="H269" s="189"/>
      <c r="I269" s="189"/>
      <c r="J269" s="189"/>
      <c r="K269" s="189"/>
      <c r="L269" s="189"/>
      <c r="M269" s="190"/>
    </row>
    <row r="270" spans="2:13" s="235" customFormat="1">
      <c r="B270" s="198"/>
      <c r="C270" s="189"/>
      <c r="D270" s="199"/>
      <c r="E270" s="190"/>
      <c r="F270" s="189"/>
      <c r="G270" s="189"/>
      <c r="H270" s="189"/>
      <c r="I270" s="189"/>
      <c r="J270" s="189"/>
      <c r="K270" s="189"/>
      <c r="L270" s="189"/>
      <c r="M270" s="190"/>
    </row>
    <row r="271" spans="2:13" s="235" customFormat="1">
      <c r="B271" s="198"/>
      <c r="C271" s="189"/>
      <c r="D271" s="199"/>
      <c r="E271" s="190"/>
      <c r="F271" s="189"/>
      <c r="G271" s="189"/>
      <c r="H271" s="189"/>
      <c r="I271" s="189"/>
      <c r="J271" s="189"/>
      <c r="K271" s="189"/>
      <c r="L271" s="189"/>
      <c r="M271" s="190"/>
    </row>
    <row r="272" spans="2:13" s="235" customFormat="1">
      <c r="B272" s="198"/>
      <c r="C272" s="189"/>
      <c r="D272" s="199"/>
      <c r="E272" s="190"/>
      <c r="F272" s="189"/>
      <c r="G272" s="189"/>
      <c r="H272" s="189"/>
      <c r="I272" s="189"/>
      <c r="J272" s="189"/>
      <c r="K272" s="189"/>
      <c r="L272" s="189"/>
      <c r="M272" s="190"/>
    </row>
    <row r="273" spans="2:13" s="235" customFormat="1">
      <c r="B273" s="198"/>
      <c r="C273" s="189"/>
      <c r="D273" s="199"/>
      <c r="E273" s="190"/>
      <c r="F273" s="189"/>
      <c r="G273" s="189"/>
      <c r="H273" s="189"/>
      <c r="I273" s="189"/>
      <c r="J273" s="189"/>
      <c r="K273" s="189"/>
      <c r="L273" s="189"/>
      <c r="M273" s="190"/>
    </row>
    <row r="274" spans="2:13" s="235" customFormat="1">
      <c r="B274" s="198"/>
      <c r="C274" s="189"/>
      <c r="D274" s="199"/>
      <c r="E274" s="190"/>
      <c r="F274" s="189"/>
      <c r="G274" s="189"/>
      <c r="H274" s="189"/>
      <c r="I274" s="189"/>
      <c r="J274" s="189"/>
      <c r="K274" s="189"/>
      <c r="L274" s="189"/>
      <c r="M274" s="190"/>
    </row>
    <row r="275" spans="2:13" s="235" customFormat="1">
      <c r="B275" s="198"/>
      <c r="C275" s="189"/>
      <c r="D275" s="199"/>
      <c r="E275" s="190"/>
      <c r="F275" s="189"/>
      <c r="G275" s="189"/>
      <c r="H275" s="189"/>
      <c r="I275" s="189"/>
      <c r="J275" s="189"/>
      <c r="K275" s="189"/>
      <c r="L275" s="189"/>
      <c r="M275" s="190"/>
    </row>
    <row r="276" spans="2:13" s="235" customFormat="1">
      <c r="B276" s="198"/>
      <c r="C276" s="189"/>
      <c r="D276" s="199"/>
      <c r="E276" s="190"/>
      <c r="F276" s="189"/>
      <c r="G276" s="189"/>
      <c r="H276" s="189"/>
      <c r="I276" s="189"/>
      <c r="J276" s="189"/>
      <c r="K276" s="189"/>
      <c r="L276" s="189"/>
      <c r="M276" s="190"/>
    </row>
    <row r="277" spans="2:13" s="235" customFormat="1">
      <c r="B277" s="198"/>
      <c r="C277" s="189"/>
      <c r="D277" s="199"/>
      <c r="E277" s="190"/>
      <c r="F277" s="189"/>
      <c r="G277" s="189"/>
      <c r="H277" s="189"/>
      <c r="I277" s="189"/>
      <c r="J277" s="189"/>
      <c r="K277" s="189"/>
      <c r="L277" s="189"/>
      <c r="M277" s="190"/>
    </row>
    <row r="278" spans="2:13" s="235" customFormat="1">
      <c r="B278" s="198"/>
      <c r="C278" s="189"/>
      <c r="D278" s="199"/>
      <c r="E278" s="190"/>
      <c r="F278" s="189"/>
      <c r="G278" s="189"/>
      <c r="H278" s="189"/>
      <c r="I278" s="189"/>
      <c r="J278" s="189"/>
      <c r="K278" s="189"/>
      <c r="L278" s="189"/>
      <c r="M278" s="190"/>
    </row>
    <row r="279" spans="2:13" s="235" customFormat="1">
      <c r="B279" s="198"/>
      <c r="C279" s="189"/>
      <c r="D279" s="199"/>
      <c r="E279" s="190"/>
      <c r="F279" s="189"/>
      <c r="G279" s="189"/>
      <c r="H279" s="189"/>
      <c r="I279" s="189"/>
      <c r="J279" s="189"/>
      <c r="K279" s="189"/>
      <c r="L279" s="189"/>
      <c r="M279" s="190"/>
    </row>
    <row r="280" spans="2:13" s="235" customFormat="1">
      <c r="B280" s="198"/>
      <c r="C280" s="189"/>
      <c r="D280" s="199"/>
      <c r="E280" s="190"/>
      <c r="F280" s="189"/>
      <c r="G280" s="189"/>
      <c r="H280" s="189"/>
      <c r="I280" s="189"/>
      <c r="J280" s="189"/>
      <c r="K280" s="189"/>
      <c r="L280" s="189"/>
      <c r="M280" s="190"/>
    </row>
    <row r="281" spans="2:13" s="235" customFormat="1">
      <c r="B281" s="198"/>
      <c r="C281" s="189"/>
      <c r="D281" s="199"/>
      <c r="E281" s="190"/>
      <c r="F281" s="189"/>
      <c r="G281" s="189"/>
      <c r="H281" s="189"/>
      <c r="I281" s="189"/>
      <c r="J281" s="189"/>
      <c r="K281" s="189"/>
      <c r="L281" s="189"/>
      <c r="M281" s="190"/>
    </row>
    <row r="282" spans="2:13" s="235" customFormat="1">
      <c r="B282" s="198"/>
      <c r="C282" s="189"/>
      <c r="D282" s="199"/>
      <c r="E282" s="190"/>
      <c r="F282" s="189"/>
      <c r="G282" s="189"/>
      <c r="H282" s="189"/>
      <c r="I282" s="189"/>
      <c r="J282" s="189"/>
      <c r="K282" s="189"/>
      <c r="L282" s="189"/>
      <c r="M282" s="190"/>
    </row>
    <row r="283" spans="2:13" s="235" customFormat="1">
      <c r="B283" s="198"/>
      <c r="C283" s="189"/>
      <c r="D283" s="199"/>
      <c r="E283" s="190"/>
      <c r="F283" s="189"/>
      <c r="G283" s="189"/>
      <c r="H283" s="189"/>
      <c r="I283" s="189"/>
      <c r="J283" s="189"/>
      <c r="K283" s="189"/>
      <c r="L283" s="189"/>
      <c r="M283" s="190"/>
    </row>
    <row r="284" spans="2:13" s="235" customFormat="1">
      <c r="B284" s="198"/>
      <c r="C284" s="189"/>
      <c r="D284" s="199"/>
      <c r="E284" s="190"/>
      <c r="F284" s="189"/>
      <c r="G284" s="189"/>
      <c r="H284" s="189"/>
      <c r="I284" s="189"/>
      <c r="J284" s="189"/>
      <c r="K284" s="189"/>
      <c r="L284" s="189"/>
      <c r="M284" s="190"/>
    </row>
    <row r="285" spans="2:13" s="235" customFormat="1">
      <c r="B285" s="198"/>
      <c r="C285" s="189"/>
      <c r="D285" s="199"/>
      <c r="E285" s="190"/>
      <c r="F285" s="189"/>
      <c r="G285" s="189"/>
      <c r="H285" s="189"/>
      <c r="I285" s="189"/>
      <c r="J285" s="189"/>
      <c r="K285" s="189"/>
      <c r="L285" s="189"/>
      <c r="M285" s="190"/>
    </row>
    <row r="286" spans="2:13" s="235" customFormat="1">
      <c r="B286" s="198"/>
      <c r="C286" s="189"/>
      <c r="D286" s="199"/>
      <c r="E286" s="190"/>
      <c r="F286" s="189"/>
      <c r="G286" s="189"/>
      <c r="H286" s="189"/>
      <c r="I286" s="189"/>
      <c r="J286" s="189"/>
      <c r="K286" s="189"/>
      <c r="L286" s="189"/>
      <c r="M286" s="190"/>
    </row>
    <row r="287" spans="2:13" s="235" customFormat="1">
      <c r="B287" s="198"/>
      <c r="C287" s="189"/>
      <c r="D287" s="199"/>
      <c r="E287" s="190"/>
      <c r="F287" s="189"/>
      <c r="G287" s="189"/>
      <c r="H287" s="189"/>
      <c r="I287" s="189"/>
      <c r="J287" s="189"/>
      <c r="K287" s="189"/>
      <c r="L287" s="189"/>
      <c r="M287" s="190"/>
    </row>
    <row r="288" spans="2:13" s="235" customFormat="1">
      <c r="B288" s="198"/>
      <c r="C288" s="189"/>
      <c r="D288" s="199"/>
      <c r="E288" s="190"/>
      <c r="F288" s="189"/>
      <c r="G288" s="189"/>
      <c r="H288" s="189"/>
      <c r="I288" s="189"/>
      <c r="J288" s="189"/>
      <c r="K288" s="189"/>
      <c r="L288" s="189"/>
      <c r="M288" s="190"/>
    </row>
  </sheetData>
  <mergeCells count="20">
    <mergeCell ref="E11:H11"/>
    <mergeCell ref="A12:A13"/>
    <mergeCell ref="B12:B13"/>
    <mergeCell ref="C12:C13"/>
    <mergeCell ref="D12:D13"/>
    <mergeCell ref="E12:E13"/>
    <mergeCell ref="F12:F13"/>
    <mergeCell ref="K82:M82"/>
    <mergeCell ref="L12:L13"/>
    <mergeCell ref="B61:M61"/>
    <mergeCell ref="B67:M67"/>
    <mergeCell ref="K80:M81"/>
    <mergeCell ref="G12:G13"/>
    <mergeCell ref="I12:I13"/>
    <mergeCell ref="J12:J13"/>
    <mergeCell ref="K12:K13"/>
    <mergeCell ref="H12:H13"/>
    <mergeCell ref="M12:M13"/>
    <mergeCell ref="A15:M15"/>
    <mergeCell ref="B76:M76"/>
  </mergeCells>
  <phoneticPr fontId="35" type="noConversion"/>
  <pageMargins left="0.7" right="0.7" top="0.75" bottom="0.75" header="0.3" footer="0.3"/>
  <pageSetup scale="39" orientation="landscape" horizontalDpi="300" verticalDpi="300" r:id="rId1"/>
  <colBreaks count="1" manualBreakCount="1">
    <brk id="1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2:N42"/>
  <sheetViews>
    <sheetView topLeftCell="A20" zoomScaleNormal="100" zoomScaleSheetLayoutView="75" workbookViewId="0">
      <selection activeCell="F5" sqref="F5"/>
    </sheetView>
  </sheetViews>
  <sheetFormatPr defaultColWidth="9" defaultRowHeight="18.75"/>
  <cols>
    <col min="1" max="1" width="9" style="86" customWidth="1"/>
    <col min="2" max="2" width="41.28515625" style="86" customWidth="1"/>
    <col min="3" max="3" width="9" style="86" customWidth="1"/>
    <col min="4" max="4" width="16.7109375" style="86" customWidth="1"/>
    <col min="5" max="5" width="9" style="86" customWidth="1"/>
    <col min="6" max="6" width="15.140625" style="86" customWidth="1"/>
    <col min="7" max="7" width="15.42578125" style="86" customWidth="1"/>
    <col min="8" max="8" width="15.140625" style="86" customWidth="1"/>
    <col min="9" max="9" width="13.42578125" style="86" customWidth="1"/>
    <col min="10" max="10" width="13.85546875" style="86" customWidth="1"/>
    <col min="11" max="13" width="9" style="86" customWidth="1"/>
    <col min="14" max="14" width="14.28515625" style="86" customWidth="1"/>
    <col min="15" max="16384" width="9" style="86"/>
  </cols>
  <sheetData>
    <row r="2" spans="1:11">
      <c r="A2" s="87" t="s">
        <v>333</v>
      </c>
      <c r="B2" s="87"/>
      <c r="C2" s="87"/>
      <c r="D2" s="87"/>
      <c r="E2" s="84"/>
      <c r="F2" s="85"/>
    </row>
    <row r="3" spans="1:11">
      <c r="A3" s="87" t="s">
        <v>334</v>
      </c>
      <c r="B3" s="87"/>
      <c r="C3" s="87"/>
      <c r="D3" s="87"/>
      <c r="E3" s="84"/>
      <c r="F3" s="85"/>
    </row>
    <row r="4" spans="1:11">
      <c r="A4" s="87" t="s">
        <v>335</v>
      </c>
      <c r="B4" s="87"/>
      <c r="C4" s="87"/>
      <c r="D4" s="87"/>
      <c r="E4" s="84"/>
      <c r="F4" s="85"/>
    </row>
    <row r="5" spans="1:11">
      <c r="A5" s="87" t="s">
        <v>408</v>
      </c>
      <c r="B5" s="87"/>
      <c r="C5" s="87"/>
      <c r="D5" s="87"/>
      <c r="E5" s="84"/>
      <c r="F5" s="85"/>
    </row>
    <row r="6" spans="1:11">
      <c r="A6" s="87" t="s">
        <v>336</v>
      </c>
      <c r="B6" s="87"/>
      <c r="C6" s="87"/>
      <c r="D6" s="87"/>
      <c r="E6" s="84"/>
      <c r="F6" s="85"/>
    </row>
    <row r="7" spans="1:11">
      <c r="A7" s="87" t="s">
        <v>337</v>
      </c>
      <c r="B7" s="87"/>
      <c r="C7" s="87"/>
      <c r="D7" s="87"/>
      <c r="E7" s="84"/>
      <c r="F7" s="85"/>
    </row>
    <row r="9" spans="1:11">
      <c r="A9" s="542" t="s">
        <v>662</v>
      </c>
      <c r="B9" s="542"/>
      <c r="C9" s="542"/>
      <c r="D9" s="542"/>
      <c r="E9" s="542"/>
      <c r="F9" s="542"/>
      <c r="G9" s="542"/>
      <c r="H9" s="542"/>
      <c r="I9" s="542"/>
      <c r="J9" s="542"/>
      <c r="K9" s="542"/>
    </row>
    <row r="10" spans="1:11">
      <c r="A10" s="116"/>
      <c r="B10" s="116"/>
      <c r="C10" s="116"/>
      <c r="D10" s="116"/>
      <c r="E10" s="116"/>
      <c r="F10" s="116"/>
      <c r="G10" s="116"/>
      <c r="H10" s="116"/>
      <c r="I10" s="116"/>
      <c r="J10" s="116"/>
      <c r="K10" s="116"/>
    </row>
    <row r="11" spans="1:11" ht="19.5" thickBot="1">
      <c r="A11" s="116"/>
      <c r="B11" s="116"/>
      <c r="C11" s="116"/>
      <c r="D11" s="116"/>
      <c r="E11" s="116"/>
      <c r="F11" s="116"/>
      <c r="G11" s="116"/>
      <c r="H11" s="116"/>
      <c r="I11" s="116"/>
      <c r="J11" s="116"/>
      <c r="K11" s="116"/>
    </row>
    <row r="12" spans="1:11">
      <c r="A12" s="543" t="s">
        <v>424</v>
      </c>
      <c r="B12" s="545" t="s">
        <v>425</v>
      </c>
      <c r="C12" s="545" t="s">
        <v>426</v>
      </c>
      <c r="D12" s="545" t="s">
        <v>341</v>
      </c>
      <c r="E12" s="547" t="s">
        <v>427</v>
      </c>
      <c r="F12" s="545" t="s">
        <v>428</v>
      </c>
      <c r="G12" s="545" t="s">
        <v>429</v>
      </c>
      <c r="H12" s="545" t="s">
        <v>430</v>
      </c>
      <c r="I12" s="545" t="s">
        <v>431</v>
      </c>
      <c r="J12" s="558" t="s">
        <v>432</v>
      </c>
      <c r="K12" s="116"/>
    </row>
    <row r="13" spans="1:11" ht="51.75" customHeight="1">
      <c r="A13" s="544"/>
      <c r="B13" s="546"/>
      <c r="C13" s="546"/>
      <c r="D13" s="546"/>
      <c r="E13" s="548"/>
      <c r="F13" s="546"/>
      <c r="G13" s="546"/>
      <c r="H13" s="546"/>
      <c r="I13" s="546"/>
      <c r="J13" s="559"/>
      <c r="K13" s="116"/>
    </row>
    <row r="14" spans="1:11">
      <c r="A14" s="284">
        <v>1</v>
      </c>
      <c r="B14" s="285">
        <v>2</v>
      </c>
      <c r="C14" s="286">
        <v>3</v>
      </c>
      <c r="D14" s="287">
        <v>4</v>
      </c>
      <c r="E14" s="288">
        <v>5</v>
      </c>
      <c r="F14" s="287">
        <v>6</v>
      </c>
      <c r="G14" s="287">
        <v>7</v>
      </c>
      <c r="H14" s="287">
        <v>8</v>
      </c>
      <c r="I14" s="287">
        <v>9</v>
      </c>
      <c r="J14" s="289">
        <v>10</v>
      </c>
      <c r="K14" s="116"/>
    </row>
    <row r="15" spans="1:11">
      <c r="A15" s="290" t="s">
        <v>433</v>
      </c>
      <c r="B15" s="552" t="s">
        <v>434</v>
      </c>
      <c r="C15" s="553"/>
      <c r="D15" s="553"/>
      <c r="E15" s="553"/>
      <c r="F15" s="553"/>
      <c r="G15" s="553"/>
      <c r="H15" s="553"/>
      <c r="I15" s="553"/>
      <c r="J15" s="554"/>
      <c r="K15" s="116"/>
    </row>
    <row r="16" spans="1:11">
      <c r="A16" s="291" t="s">
        <v>350</v>
      </c>
      <c r="B16" s="555" t="s">
        <v>435</v>
      </c>
      <c r="C16" s="556"/>
      <c r="D16" s="556"/>
      <c r="E16" s="556"/>
      <c r="F16" s="556"/>
      <c r="G16" s="556"/>
      <c r="H16" s="556"/>
      <c r="I16" s="556"/>
      <c r="J16" s="557"/>
      <c r="K16" s="116"/>
    </row>
    <row r="17" spans="1:14" ht="31.5">
      <c r="A17" s="314">
        <v>1</v>
      </c>
      <c r="B17" s="292" t="s">
        <v>436</v>
      </c>
      <c r="C17" s="293" t="s">
        <v>354</v>
      </c>
      <c r="D17" s="293" t="s">
        <v>632</v>
      </c>
      <c r="E17" s="293">
        <v>100</v>
      </c>
      <c r="F17" s="294">
        <v>100000</v>
      </c>
      <c r="G17" s="295">
        <v>100600</v>
      </c>
      <c r="H17" s="295">
        <v>100352.97</v>
      </c>
      <c r="I17" s="296">
        <v>0.15384600000000001</v>
      </c>
      <c r="J17" s="309">
        <v>0.48420000000000002</v>
      </c>
      <c r="K17" s="116"/>
    </row>
    <row r="18" spans="1:14" ht="42" customHeight="1">
      <c r="A18" s="314">
        <v>2</v>
      </c>
      <c r="B18" s="292" t="s">
        <v>436</v>
      </c>
      <c r="C18" s="293" t="s">
        <v>354</v>
      </c>
      <c r="D18" s="293" t="s">
        <v>598</v>
      </c>
      <c r="E18" s="293">
        <v>30000</v>
      </c>
      <c r="F18" s="294">
        <v>6000</v>
      </c>
      <c r="G18" s="295">
        <v>4910.91</v>
      </c>
      <c r="H18" s="295">
        <v>5892</v>
      </c>
      <c r="I18" s="296">
        <v>3.671E-2</v>
      </c>
      <c r="J18" s="309">
        <v>2.8428999999999999E-2</v>
      </c>
      <c r="K18" s="116"/>
    </row>
    <row r="19" spans="1:14" ht="31.5">
      <c r="A19" s="314">
        <v>3</v>
      </c>
      <c r="B19" s="292" t="s">
        <v>437</v>
      </c>
      <c r="C19" s="293" t="s">
        <v>354</v>
      </c>
      <c r="D19" s="293" t="s">
        <v>438</v>
      </c>
      <c r="E19" s="293">
        <v>30000</v>
      </c>
      <c r="F19" s="294">
        <v>27000</v>
      </c>
      <c r="G19" s="295">
        <v>13273.27</v>
      </c>
      <c r="H19" s="295">
        <v>20250</v>
      </c>
      <c r="I19" s="296">
        <v>7.3593000000000006E-2</v>
      </c>
      <c r="J19" s="309">
        <v>9.7706000000000001E-2</v>
      </c>
      <c r="K19" s="116"/>
    </row>
    <row r="20" spans="1:14" ht="31.5">
      <c r="A20" s="314">
        <v>4</v>
      </c>
      <c r="B20" s="292" t="s">
        <v>437</v>
      </c>
      <c r="C20" s="293" t="s">
        <v>354</v>
      </c>
      <c r="D20" s="293" t="s">
        <v>439</v>
      </c>
      <c r="E20" s="293">
        <v>35000</v>
      </c>
      <c r="F20" s="294">
        <v>31500</v>
      </c>
      <c r="G20" s="295">
        <v>15907.77</v>
      </c>
      <c r="H20" s="295">
        <v>22932</v>
      </c>
      <c r="I20" s="296">
        <v>0.12558900000000001</v>
      </c>
      <c r="J20" s="309">
        <v>0.11064599999999999</v>
      </c>
      <c r="K20" s="116"/>
      <c r="N20" s="88"/>
    </row>
    <row r="21" spans="1:14" ht="31.5">
      <c r="A21" s="314">
        <v>5</v>
      </c>
      <c r="B21" s="292" t="s">
        <v>437</v>
      </c>
      <c r="C21" s="293" t="s">
        <v>354</v>
      </c>
      <c r="D21" s="293" t="s">
        <v>421</v>
      </c>
      <c r="E21" s="293">
        <v>20000</v>
      </c>
      <c r="F21" s="294">
        <v>18000</v>
      </c>
      <c r="G21" s="295">
        <v>6616.78</v>
      </c>
      <c r="H21" s="295">
        <v>13142</v>
      </c>
      <c r="I21" s="296">
        <v>2.4830999999999999E-2</v>
      </c>
      <c r="J21" s="309">
        <v>6.3409999999999994E-2</v>
      </c>
      <c r="K21" s="116"/>
    </row>
    <row r="22" spans="1:14" ht="31.5">
      <c r="A22" s="314">
        <v>6</v>
      </c>
      <c r="B22" s="292" t="s">
        <v>627</v>
      </c>
      <c r="C22" s="293" t="s">
        <v>354</v>
      </c>
      <c r="D22" s="293" t="s">
        <v>628</v>
      </c>
      <c r="E22" s="293">
        <v>93546</v>
      </c>
      <c r="F22" s="294">
        <v>93546</v>
      </c>
      <c r="G22" s="295">
        <v>50192.61</v>
      </c>
      <c r="H22" s="295">
        <v>60542.97</v>
      </c>
      <c r="I22" s="296">
        <v>0.34263900000000003</v>
      </c>
      <c r="J22" s="309">
        <v>0.29211799999999999</v>
      </c>
      <c r="K22" s="116"/>
    </row>
    <row r="23" spans="1:14" ht="31.5">
      <c r="A23" s="438">
        <v>7</v>
      </c>
      <c r="B23" s="292" t="s">
        <v>627</v>
      </c>
      <c r="C23" s="293" t="s">
        <v>354</v>
      </c>
      <c r="D23" s="293" t="s">
        <v>665</v>
      </c>
      <c r="E23" s="293">
        <v>160100</v>
      </c>
      <c r="F23" s="294">
        <v>160100</v>
      </c>
      <c r="G23" s="295">
        <v>100221.21</v>
      </c>
      <c r="H23" s="295">
        <v>99486.14</v>
      </c>
      <c r="I23" s="296">
        <v>0.49743500000000002</v>
      </c>
      <c r="J23" s="309">
        <v>0.480018</v>
      </c>
      <c r="K23" s="116"/>
    </row>
    <row r="24" spans="1:14" ht="19.5" thickBot="1">
      <c r="A24" s="297">
        <v>4</v>
      </c>
      <c r="B24" s="549" t="s">
        <v>441</v>
      </c>
      <c r="C24" s="550"/>
      <c r="D24" s="550"/>
      <c r="E24" s="551"/>
      <c r="F24" s="298">
        <f>SUM(F17:F23)</f>
        <v>436146</v>
      </c>
      <c r="G24" s="298">
        <f>SUM(G17:G23)</f>
        <v>291722.55000000005</v>
      </c>
      <c r="H24" s="298">
        <f>SUM(H17:H23)</f>
        <v>322598.08</v>
      </c>
      <c r="I24" s="298"/>
      <c r="J24" s="299">
        <f>SUM(J17:J23)/100</f>
        <v>1.5565269999999999E-2</v>
      </c>
      <c r="K24" s="116"/>
    </row>
    <row r="25" spans="1:14">
      <c r="A25" s="116"/>
      <c r="B25" s="137"/>
      <c r="C25" s="137"/>
      <c r="D25" s="137"/>
      <c r="E25" s="137"/>
      <c r="F25" s="137"/>
      <c r="G25" s="137"/>
      <c r="H25" s="137"/>
      <c r="I25" s="137"/>
      <c r="J25" s="137"/>
      <c r="K25" s="116"/>
    </row>
    <row r="26" spans="1:14">
      <c r="A26" s="116"/>
      <c r="B26" s="137"/>
      <c r="C26" s="137"/>
      <c r="D26" s="137"/>
      <c r="E26" s="137"/>
      <c r="F26" s="137"/>
      <c r="G26" s="300"/>
      <c r="H26" s="300"/>
      <c r="I26" s="137"/>
      <c r="J26" s="301"/>
      <c r="K26" s="116"/>
    </row>
    <row r="27" spans="1:14">
      <c r="A27" s="116"/>
      <c r="B27" s="137"/>
      <c r="C27" s="137"/>
      <c r="D27" s="137"/>
      <c r="E27" s="137"/>
      <c r="F27" s="137"/>
      <c r="G27" s="137"/>
      <c r="H27" s="137"/>
      <c r="I27" s="137"/>
      <c r="J27" s="137"/>
      <c r="K27" s="116"/>
    </row>
    <row r="28" spans="1:14">
      <c r="A28" s="116"/>
      <c r="B28" s="116" t="s">
        <v>614</v>
      </c>
      <c r="C28" s="116"/>
      <c r="D28" s="116"/>
      <c r="E28" s="116"/>
      <c r="F28" s="116"/>
      <c r="G28" s="116"/>
      <c r="H28" s="116"/>
      <c r="I28" s="116"/>
      <c r="J28" s="116"/>
      <c r="K28" s="116"/>
    </row>
    <row r="29" spans="1:14" s="89" customFormat="1">
      <c r="A29" s="302"/>
      <c r="B29" s="303" t="s">
        <v>659</v>
      </c>
      <c r="C29" s="304" t="s">
        <v>422</v>
      </c>
      <c r="D29" s="304"/>
      <c r="E29" s="305"/>
      <c r="F29" s="302"/>
      <c r="G29" s="302" t="s">
        <v>442</v>
      </c>
      <c r="H29" s="302"/>
      <c r="I29" s="302"/>
      <c r="J29" s="302"/>
      <c r="K29" s="302"/>
    </row>
    <row r="30" spans="1:14" s="89" customFormat="1">
      <c r="A30" s="302"/>
      <c r="B30" s="303"/>
      <c r="C30" s="304" t="s">
        <v>635</v>
      </c>
      <c r="D30" s="304"/>
      <c r="E30" s="305"/>
      <c r="F30" s="302"/>
      <c r="G30" s="69" t="s">
        <v>406</v>
      </c>
      <c r="H30" s="302"/>
      <c r="I30" s="302"/>
      <c r="J30" s="302"/>
      <c r="K30" s="302"/>
    </row>
    <row r="31" spans="1:14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</row>
    <row r="32" spans="1:14">
      <c r="A32" s="116"/>
      <c r="B32" s="116"/>
      <c r="C32" s="116"/>
      <c r="D32" s="116"/>
      <c r="E32" s="116"/>
      <c r="F32" s="116"/>
      <c r="G32" s="116"/>
      <c r="H32" s="116"/>
      <c r="I32" s="116"/>
      <c r="J32" s="116"/>
      <c r="K32" s="116"/>
    </row>
    <row r="33" spans="1:11">
      <c r="A33" s="116"/>
      <c r="B33" s="116"/>
      <c r="C33" s="116"/>
      <c r="D33" s="116"/>
      <c r="E33" s="116"/>
      <c r="F33" s="116"/>
      <c r="G33" s="116"/>
      <c r="H33" s="116"/>
      <c r="I33" s="116"/>
      <c r="J33" s="116"/>
      <c r="K33" s="116"/>
    </row>
    <row r="34" spans="1:11">
      <c r="A34" s="116"/>
      <c r="B34" s="116"/>
      <c r="C34" s="116"/>
      <c r="D34" s="116"/>
      <c r="E34" s="116"/>
      <c r="F34" s="116"/>
      <c r="G34" s="116"/>
      <c r="H34" s="116"/>
      <c r="I34" s="116"/>
      <c r="J34" s="116"/>
      <c r="K34" s="116"/>
    </row>
    <row r="35" spans="1:11">
      <c r="A35" s="116"/>
      <c r="B35" s="116"/>
      <c r="C35" s="116"/>
      <c r="D35" s="116"/>
      <c r="E35" s="116"/>
      <c r="F35" s="116"/>
      <c r="G35" s="116"/>
      <c r="H35" s="116"/>
      <c r="I35" s="116"/>
      <c r="J35" s="116"/>
      <c r="K35" s="116"/>
    </row>
    <row r="36" spans="1:11">
      <c r="A36" s="116"/>
      <c r="B36" s="116"/>
      <c r="C36" s="116"/>
      <c r="D36" s="116"/>
      <c r="E36" s="116"/>
      <c r="F36" s="116"/>
      <c r="G36" s="116"/>
      <c r="H36" s="116"/>
      <c r="I36" s="116"/>
      <c r="J36" s="116"/>
      <c r="K36" s="116"/>
    </row>
    <row r="37" spans="1:11">
      <c r="A37" s="116"/>
      <c r="B37" s="116"/>
      <c r="C37" s="116"/>
      <c r="D37" s="116"/>
      <c r="E37" s="116"/>
      <c r="F37" s="116"/>
      <c r="G37" s="116"/>
      <c r="H37" s="116"/>
      <c r="I37" s="116"/>
      <c r="J37" s="116"/>
      <c r="K37" s="116"/>
    </row>
    <row r="38" spans="1:11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</row>
    <row r="39" spans="1:11">
      <c r="A39" s="116"/>
      <c r="B39" s="116"/>
      <c r="C39" s="116"/>
      <c r="D39" s="116"/>
      <c r="E39" s="116"/>
      <c r="F39" s="116"/>
      <c r="G39" s="116"/>
      <c r="H39" s="116"/>
      <c r="I39" s="116"/>
      <c r="J39" s="116"/>
      <c r="K39" s="116"/>
    </row>
    <row r="40" spans="1:11">
      <c r="A40" s="116"/>
      <c r="B40" s="116"/>
      <c r="C40" s="116"/>
      <c r="D40" s="116"/>
      <c r="E40" s="116"/>
      <c r="F40" s="116"/>
      <c r="G40" s="116"/>
      <c r="H40" s="116"/>
      <c r="I40" s="116"/>
      <c r="J40" s="116"/>
      <c r="K40" s="116"/>
    </row>
    <row r="41" spans="1:11">
      <c r="A41" s="116"/>
      <c r="B41" s="116"/>
      <c r="C41" s="116"/>
      <c r="D41" s="116"/>
      <c r="E41" s="116"/>
      <c r="F41" s="116"/>
      <c r="G41" s="116"/>
      <c r="H41" s="116"/>
      <c r="I41" s="116"/>
      <c r="J41" s="116"/>
      <c r="K41" s="116"/>
    </row>
    <row r="42" spans="1:11">
      <c r="A42" s="116"/>
      <c r="B42" s="116"/>
      <c r="C42" s="116"/>
      <c r="D42" s="116"/>
      <c r="E42" s="116"/>
      <c r="F42" s="116"/>
      <c r="G42" s="116"/>
      <c r="H42" s="116"/>
      <c r="I42" s="116"/>
      <c r="J42" s="116"/>
      <c r="K42" s="116"/>
    </row>
  </sheetData>
  <mergeCells count="14">
    <mergeCell ref="B24:E24"/>
    <mergeCell ref="I12:I13"/>
    <mergeCell ref="B15:J15"/>
    <mergeCell ref="B16:J16"/>
    <mergeCell ref="J12:J13"/>
    <mergeCell ref="A9:K9"/>
    <mergeCell ref="A12:A13"/>
    <mergeCell ref="B12:B13"/>
    <mergeCell ref="C12:C13"/>
    <mergeCell ref="D12:D13"/>
    <mergeCell ref="E12:E13"/>
    <mergeCell ref="F12:F13"/>
    <mergeCell ref="G12:G13"/>
    <mergeCell ref="H12:H13"/>
  </mergeCells>
  <phoneticPr fontId="0" type="noConversion"/>
  <pageMargins left="0.7" right="0.7" top="0.75" bottom="0.75" header="0.3" footer="0.3"/>
  <pageSetup scale="6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P35"/>
  <sheetViews>
    <sheetView topLeftCell="A17" workbookViewId="0">
      <selection activeCell="D23" sqref="D23"/>
    </sheetView>
  </sheetViews>
  <sheetFormatPr defaultRowHeight="18"/>
  <cols>
    <col min="1" max="1" width="22.42578125" style="90" customWidth="1"/>
    <col min="2" max="2" width="32.5703125" style="90" customWidth="1"/>
    <col min="3" max="3" width="23" style="90" customWidth="1"/>
    <col min="4" max="4" width="27.140625" style="90" customWidth="1"/>
    <col min="5" max="5" width="9.140625" style="90" customWidth="1"/>
    <col min="6" max="6" width="19.42578125" style="90" bestFit="1" customWidth="1"/>
    <col min="7" max="9" width="9.140625" style="90" customWidth="1"/>
    <col min="10" max="10" width="14.140625" style="90" bestFit="1" customWidth="1"/>
    <col min="11" max="14" width="9.140625" style="90" customWidth="1"/>
    <col min="15" max="15" width="14.140625" style="90" bestFit="1" customWidth="1"/>
    <col min="16" max="16" width="19.7109375" style="90" bestFit="1" customWidth="1"/>
    <col min="17" max="16384" width="9.140625" style="90"/>
  </cols>
  <sheetData>
    <row r="1" spans="1:10" ht="18.75">
      <c r="A1" s="87" t="s">
        <v>333</v>
      </c>
      <c r="B1" s="87"/>
      <c r="C1" s="87"/>
      <c r="D1" s="87"/>
      <c r="E1" s="84"/>
    </row>
    <row r="2" spans="1:10" ht="18.75">
      <c r="A2" s="87" t="s">
        <v>334</v>
      </c>
      <c r="B2" s="87"/>
      <c r="C2" s="87"/>
      <c r="D2" s="87"/>
      <c r="E2" s="84"/>
    </row>
    <row r="3" spans="1:10" ht="18.75">
      <c r="A3" s="87" t="s">
        <v>335</v>
      </c>
      <c r="B3" s="87"/>
      <c r="C3" s="87"/>
      <c r="D3" s="87"/>
      <c r="E3" s="84"/>
      <c r="F3" s="91"/>
      <c r="G3" s="91"/>
      <c r="H3" s="91"/>
      <c r="I3" s="91"/>
      <c r="J3" s="91"/>
    </row>
    <row r="4" spans="1:10" ht="18.75">
      <c r="A4" s="87" t="s">
        <v>408</v>
      </c>
      <c r="B4" s="87"/>
      <c r="C4" s="87"/>
      <c r="D4" s="87"/>
      <c r="E4" s="84"/>
      <c r="F4" s="91"/>
      <c r="G4" s="91"/>
      <c r="H4" s="91"/>
      <c r="I4" s="91"/>
      <c r="J4" s="91"/>
    </row>
    <row r="5" spans="1:10" ht="18.75">
      <c r="A5" s="87" t="s">
        <v>336</v>
      </c>
      <c r="B5" s="87"/>
      <c r="C5" s="87"/>
      <c r="D5" s="87"/>
      <c r="E5" s="84"/>
    </row>
    <row r="6" spans="1:10" ht="18.75">
      <c r="A6" s="87" t="s">
        <v>337</v>
      </c>
      <c r="B6" s="87"/>
      <c r="C6" s="87"/>
      <c r="D6" s="87"/>
      <c r="E6" s="84"/>
    </row>
    <row r="9" spans="1:10" ht="18.75">
      <c r="A9" s="562" t="s">
        <v>457</v>
      </c>
      <c r="B9" s="562"/>
      <c r="C9" s="562"/>
      <c r="D9" s="562"/>
    </row>
    <row r="10" spans="1:10" ht="18.75">
      <c r="A10" s="562" t="s">
        <v>663</v>
      </c>
      <c r="B10" s="562"/>
      <c r="C10" s="562"/>
      <c r="D10" s="562"/>
    </row>
    <row r="13" spans="1:10" ht="19.5" thickBot="1">
      <c r="A13" s="92"/>
    </row>
    <row r="14" spans="1:10" ht="37.5">
      <c r="A14" s="93" t="s">
        <v>443</v>
      </c>
      <c r="B14" s="94" t="s">
        <v>444</v>
      </c>
      <c r="C14" s="94" t="s">
        <v>445</v>
      </c>
      <c r="D14" s="95" t="s">
        <v>432</v>
      </c>
    </row>
    <row r="15" spans="1:10" ht="18.75">
      <c r="A15" s="96">
        <v>1</v>
      </c>
      <c r="B15" s="97">
        <v>2</v>
      </c>
      <c r="C15" s="97">
        <v>3</v>
      </c>
      <c r="D15" s="98">
        <v>4</v>
      </c>
    </row>
    <row r="16" spans="1:10" ht="18.75">
      <c r="A16" s="99" t="s">
        <v>350</v>
      </c>
      <c r="B16" s="100" t="s">
        <v>446</v>
      </c>
      <c r="C16" s="306">
        <v>18585993.75</v>
      </c>
      <c r="D16" s="101">
        <v>89.676900000000003</v>
      </c>
      <c r="F16" s="308"/>
    </row>
    <row r="17" spans="1:16" ht="18.75">
      <c r="A17" s="99" t="s">
        <v>440</v>
      </c>
      <c r="B17" s="100" t="s">
        <v>447</v>
      </c>
      <c r="C17" s="306">
        <v>322598.08</v>
      </c>
      <c r="D17" s="101">
        <v>1.5565</v>
      </c>
    </row>
    <row r="18" spans="1:16" ht="18.75">
      <c r="A18" s="99" t="s">
        <v>448</v>
      </c>
      <c r="B18" s="100" t="s">
        <v>449</v>
      </c>
      <c r="C18" s="306">
        <v>0</v>
      </c>
      <c r="D18" s="101">
        <v>0</v>
      </c>
    </row>
    <row r="19" spans="1:16" ht="18.75">
      <c r="A19" s="99" t="s">
        <v>450</v>
      </c>
      <c r="B19" s="100" t="s">
        <v>451</v>
      </c>
      <c r="C19" s="306">
        <v>500000</v>
      </c>
      <c r="D19" s="101">
        <v>2.4125000000000001</v>
      </c>
    </row>
    <row r="20" spans="1:16" ht="37.5">
      <c r="A20" s="99" t="s">
        <v>452</v>
      </c>
      <c r="B20" s="100" t="s">
        <v>453</v>
      </c>
      <c r="C20" s="306">
        <v>480484.14</v>
      </c>
      <c r="D20" s="101">
        <v>2.3182999999999998</v>
      </c>
    </row>
    <row r="21" spans="1:16" ht="18.75">
      <c r="A21" s="99" t="s">
        <v>454</v>
      </c>
      <c r="B21" s="100" t="s">
        <v>455</v>
      </c>
      <c r="C21" s="306">
        <v>0</v>
      </c>
      <c r="D21" s="101">
        <f>+C21/$C$22*100</f>
        <v>0</v>
      </c>
      <c r="O21" s="119"/>
    </row>
    <row r="22" spans="1:16" ht="19.5" thickBot="1">
      <c r="A22" s="102"/>
      <c r="B22" s="103" t="s">
        <v>456</v>
      </c>
      <c r="C22" s="307">
        <f>SUM(C16:C21)</f>
        <v>19889075.969999999</v>
      </c>
      <c r="D22" s="104">
        <f>SUM(D16:D21)+0.0001</f>
        <v>95.964299999999994</v>
      </c>
    </row>
    <row r="23" spans="1:16">
      <c r="P23" s="119"/>
    </row>
    <row r="24" spans="1:16">
      <c r="C24" s="105"/>
      <c r="D24" s="124"/>
    </row>
    <row r="25" spans="1:16">
      <c r="C25" s="106"/>
    </row>
    <row r="26" spans="1:16" ht="18.75">
      <c r="A26" s="84" t="s">
        <v>422</v>
      </c>
      <c r="C26" s="563" t="s">
        <v>603</v>
      </c>
      <c r="D26" s="563"/>
      <c r="E26" s="563"/>
    </row>
    <row r="27" spans="1:16" ht="18.75">
      <c r="A27" s="84" t="s">
        <v>636</v>
      </c>
      <c r="C27" s="563"/>
      <c r="D27" s="563"/>
      <c r="E27" s="563"/>
    </row>
    <row r="28" spans="1:16" ht="18.75">
      <c r="C28" s="564" t="s">
        <v>406</v>
      </c>
      <c r="D28" s="564"/>
      <c r="E28" s="564"/>
    </row>
    <row r="29" spans="1:16" ht="18.75">
      <c r="A29" s="86"/>
      <c r="B29" s="86"/>
      <c r="C29" s="86"/>
      <c r="D29" s="86"/>
      <c r="E29" s="86"/>
      <c r="F29" s="86"/>
      <c r="G29" s="86"/>
      <c r="H29" s="86"/>
      <c r="I29" s="86"/>
      <c r="J29" s="86"/>
      <c r="K29" s="86"/>
    </row>
    <row r="30" spans="1:16" ht="18.75">
      <c r="A30" s="86"/>
      <c r="B30" s="86"/>
      <c r="C30" s="560"/>
      <c r="G30" s="86"/>
      <c r="H30" s="86"/>
      <c r="I30" s="86"/>
      <c r="J30" s="86"/>
      <c r="K30" s="86"/>
    </row>
    <row r="31" spans="1:16" ht="18.75">
      <c r="A31" s="565" t="s">
        <v>664</v>
      </c>
      <c r="B31" s="565"/>
      <c r="C31" s="561"/>
      <c r="G31" s="86"/>
      <c r="H31" s="86"/>
    </row>
    <row r="32" spans="1:16" ht="18.75">
      <c r="A32" s="86"/>
      <c r="B32" s="86"/>
      <c r="C32" s="85"/>
      <c r="G32" s="86"/>
      <c r="H32" s="86"/>
    </row>
    <row r="33" spans="1:11" ht="18.75">
      <c r="C33" s="86"/>
      <c r="D33" s="125"/>
      <c r="E33" s="86"/>
      <c r="F33" s="86"/>
      <c r="G33" s="86"/>
      <c r="H33" s="86"/>
    </row>
    <row r="34" spans="1:11" ht="18.75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</row>
    <row r="35" spans="1:11" ht="18.75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</row>
  </sheetData>
  <mergeCells count="6">
    <mergeCell ref="C30:C31"/>
    <mergeCell ref="A9:D9"/>
    <mergeCell ref="A10:D10"/>
    <mergeCell ref="C26:E27"/>
    <mergeCell ref="C28:E28"/>
    <mergeCell ref="A31:B31"/>
  </mergeCells>
  <phoneticPr fontId="0" type="noConversion"/>
  <pageMargins left="1.61" right="0.7" top="0.67" bottom="0.75" header="0.3" footer="0.3"/>
  <pageSetup scale="7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</sheetPr>
  <dimension ref="A2:O118"/>
  <sheetViews>
    <sheetView topLeftCell="A92" zoomScaleNormal="100" workbookViewId="0">
      <selection activeCell="E117" sqref="E117"/>
    </sheetView>
  </sheetViews>
  <sheetFormatPr defaultRowHeight="15"/>
  <cols>
    <col min="1" max="1" width="10.5703125" bestFit="1" customWidth="1"/>
    <col min="2" max="2" width="24.28515625" customWidth="1"/>
    <col min="3" max="3" width="11.140625" bestFit="1" customWidth="1"/>
    <col min="4" max="4" width="17.140625" customWidth="1"/>
    <col min="5" max="5" width="14.85546875" customWidth="1"/>
    <col min="6" max="6" width="18.85546875" customWidth="1"/>
    <col min="7" max="7" width="10.28515625" bestFit="1" customWidth="1"/>
  </cols>
  <sheetData>
    <row r="2" spans="1:6">
      <c r="A2" s="19" t="s">
        <v>333</v>
      </c>
      <c r="B2" s="19"/>
      <c r="C2" s="19"/>
      <c r="D2" s="19"/>
      <c r="E2" s="65"/>
      <c r="F2" s="16"/>
    </row>
    <row r="3" spans="1:6">
      <c r="A3" s="19" t="s">
        <v>334</v>
      </c>
      <c r="B3" s="19"/>
      <c r="C3" s="19"/>
      <c r="D3" s="19"/>
      <c r="E3" s="65"/>
      <c r="F3" s="16"/>
    </row>
    <row r="4" spans="1:6">
      <c r="A4" s="19" t="s">
        <v>335</v>
      </c>
      <c r="B4" s="19"/>
      <c r="C4" s="19"/>
      <c r="D4" s="19"/>
      <c r="E4" s="65"/>
      <c r="F4" s="16"/>
    </row>
    <row r="5" spans="1:6">
      <c r="A5" s="19" t="s">
        <v>408</v>
      </c>
      <c r="B5" s="19"/>
      <c r="C5" s="19"/>
      <c r="D5" s="19"/>
      <c r="E5" s="65"/>
      <c r="F5" s="16"/>
    </row>
    <row r="6" spans="1:6">
      <c r="A6" s="19" t="s">
        <v>336</v>
      </c>
      <c r="B6" s="19"/>
      <c r="C6" s="19"/>
      <c r="D6" s="158"/>
      <c r="E6" s="159"/>
    </row>
    <row r="7" spans="1:6">
      <c r="A7" s="19" t="s">
        <v>337</v>
      </c>
      <c r="B7" s="19"/>
      <c r="C7" s="19"/>
      <c r="D7" s="158"/>
      <c r="E7" s="159"/>
    </row>
    <row r="8" spans="1:6">
      <c r="A8" s="17"/>
      <c r="B8" s="17"/>
      <c r="C8" s="17"/>
    </row>
    <row r="9" spans="1:6">
      <c r="A9" s="17"/>
      <c r="B9" s="17"/>
      <c r="C9" s="17"/>
    </row>
    <row r="10" spans="1:6">
      <c r="A10" s="588" t="s">
        <v>458</v>
      </c>
      <c r="B10" s="588"/>
      <c r="C10" s="588"/>
      <c r="D10" s="588"/>
      <c r="E10" s="588"/>
      <c r="F10" s="588"/>
    </row>
    <row r="11" spans="1:6">
      <c r="A11" s="588" t="s">
        <v>682</v>
      </c>
      <c r="B11" s="588"/>
      <c r="C11" s="588"/>
      <c r="D11" s="588"/>
      <c r="E11" s="588"/>
      <c r="F11" s="588"/>
    </row>
    <row r="12" spans="1:6" ht="15.75" thickBot="1">
      <c r="A12" s="23"/>
    </row>
    <row r="13" spans="1:6">
      <c r="A13" s="589" t="s">
        <v>459</v>
      </c>
      <c r="B13" s="591" t="s">
        <v>460</v>
      </c>
      <c r="C13" s="591" t="s">
        <v>461</v>
      </c>
      <c r="D13" s="593" t="s">
        <v>429</v>
      </c>
      <c r="E13" s="591" t="s">
        <v>462</v>
      </c>
      <c r="F13" s="595" t="s">
        <v>463</v>
      </c>
    </row>
    <row r="14" spans="1:6" ht="30.75" customHeight="1">
      <c r="A14" s="590"/>
      <c r="B14" s="592"/>
      <c r="C14" s="592"/>
      <c r="D14" s="594"/>
      <c r="E14" s="592"/>
      <c r="F14" s="596"/>
    </row>
    <row r="15" spans="1:6">
      <c r="A15" s="24">
        <v>1</v>
      </c>
      <c r="B15" s="25">
        <v>2</v>
      </c>
      <c r="C15" s="25">
        <v>3</v>
      </c>
      <c r="D15" s="25">
        <v>4</v>
      </c>
      <c r="E15" s="25">
        <v>5</v>
      </c>
      <c r="F15" s="26" t="s">
        <v>464</v>
      </c>
    </row>
    <row r="16" spans="1:6">
      <c r="A16" s="27"/>
      <c r="B16" s="28" t="s">
        <v>465</v>
      </c>
      <c r="C16" s="29" t="s">
        <v>218</v>
      </c>
      <c r="D16" s="29" t="s">
        <v>218</v>
      </c>
      <c r="E16" s="29" t="s">
        <v>218</v>
      </c>
      <c r="F16" s="30" t="s">
        <v>218</v>
      </c>
    </row>
    <row r="17" spans="1:8">
      <c r="A17" s="31"/>
      <c r="B17" s="32" t="s">
        <v>466</v>
      </c>
      <c r="C17" s="29" t="s">
        <v>218</v>
      </c>
      <c r="D17" s="29" t="s">
        <v>218</v>
      </c>
      <c r="E17" s="29" t="s">
        <v>218</v>
      </c>
      <c r="F17" s="30" t="s">
        <v>218</v>
      </c>
    </row>
    <row r="18" spans="1:8">
      <c r="A18" s="31"/>
      <c r="B18" s="28" t="s">
        <v>351</v>
      </c>
      <c r="C18" s="29"/>
      <c r="D18" s="29"/>
      <c r="E18" s="29"/>
      <c r="F18" s="30"/>
    </row>
    <row r="19" spans="1:8" hidden="1">
      <c r="A19" s="27"/>
      <c r="B19" s="28"/>
      <c r="C19" s="25"/>
      <c r="D19" s="160"/>
      <c r="E19" s="160"/>
      <c r="F19" s="35">
        <f>E19-D19</f>
        <v>0</v>
      </c>
    </row>
    <row r="20" spans="1:8" hidden="1">
      <c r="A20" s="27"/>
      <c r="B20" s="33"/>
      <c r="C20" s="25"/>
      <c r="D20" s="160"/>
      <c r="E20" s="160"/>
      <c r="F20" s="35"/>
      <c r="H20" s="157"/>
    </row>
    <row r="21" spans="1:8" hidden="1">
      <c r="A21" s="27"/>
      <c r="B21" s="28"/>
      <c r="C21" s="34"/>
      <c r="D21" s="161"/>
      <c r="E21" s="160"/>
      <c r="F21" s="35"/>
    </row>
    <row r="22" spans="1:8" hidden="1">
      <c r="A22" s="38"/>
      <c r="B22" s="36"/>
      <c r="C22" s="39"/>
      <c r="D22" s="161"/>
      <c r="E22" s="161"/>
      <c r="F22" s="40"/>
    </row>
    <row r="23" spans="1:8" hidden="1">
      <c r="A23" s="27"/>
      <c r="B23" s="28"/>
      <c r="C23" s="34"/>
      <c r="D23" s="160"/>
      <c r="E23" s="160"/>
      <c r="F23" s="35"/>
    </row>
    <row r="24" spans="1:8" hidden="1">
      <c r="A24" s="27"/>
      <c r="B24" s="36"/>
      <c r="C24" s="37"/>
      <c r="D24" s="161"/>
      <c r="E24" s="160"/>
      <c r="F24" s="35"/>
    </row>
    <row r="25" spans="1:8" hidden="1">
      <c r="A25" s="27"/>
      <c r="B25" s="36"/>
      <c r="C25" s="37"/>
      <c r="D25" s="161"/>
      <c r="E25" s="160"/>
      <c r="F25" s="35"/>
    </row>
    <row r="26" spans="1:8" hidden="1">
      <c r="A26" s="27"/>
      <c r="B26" s="36"/>
      <c r="C26" s="37"/>
      <c r="D26" s="161"/>
      <c r="E26" s="160"/>
      <c r="F26" s="35"/>
    </row>
    <row r="27" spans="1:8" hidden="1">
      <c r="A27" s="27"/>
      <c r="B27" s="36"/>
      <c r="C27" s="37"/>
      <c r="D27" s="161"/>
      <c r="E27" s="160"/>
      <c r="F27" s="35"/>
    </row>
    <row r="28" spans="1:8" hidden="1">
      <c r="A28" s="27"/>
      <c r="B28" s="28"/>
      <c r="C28" s="34"/>
      <c r="D28" s="160"/>
      <c r="E28" s="160"/>
      <c r="F28" s="35"/>
    </row>
    <row r="29" spans="1:8" hidden="1">
      <c r="A29" s="27"/>
      <c r="B29" s="36"/>
      <c r="C29" s="34"/>
      <c r="D29" s="160"/>
      <c r="E29" s="160"/>
      <c r="F29" s="35"/>
    </row>
    <row r="30" spans="1:8" hidden="1">
      <c r="A30" s="27"/>
      <c r="B30" s="36"/>
      <c r="C30" s="37"/>
      <c r="D30" s="161"/>
      <c r="E30" s="160"/>
      <c r="F30" s="35"/>
    </row>
    <row r="31" spans="1:8" hidden="1">
      <c r="A31" s="27"/>
      <c r="B31" s="36"/>
      <c r="C31" s="37"/>
      <c r="D31" s="161"/>
      <c r="E31" s="160"/>
      <c r="F31" s="35"/>
    </row>
    <row r="32" spans="1:8" hidden="1">
      <c r="A32" s="27"/>
      <c r="B32" s="36"/>
      <c r="C32" s="37"/>
      <c r="D32" s="161"/>
      <c r="E32" s="160"/>
      <c r="F32" s="35"/>
    </row>
    <row r="33" spans="1:15" hidden="1">
      <c r="A33" s="27"/>
      <c r="B33" s="36"/>
      <c r="C33" s="37"/>
      <c r="D33" s="161"/>
      <c r="E33" s="160"/>
      <c r="F33" s="35"/>
    </row>
    <row r="34" spans="1:15" hidden="1">
      <c r="A34" s="38"/>
      <c r="B34" s="36"/>
      <c r="C34" s="39"/>
      <c r="D34" s="161"/>
      <c r="E34" s="161"/>
      <c r="F34" s="40"/>
      <c r="G34" s="41"/>
    </row>
    <row r="35" spans="1:15" hidden="1">
      <c r="A35" s="27"/>
      <c r="B35" s="28"/>
      <c r="C35" s="34"/>
      <c r="D35" s="160"/>
      <c r="E35" s="160"/>
      <c r="F35" s="35"/>
    </row>
    <row r="36" spans="1:15" hidden="1">
      <c r="A36" s="27"/>
      <c r="B36" s="28"/>
      <c r="C36" s="34"/>
      <c r="D36" s="161"/>
      <c r="E36" s="161"/>
      <c r="F36" s="40"/>
    </row>
    <row r="37" spans="1:15" hidden="1">
      <c r="A37" s="27"/>
      <c r="B37" s="28"/>
      <c r="C37" s="34"/>
      <c r="D37" s="161"/>
      <c r="E37" s="161"/>
      <c r="F37" s="40"/>
    </row>
    <row r="38" spans="1:15" hidden="1">
      <c r="A38" s="27"/>
      <c r="B38" s="36"/>
      <c r="C38" s="37"/>
      <c r="D38" s="161"/>
      <c r="E38" s="160"/>
      <c r="F38" s="35"/>
    </row>
    <row r="39" spans="1:15" hidden="1">
      <c r="A39" s="42"/>
      <c r="B39" s="28"/>
      <c r="C39" s="34"/>
      <c r="D39" s="160"/>
      <c r="E39" s="160"/>
      <c r="F39" s="40"/>
    </row>
    <row r="40" spans="1:15" hidden="1">
      <c r="A40" s="27"/>
      <c r="B40" s="28"/>
      <c r="C40" s="34"/>
      <c r="D40" s="160"/>
      <c r="E40" s="160"/>
      <c r="F40" s="40"/>
    </row>
    <row r="41" spans="1:15" s="43" customFormat="1" hidden="1">
      <c r="A41" s="27"/>
      <c r="B41" s="36"/>
      <c r="C41" s="37"/>
      <c r="D41" s="161"/>
      <c r="E41" s="160"/>
      <c r="F41" s="35"/>
      <c r="G41"/>
      <c r="H41"/>
      <c r="I41"/>
      <c r="J41"/>
      <c r="K41"/>
      <c r="L41"/>
      <c r="M41"/>
      <c r="N41"/>
      <c r="O41"/>
    </row>
    <row r="42" spans="1:15" hidden="1">
      <c r="A42" s="27"/>
      <c r="B42" s="36"/>
      <c r="C42" s="37"/>
      <c r="D42" s="161"/>
      <c r="E42" s="160"/>
      <c r="F42" s="35"/>
    </row>
    <row r="43" spans="1:15" hidden="1">
      <c r="A43" s="27"/>
      <c r="B43" s="28"/>
      <c r="C43" s="34"/>
      <c r="D43" s="160"/>
      <c r="E43" s="160"/>
      <c r="F43" s="35"/>
    </row>
    <row r="44" spans="1:15" hidden="1">
      <c r="A44" s="27"/>
      <c r="B44" s="33"/>
      <c r="C44" s="34"/>
      <c r="D44" s="160"/>
      <c r="E44" s="160"/>
      <c r="F44" s="35"/>
    </row>
    <row r="45" spans="1:15" hidden="1">
      <c r="A45" s="27"/>
      <c r="B45" s="36"/>
      <c r="C45" s="34"/>
      <c r="D45" s="160"/>
      <c r="E45" s="160"/>
      <c r="F45" s="35"/>
    </row>
    <row r="46" spans="1:15" hidden="1">
      <c r="A46" s="27"/>
      <c r="B46" s="36"/>
      <c r="C46" s="37"/>
      <c r="D46" s="160"/>
      <c r="E46" s="160"/>
      <c r="F46" s="35"/>
    </row>
    <row r="47" spans="1:15" hidden="1">
      <c r="A47" s="27"/>
      <c r="B47" s="36"/>
      <c r="C47" s="37"/>
      <c r="D47" s="161"/>
      <c r="E47" s="160"/>
      <c r="F47" s="35"/>
    </row>
    <row r="48" spans="1:15" hidden="1">
      <c r="A48" s="27"/>
      <c r="B48" s="28"/>
      <c r="C48" s="34"/>
      <c r="D48" s="161"/>
      <c r="E48" s="161"/>
      <c r="F48" s="40"/>
      <c r="H48" s="44"/>
    </row>
    <row r="49" spans="1:15" hidden="1">
      <c r="A49" s="27"/>
      <c r="B49" s="28"/>
      <c r="C49" s="34"/>
      <c r="D49" s="160"/>
      <c r="E49" s="160"/>
      <c r="F49" s="35"/>
      <c r="H49" s="44"/>
    </row>
    <row r="50" spans="1:15" s="43" customFormat="1" hidden="1">
      <c r="A50" s="27"/>
      <c r="B50" s="28"/>
      <c r="C50" s="34"/>
      <c r="D50" s="160"/>
      <c r="E50" s="160"/>
      <c r="F50" s="40"/>
      <c r="G50"/>
      <c r="H50" s="44"/>
      <c r="I50"/>
      <c r="J50"/>
      <c r="K50"/>
      <c r="L50"/>
      <c r="M50"/>
      <c r="N50"/>
      <c r="O50"/>
    </row>
    <row r="51" spans="1:15" hidden="1">
      <c r="A51" s="27"/>
      <c r="B51" s="28"/>
      <c r="C51" s="34"/>
      <c r="D51" s="160"/>
      <c r="E51" s="160"/>
      <c r="F51" s="35"/>
      <c r="H51" s="44"/>
    </row>
    <row r="52" spans="1:15" hidden="1">
      <c r="A52" s="24"/>
      <c r="B52" s="28" t="s">
        <v>467</v>
      </c>
      <c r="C52" s="29"/>
      <c r="D52" s="160"/>
      <c r="E52" s="160"/>
      <c r="F52" s="35"/>
      <c r="H52" s="44"/>
    </row>
    <row r="53" spans="1:15" hidden="1">
      <c r="A53" s="24"/>
      <c r="B53" s="28" t="s">
        <v>468</v>
      </c>
      <c r="C53" s="29" t="s">
        <v>218</v>
      </c>
      <c r="D53" s="160" t="s">
        <v>218</v>
      </c>
      <c r="E53" s="160" t="s">
        <v>218</v>
      </c>
      <c r="F53" s="35" t="s">
        <v>218</v>
      </c>
      <c r="H53" s="44"/>
    </row>
    <row r="54" spans="1:15" hidden="1">
      <c r="A54" s="31"/>
      <c r="B54" s="32" t="s">
        <v>396</v>
      </c>
      <c r="C54" s="29" t="s">
        <v>218</v>
      </c>
      <c r="D54" s="160" t="s">
        <v>218</v>
      </c>
      <c r="E54" s="160" t="s">
        <v>218</v>
      </c>
      <c r="F54" s="35" t="s">
        <v>218</v>
      </c>
      <c r="H54" s="44"/>
    </row>
    <row r="55" spans="1:15" hidden="1">
      <c r="A55" s="24"/>
      <c r="B55" s="28" t="s">
        <v>351</v>
      </c>
      <c r="C55" s="29" t="s">
        <v>218</v>
      </c>
      <c r="D55" s="160" t="s">
        <v>218</v>
      </c>
      <c r="E55" s="160" t="s">
        <v>218</v>
      </c>
      <c r="F55" s="35" t="s">
        <v>218</v>
      </c>
      <c r="H55" s="44"/>
    </row>
    <row r="56" spans="1:15" hidden="1">
      <c r="A56" s="27"/>
      <c r="B56" s="33"/>
      <c r="C56" s="45"/>
      <c r="D56" s="161"/>
      <c r="E56" s="161"/>
      <c r="F56" s="40"/>
    </row>
    <row r="57" spans="1:15" hidden="1">
      <c r="A57" s="27"/>
      <c r="B57" s="33"/>
      <c r="C57" s="45"/>
      <c r="D57" s="162"/>
      <c r="E57" s="160"/>
      <c r="F57" s="35"/>
    </row>
    <row r="58" spans="1:15" hidden="1">
      <c r="A58" s="27"/>
      <c r="B58" s="33"/>
      <c r="C58" s="45"/>
      <c r="D58" s="162"/>
      <c r="E58" s="160"/>
      <c r="F58" s="35"/>
    </row>
    <row r="59" spans="1:15" hidden="1">
      <c r="A59" s="27"/>
      <c r="B59" s="33"/>
      <c r="C59" s="45"/>
      <c r="D59" s="162"/>
      <c r="E59" s="160"/>
      <c r="F59" s="35"/>
    </row>
    <row r="60" spans="1:15">
      <c r="A60" s="24"/>
      <c r="B60" s="28" t="s">
        <v>467</v>
      </c>
      <c r="C60" s="29"/>
      <c r="D60" s="160"/>
      <c r="E60" s="160"/>
      <c r="F60" s="35"/>
    </row>
    <row r="61" spans="1:15">
      <c r="A61" s="24"/>
      <c r="B61" s="28" t="s">
        <v>468</v>
      </c>
      <c r="C61" s="29" t="s">
        <v>218</v>
      </c>
      <c r="D61" s="160" t="s">
        <v>218</v>
      </c>
      <c r="E61" s="160" t="s">
        <v>218</v>
      </c>
      <c r="F61" s="35" t="s">
        <v>218</v>
      </c>
    </row>
    <row r="62" spans="1:15" ht="39">
      <c r="A62" s="474"/>
      <c r="B62" s="32" t="s">
        <v>469</v>
      </c>
      <c r="C62" s="475" t="s">
        <v>218</v>
      </c>
      <c r="D62" s="424">
        <v>8900.76</v>
      </c>
      <c r="E62" s="424">
        <v>14500</v>
      </c>
      <c r="F62" s="424">
        <f>+F64+F65+F66+F67+F68</f>
        <v>5599.24</v>
      </c>
      <c r="G62" s="41"/>
    </row>
    <row r="63" spans="1:15" ht="39">
      <c r="A63" s="474"/>
      <c r="B63" s="478" t="s">
        <v>470</v>
      </c>
      <c r="C63" s="475" t="s">
        <v>218</v>
      </c>
      <c r="D63" s="476" t="s">
        <v>218</v>
      </c>
      <c r="E63" s="476" t="s">
        <v>218</v>
      </c>
      <c r="F63" s="477" t="s">
        <v>218</v>
      </c>
    </row>
    <row r="64" spans="1:15">
      <c r="A64" s="474" t="s">
        <v>650</v>
      </c>
      <c r="B64" s="478" t="s">
        <v>651</v>
      </c>
      <c r="C64" s="475"/>
      <c r="D64" s="476">
        <v>2455.27</v>
      </c>
      <c r="E64" s="476">
        <v>3000</v>
      </c>
      <c r="F64" s="477">
        <f>+E64-D64</f>
        <v>544.73</v>
      </c>
    </row>
    <row r="65" spans="1:7" ht="15" customHeight="1">
      <c r="A65" s="474" t="s">
        <v>653</v>
      </c>
      <c r="B65" s="478" t="s">
        <v>652</v>
      </c>
      <c r="C65" s="475"/>
      <c r="D65" s="476">
        <v>1474.8</v>
      </c>
      <c r="E65" s="476">
        <v>3000</v>
      </c>
      <c r="F65" s="477">
        <f t="shared" ref="F65:F66" si="0">+E65-D65</f>
        <v>1525.2</v>
      </c>
    </row>
    <row r="66" spans="1:7">
      <c r="A66" s="474" t="s">
        <v>654</v>
      </c>
      <c r="B66" s="478" t="s">
        <v>651</v>
      </c>
      <c r="C66" s="475"/>
      <c r="D66" s="476">
        <v>2455.27</v>
      </c>
      <c r="E66" s="476">
        <v>3000</v>
      </c>
      <c r="F66" s="477">
        <f t="shared" si="0"/>
        <v>544.73</v>
      </c>
    </row>
    <row r="67" spans="1:7">
      <c r="A67" s="474" t="s">
        <v>679</v>
      </c>
      <c r="B67" s="478" t="s">
        <v>678</v>
      </c>
      <c r="C67" s="475"/>
      <c r="D67" s="476">
        <f>+E67-F67</f>
        <v>735.2</v>
      </c>
      <c r="E67" s="476">
        <v>2000</v>
      </c>
      <c r="F67" s="477">
        <v>1264.8</v>
      </c>
    </row>
    <row r="68" spans="1:7">
      <c r="A68" s="474" t="s">
        <v>680</v>
      </c>
      <c r="B68" s="478" t="s">
        <v>681</v>
      </c>
      <c r="C68" s="475"/>
      <c r="D68" s="476">
        <f>+E68-F68</f>
        <v>1780.22</v>
      </c>
      <c r="E68" s="476">
        <v>3500</v>
      </c>
      <c r="F68" s="477">
        <f>1732.47-12.69</f>
        <v>1719.78</v>
      </c>
    </row>
    <row r="69" spans="1:7">
      <c r="A69" s="474"/>
      <c r="B69" s="478" t="s">
        <v>435</v>
      </c>
      <c r="C69" s="475" t="s">
        <v>218</v>
      </c>
      <c r="D69" s="476" t="s">
        <v>218</v>
      </c>
      <c r="E69" s="476" t="s">
        <v>218</v>
      </c>
      <c r="F69" s="477" t="s">
        <v>218</v>
      </c>
    </row>
    <row r="70" spans="1:7" ht="89.25" hidden="1">
      <c r="A70" s="24"/>
      <c r="B70" s="46" t="s">
        <v>471</v>
      </c>
      <c r="C70" s="29" t="s">
        <v>218</v>
      </c>
      <c r="D70" s="160" t="s">
        <v>218</v>
      </c>
      <c r="E70" s="160" t="s">
        <v>218</v>
      </c>
      <c r="F70" s="35" t="s">
        <v>218</v>
      </c>
    </row>
    <row r="71" spans="1:7" ht="39" hidden="1">
      <c r="A71" s="24"/>
      <c r="B71" s="28" t="s">
        <v>472</v>
      </c>
      <c r="C71" s="29" t="s">
        <v>218</v>
      </c>
      <c r="D71" s="160" t="s">
        <v>218</v>
      </c>
      <c r="E71" s="160" t="s">
        <v>218</v>
      </c>
      <c r="F71" s="35" t="s">
        <v>218</v>
      </c>
    </row>
    <row r="72" spans="1:7" hidden="1">
      <c r="A72" s="24"/>
      <c r="B72" s="28" t="s">
        <v>473</v>
      </c>
      <c r="C72" s="29" t="s">
        <v>218</v>
      </c>
      <c r="D72" s="160" t="s">
        <v>218</v>
      </c>
      <c r="E72" s="160" t="s">
        <v>218</v>
      </c>
      <c r="F72" s="35" t="s">
        <v>218</v>
      </c>
    </row>
    <row r="73" spans="1:7" hidden="1">
      <c r="A73" s="24"/>
      <c r="B73" s="28"/>
      <c r="C73" s="29"/>
      <c r="D73" s="160"/>
      <c r="E73" s="160"/>
      <c r="F73" s="35"/>
    </row>
    <row r="74" spans="1:7" ht="25.5" hidden="1">
      <c r="A74" s="24"/>
      <c r="B74" s="47" t="s">
        <v>474</v>
      </c>
      <c r="C74" s="29" t="s">
        <v>218</v>
      </c>
      <c r="D74" s="160" t="s">
        <v>218</v>
      </c>
      <c r="E74" s="160" t="s">
        <v>218</v>
      </c>
      <c r="F74" s="35" t="s">
        <v>218</v>
      </c>
    </row>
    <row r="75" spans="1:7" ht="39" hidden="1">
      <c r="A75" s="31"/>
      <c r="B75" s="32" t="s">
        <v>475</v>
      </c>
      <c r="C75" s="29" t="s">
        <v>218</v>
      </c>
      <c r="D75" s="160" t="s">
        <v>218</v>
      </c>
      <c r="E75" s="160" t="s">
        <v>218</v>
      </c>
      <c r="F75" s="35" t="s">
        <v>218</v>
      </c>
      <c r="G75" s="22"/>
    </row>
    <row r="76" spans="1:7" ht="39" hidden="1">
      <c r="A76" s="24"/>
      <c r="B76" s="28" t="s">
        <v>476</v>
      </c>
      <c r="C76" s="29" t="s">
        <v>218</v>
      </c>
      <c r="D76" s="160" t="s">
        <v>218</v>
      </c>
      <c r="E76" s="160" t="s">
        <v>218</v>
      </c>
      <c r="F76" s="35" t="s">
        <v>218</v>
      </c>
      <c r="G76" s="22"/>
    </row>
    <row r="77" spans="1:7" hidden="1">
      <c r="A77" s="580"/>
      <c r="B77" s="581" t="s">
        <v>477</v>
      </c>
      <c r="C77" s="583" t="s">
        <v>218</v>
      </c>
      <c r="D77" s="584" t="s">
        <v>218</v>
      </c>
      <c r="E77" s="584" t="s">
        <v>218</v>
      </c>
      <c r="F77" s="585" t="s">
        <v>218</v>
      </c>
    </row>
    <row r="78" spans="1:7" ht="26.25" hidden="1" customHeight="1">
      <c r="A78" s="580"/>
      <c r="B78" s="582"/>
      <c r="C78" s="583"/>
      <c r="D78" s="584"/>
      <c r="E78" s="584"/>
      <c r="F78" s="585"/>
    </row>
    <row r="79" spans="1:7" hidden="1">
      <c r="A79" s="24"/>
      <c r="B79" s="28" t="s">
        <v>478</v>
      </c>
      <c r="C79" s="29"/>
      <c r="D79" s="160"/>
      <c r="E79" s="160"/>
      <c r="F79" s="35"/>
    </row>
    <row r="80" spans="1:7" ht="26.25" hidden="1">
      <c r="A80" s="24"/>
      <c r="B80" s="28" t="s">
        <v>479</v>
      </c>
      <c r="C80" s="29"/>
      <c r="D80" s="160"/>
      <c r="E80" s="160"/>
      <c r="F80" s="35"/>
    </row>
    <row r="81" spans="1:6" hidden="1">
      <c r="A81" s="24"/>
      <c r="B81" s="28" t="s">
        <v>480</v>
      </c>
      <c r="C81" s="29"/>
      <c r="D81" s="160"/>
      <c r="E81" s="160"/>
      <c r="F81" s="35"/>
    </row>
    <row r="82" spans="1:6" ht="63.75" hidden="1" customHeight="1" thickBot="1">
      <c r="A82" s="48"/>
      <c r="B82" s="49" t="s">
        <v>481</v>
      </c>
      <c r="C82" s="50">
        <f>C19+C20</f>
        <v>0</v>
      </c>
      <c r="D82" s="163">
        <f>D19+D20</f>
        <v>0</v>
      </c>
      <c r="E82" s="163">
        <f>E19+E20</f>
        <v>0</v>
      </c>
      <c r="F82" s="163">
        <f>F19+F20</f>
        <v>0</v>
      </c>
    </row>
    <row r="83" spans="1:6" ht="15.75" thickBot="1">
      <c r="A83" s="20"/>
      <c r="B83" s="18"/>
      <c r="C83" s="18"/>
      <c r="D83" s="18"/>
      <c r="E83" s="18"/>
      <c r="F83" s="18"/>
    </row>
    <row r="84" spans="1:6">
      <c r="A84" s="586" t="s">
        <v>459</v>
      </c>
      <c r="B84" s="569" t="s">
        <v>482</v>
      </c>
      <c r="C84" s="567" t="s">
        <v>483</v>
      </c>
      <c r="D84" s="569" t="s">
        <v>429</v>
      </c>
      <c r="E84" s="567" t="s">
        <v>462</v>
      </c>
      <c r="F84" s="578" t="s">
        <v>463</v>
      </c>
    </row>
    <row r="85" spans="1:6">
      <c r="A85" s="587"/>
      <c r="B85" s="570"/>
      <c r="C85" s="568"/>
      <c r="D85" s="570"/>
      <c r="E85" s="568"/>
      <c r="F85" s="579"/>
    </row>
    <row r="86" spans="1:6">
      <c r="A86" s="587"/>
      <c r="B86" s="571"/>
      <c r="C86" s="568"/>
      <c r="D86" s="571"/>
      <c r="E86" s="568"/>
      <c r="F86" s="579"/>
    </row>
    <row r="87" spans="1:6">
      <c r="A87" s="24">
        <v>1</v>
      </c>
      <c r="B87" s="25">
        <v>2</v>
      </c>
      <c r="C87" s="25">
        <v>3</v>
      </c>
      <c r="D87" s="25">
        <v>4</v>
      </c>
      <c r="E87" s="25">
        <v>5</v>
      </c>
      <c r="F87" s="26" t="s">
        <v>464</v>
      </c>
    </row>
    <row r="88" spans="1:6">
      <c r="A88" s="27"/>
      <c r="B88" s="25" t="s">
        <v>465</v>
      </c>
      <c r="C88" s="25"/>
      <c r="D88" s="25"/>
      <c r="E88" s="25"/>
      <c r="F88" s="26"/>
    </row>
    <row r="89" spans="1:6">
      <c r="A89" s="24"/>
      <c r="B89" s="28" t="s">
        <v>466</v>
      </c>
      <c r="C89" s="25" t="s">
        <v>218</v>
      </c>
      <c r="D89" s="25" t="s">
        <v>218</v>
      </c>
      <c r="E89" s="25" t="s">
        <v>218</v>
      </c>
      <c r="F89" s="26" t="s">
        <v>218</v>
      </c>
    </row>
    <row r="90" spans="1:6">
      <c r="A90" s="24"/>
      <c r="B90" s="28" t="s">
        <v>351</v>
      </c>
      <c r="C90" s="25"/>
      <c r="D90" s="25"/>
      <c r="E90" s="25"/>
      <c r="F90" s="26"/>
    </row>
    <row r="91" spans="1:6">
      <c r="A91" s="27">
        <v>41757</v>
      </c>
      <c r="B91" s="315" t="s">
        <v>641</v>
      </c>
      <c r="C91" s="25">
        <v>347.928</v>
      </c>
      <c r="D91" s="25">
        <v>347928</v>
      </c>
      <c r="E91" s="25">
        <v>0</v>
      </c>
      <c r="F91" s="26">
        <f>E91-D91</f>
        <v>-347928</v>
      </c>
    </row>
    <row r="92" spans="1:6" ht="17.25" customHeight="1">
      <c r="A92" s="24"/>
      <c r="B92" s="33"/>
      <c r="C92" s="25"/>
      <c r="D92" s="160"/>
      <c r="E92" s="160"/>
      <c r="F92" s="35"/>
    </row>
    <row r="93" spans="1:6" ht="17.25" hidden="1" customHeight="1">
      <c r="A93" s="27"/>
      <c r="B93" s="33"/>
      <c r="C93" s="25"/>
      <c r="D93" s="256"/>
      <c r="E93" s="160"/>
      <c r="F93" s="35"/>
    </row>
    <row r="94" spans="1:6" ht="17.25" hidden="1" customHeight="1">
      <c r="A94" s="27"/>
      <c r="B94" s="33"/>
      <c r="C94" s="25"/>
      <c r="D94" s="256"/>
      <c r="E94" s="160"/>
      <c r="F94" s="35"/>
    </row>
    <row r="95" spans="1:6" hidden="1">
      <c r="A95" s="27"/>
      <c r="B95" s="33"/>
      <c r="C95" s="25"/>
      <c r="D95" s="256"/>
      <c r="E95" s="160"/>
      <c r="F95" s="35"/>
    </row>
    <row r="96" spans="1:6" hidden="1">
      <c r="A96" s="27"/>
      <c r="B96" s="261"/>
      <c r="C96" s="25"/>
      <c r="D96" s="160"/>
      <c r="E96" s="160"/>
      <c r="F96" s="262"/>
    </row>
    <row r="97" spans="1:6">
      <c r="A97" s="27"/>
      <c r="B97" s="28" t="s">
        <v>467</v>
      </c>
      <c r="C97" s="25" t="s">
        <v>218</v>
      </c>
      <c r="D97" s="160" t="s">
        <v>218</v>
      </c>
      <c r="E97" s="160" t="s">
        <v>218</v>
      </c>
      <c r="F97" s="35" t="s">
        <v>218</v>
      </c>
    </row>
    <row r="98" spans="1:6">
      <c r="A98" s="24"/>
      <c r="B98" s="28" t="s">
        <v>396</v>
      </c>
      <c r="C98" s="25" t="s">
        <v>218</v>
      </c>
      <c r="D98" s="160" t="s">
        <v>218</v>
      </c>
      <c r="E98" s="160" t="s">
        <v>218</v>
      </c>
      <c r="F98" s="35" t="s">
        <v>218</v>
      </c>
    </row>
    <row r="99" spans="1:6">
      <c r="A99" s="24"/>
      <c r="B99" s="28" t="s">
        <v>351</v>
      </c>
      <c r="C99" s="25"/>
      <c r="D99" s="160"/>
      <c r="E99" s="160"/>
      <c r="F99" s="35"/>
    </row>
    <row r="100" spans="1:6" ht="57.75" customHeight="1">
      <c r="A100" s="24"/>
      <c r="B100" s="28"/>
      <c r="C100" s="25" t="s">
        <v>218</v>
      </c>
      <c r="D100" s="160" t="s">
        <v>218</v>
      </c>
      <c r="E100" s="160" t="s">
        <v>218</v>
      </c>
      <c r="F100" s="35" t="s">
        <v>218</v>
      </c>
    </row>
    <row r="101" spans="1:6" ht="39.75" thickBot="1">
      <c r="A101" s="51" t="s">
        <v>216</v>
      </c>
      <c r="B101" s="49" t="s">
        <v>484</v>
      </c>
      <c r="C101" s="425">
        <v>347928</v>
      </c>
      <c r="D101" s="426">
        <v>347928</v>
      </c>
      <c r="E101" s="424">
        <f>E88</f>
        <v>0</v>
      </c>
      <c r="F101" s="424">
        <f>F91</f>
        <v>-347928</v>
      </c>
    </row>
    <row r="102" spans="1:6" ht="15.75" thickBot="1">
      <c r="A102" s="51"/>
      <c r="B102" s="18"/>
      <c r="C102" s="18"/>
      <c r="D102" s="18"/>
      <c r="E102" s="18"/>
      <c r="F102" s="18"/>
    </row>
    <row r="103" spans="1:6">
      <c r="A103" s="20"/>
      <c r="B103" s="18"/>
      <c r="C103" s="18"/>
      <c r="D103" s="18"/>
      <c r="E103" s="18"/>
      <c r="F103" s="52"/>
    </row>
    <row r="104" spans="1:6" hidden="1">
      <c r="A104" s="20"/>
      <c r="B104" s="18"/>
      <c r="C104" s="18"/>
      <c r="D104" s="18"/>
      <c r="E104" s="18"/>
      <c r="F104" s="18"/>
    </row>
    <row r="105" spans="1:6" ht="25.5" hidden="1">
      <c r="A105" s="61" t="s">
        <v>622</v>
      </c>
      <c r="B105" s="54" t="s">
        <v>485</v>
      </c>
      <c r="C105" s="574" t="s">
        <v>410</v>
      </c>
      <c r="D105" s="575"/>
      <c r="E105" s="55" t="s">
        <v>486</v>
      </c>
      <c r="F105" s="56" t="s">
        <v>463</v>
      </c>
    </row>
    <row r="106" spans="1:6" hidden="1">
      <c r="A106" s="53" t="s">
        <v>443</v>
      </c>
      <c r="B106" s="25">
        <v>2</v>
      </c>
      <c r="C106" s="576">
        <v>3</v>
      </c>
      <c r="D106" s="577"/>
      <c r="E106" s="57">
        <v>4</v>
      </c>
      <c r="F106" s="26" t="s">
        <v>488</v>
      </c>
    </row>
    <row r="107" spans="1:6" hidden="1">
      <c r="A107" s="24" t="s">
        <v>487</v>
      </c>
      <c r="B107" s="28" t="s">
        <v>489</v>
      </c>
      <c r="C107" s="566"/>
      <c r="D107" s="566"/>
      <c r="E107" s="28"/>
      <c r="F107" s="58"/>
    </row>
    <row r="108" spans="1:6" hidden="1">
      <c r="A108" s="24" t="s">
        <v>234</v>
      </c>
      <c r="B108" s="28" t="s">
        <v>490</v>
      </c>
      <c r="C108" s="566"/>
      <c r="D108" s="566"/>
      <c r="E108" s="28"/>
      <c r="F108" s="58"/>
    </row>
    <row r="109" spans="1:6" hidden="1">
      <c r="A109" s="24" t="s">
        <v>235</v>
      </c>
      <c r="B109" s="28" t="s">
        <v>491</v>
      </c>
      <c r="C109" s="566"/>
      <c r="D109" s="566"/>
      <c r="E109" s="28"/>
      <c r="F109" s="58"/>
    </row>
    <row r="110" spans="1:6" hidden="1">
      <c r="A110" s="24" t="s">
        <v>236</v>
      </c>
      <c r="B110" s="28" t="s">
        <v>492</v>
      </c>
      <c r="C110" s="566"/>
      <c r="D110" s="566"/>
      <c r="E110" s="28"/>
      <c r="F110" s="58"/>
    </row>
    <row r="111" spans="1:6" hidden="1">
      <c r="A111" s="24" t="s">
        <v>237</v>
      </c>
      <c r="B111" s="28" t="s">
        <v>493</v>
      </c>
      <c r="C111" s="566"/>
      <c r="D111" s="566"/>
      <c r="E111" s="28"/>
      <c r="F111" s="58"/>
    </row>
    <row r="112" spans="1:6" ht="39.75" thickBot="1">
      <c r="A112" s="24" t="s">
        <v>238</v>
      </c>
      <c r="B112" s="59" t="s">
        <v>494</v>
      </c>
      <c r="C112" s="573"/>
      <c r="D112" s="573"/>
      <c r="E112" s="59"/>
      <c r="F112" s="60"/>
    </row>
    <row r="113" spans="1:7" ht="15.75" thickBot="1">
      <c r="A113" s="51"/>
    </row>
    <row r="114" spans="1:7">
      <c r="B114" s="266" t="s">
        <v>683</v>
      </c>
      <c r="G114" s="62"/>
    </row>
    <row r="115" spans="1:7">
      <c r="B115" s="266"/>
      <c r="C115" s="61"/>
      <c r="F115" s="267" t="s">
        <v>442</v>
      </c>
      <c r="G115" s="63"/>
    </row>
    <row r="116" spans="1:7">
      <c r="B116" s="572" t="s">
        <v>642</v>
      </c>
      <c r="C116" s="572"/>
      <c r="E116" s="63"/>
      <c r="F116" s="268" t="s">
        <v>406</v>
      </c>
      <c r="G116" s="18"/>
    </row>
    <row r="117" spans="1:7">
      <c r="B117" s="18"/>
      <c r="C117" s="18"/>
      <c r="D117" s="18"/>
      <c r="E117" s="18"/>
      <c r="F117" s="18"/>
    </row>
    <row r="118" spans="1:7">
      <c r="A118" s="18"/>
    </row>
  </sheetData>
  <mergeCells count="29">
    <mergeCell ref="A10:F10"/>
    <mergeCell ref="A11:F11"/>
    <mergeCell ref="A13:A14"/>
    <mergeCell ref="B13:B14"/>
    <mergeCell ref="C13:C14"/>
    <mergeCell ref="D13:D14"/>
    <mergeCell ref="E13:E14"/>
    <mergeCell ref="F13:F14"/>
    <mergeCell ref="E84:E86"/>
    <mergeCell ref="F84:F86"/>
    <mergeCell ref="A77:A78"/>
    <mergeCell ref="B77:B78"/>
    <mergeCell ref="C77:C78"/>
    <mergeCell ref="D77:D78"/>
    <mergeCell ref="E77:E78"/>
    <mergeCell ref="F77:F78"/>
    <mergeCell ref="A84:A86"/>
    <mergeCell ref="B84:B86"/>
    <mergeCell ref="C110:D110"/>
    <mergeCell ref="C84:C86"/>
    <mergeCell ref="D84:D86"/>
    <mergeCell ref="B116:C116"/>
    <mergeCell ref="C111:D111"/>
    <mergeCell ref="C112:D112"/>
    <mergeCell ref="C105:D105"/>
    <mergeCell ref="C106:D106"/>
    <mergeCell ref="C107:D107"/>
    <mergeCell ref="C108:D108"/>
    <mergeCell ref="C109:D109"/>
  </mergeCells>
  <phoneticPr fontId="35" type="noConversion"/>
  <pageMargins left="0.7" right="0.7" top="0.75" bottom="0.75" header="0.3" footer="0.3"/>
  <pageSetup scale="7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БУ</vt:lpstr>
      <vt:lpstr>БС</vt:lpstr>
      <vt:lpstr>ПРОМЈЕНЕ</vt:lpstr>
      <vt:lpstr>ТОК ГОТОВИНЕ</vt:lpstr>
      <vt:lpstr>СТРУКТУРА УЛАГАЊА АКЦИЈЕ 12 14</vt:lpstr>
      <vt:lpstr>НЕРЕАЛИЗОВАНИ ДОБ ГУБИТ 12 14</vt:lpstr>
      <vt:lpstr>СТРУКТУРА УЛАГАЊА ОБВ. 12 14</vt:lpstr>
      <vt:lpstr>STR ULAGANJA VRSTE IMOVIN 12 14</vt:lpstr>
      <vt:lpstr>РЕАЛИЗОВАНИ ДОБ ГУБ  12 14</vt:lpstr>
      <vt:lpstr>ТРАНС.СА ПОВ. ЛИЦИМА 31.12.14</vt:lpstr>
      <vt:lpstr>ФИНАНСИЈСКИ ПОКАЗАТЕЉИ 31.12</vt:lpstr>
      <vt:lpstr>СТРУКТУРА ОБАВЕЗА 31.12.14</vt:lpstr>
      <vt:lpstr>Sheet1</vt:lpstr>
      <vt:lpstr>'STR ULAGANJA VRSTE IMOVIN 12 14'!Print_Area</vt:lpstr>
      <vt:lpstr>БС!Print_Area</vt:lpstr>
      <vt:lpstr>БУ!Print_Area</vt:lpstr>
      <vt:lpstr>'НЕРЕАЛИЗОВАНИ ДОБ ГУБИТ 12 14'!Print_Area</vt:lpstr>
      <vt:lpstr>ПРОМЈЕНЕ!Print_Area</vt:lpstr>
      <vt:lpstr>'РЕАЛИЗОВАНИ ДОБ ГУБ  12 14'!Print_Area</vt:lpstr>
      <vt:lpstr>'СТРУКТУРА ОБАВЕЗА 31.12.14'!Print_Area</vt:lpstr>
      <vt:lpstr>'СТРУКТУРА УЛАГАЊА АКЦИЈЕ 12 14'!Print_Area</vt:lpstr>
      <vt:lpstr>'СТРУКТУРА УЛАГАЊА ОБВ. 12 14'!Print_Area</vt:lpstr>
      <vt:lpstr>'ТОК ГОТОВИНЕ'!Print_Area</vt:lpstr>
      <vt:lpstr>'ТРАНС.СА ПОВ. ЛИЦИМА 31.12.14'!Print_Area</vt:lpstr>
      <vt:lpstr>'ФИНАНСИЈСКИ ПОКАЗАТЕЉИ 31.12'!Print_Area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</dc:creator>
  <cp:lastModifiedBy>Radislav Vujadin</cp:lastModifiedBy>
  <cp:lastPrinted>2015-02-16T14:42:51Z</cp:lastPrinted>
  <dcterms:created xsi:type="dcterms:W3CDTF">2010-02-19T23:13:51Z</dcterms:created>
  <dcterms:modified xsi:type="dcterms:W3CDTF">2015-02-16T15:17:58Z</dcterms:modified>
</cp:coreProperties>
</file>