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BEB" lockStructure="1"/>
  <bookViews>
    <workbookView xWindow="240" yWindow="270" windowWidth="20115" windowHeight="10365" tabRatio="726"/>
  </bookViews>
  <sheets>
    <sheet name="Podesavanja | Settings" sheetId="8" r:id="rId1"/>
    <sheet name="Zbirno |Summary" sheetId="1" r:id="rId2"/>
    <sheet name="Bilans Stanja |Balance Sheet" sheetId="2" r:id="rId3"/>
    <sheet name="Bilans Uspjeha |Income Statem" sheetId="9" r:id="rId4"/>
    <sheet name="Bilans Toka Got|Cash Flow Stat" sheetId="10" r:id="rId5"/>
    <sheet name="Settings" sheetId="11" state="veryHidden" r:id="rId6"/>
    <sheet name="Issuer" sheetId="6" state="veryHidden" r:id="rId7"/>
    <sheet name="Data" sheetId="5" state="veryHidden" r:id="rId8"/>
    <sheet name="Aop_Bank" sheetId="12" state="veryHidden" r:id="rId9"/>
  </sheets>
  <definedNames>
    <definedName name="_1_Zbirno__Summary">'Zbirno |Summary'!$B$3</definedName>
    <definedName name="_2_Bilans_Stanja__Balance_Sheet">'Bilans Stanja |Balance Sheet'!$C$3</definedName>
    <definedName name="_3_Bilans_Uspjeha__Income_Statem">'Bilans Uspjeha |Income Statem'!$C$3</definedName>
    <definedName name="_4_Bilans_Toka_Got__Cash_Flow_Stat">'Bilans Toka Got|Cash Flow Stat'!$C$3</definedName>
    <definedName name="Allowance_Current">Settings!$X$4</definedName>
    <definedName name="AOP_Balance">CHOOSE(Balance_Type,#REF!,Aop_Bank[],#REF!)</definedName>
    <definedName name="AOP_Drop_Down">CHOOSE(Balance_Type,#REF!,Aop_Bank[Drop_Down_Menu],#REF!)</definedName>
    <definedName name="Balance_Type">Settings!$R$1</definedName>
    <definedName name="Code">Settings!$X$8</definedName>
    <definedName name="Current">Settings!$X$10</definedName>
    <definedName name="Gross_Current">Settings!$X$3</definedName>
    <definedName name="Issuer0">Settings!$X$9</definedName>
    <definedName name="Item">Settings!$X$7&amp;" ("&amp;Settings!$G$1&amp;")"</definedName>
    <definedName name="IzborJedinice" localSheetId="8">Table2[Padajuci meni]</definedName>
    <definedName name="IzborJedinice">Table2[Padajuci meni]</definedName>
    <definedName name="IzborJezika" localSheetId="8">Table5[Jezik]</definedName>
    <definedName name="IzborJezika">Table5[Jezik]</definedName>
    <definedName name="Jedinica">Settings!$F$1</definedName>
    <definedName name="Jedinica1">Settings!$E$1</definedName>
    <definedName name="Jezik">Settings!$I$1</definedName>
    <definedName name="Net_Current">Settings!$X$5</definedName>
    <definedName name="Net_Previous">Settings!$X$6</definedName>
    <definedName name="Previous">Settings!$X$11</definedName>
    <definedName name="Simbol_Naziv" localSheetId="8">Issuer[Simbol - Naziv (formula)]</definedName>
    <definedName name="Simbol_Naziv">Issuer[Simbol - Naziv (formula)]</definedName>
    <definedName name="Year">Settings!$C$2</definedName>
  </definedNames>
  <calcPr calcId="145621"/>
</workbook>
</file>

<file path=xl/calcChain.xml><?xml version="1.0" encoding="utf-8"?>
<calcChain xmlns="http://schemas.openxmlformats.org/spreadsheetml/2006/main">
  <c r="A6" i="1" l="1"/>
  <c r="C6" i="1" s="1"/>
  <c r="A7" i="1"/>
  <c r="C7" i="1" s="1"/>
  <c r="A8" i="1"/>
  <c r="C8" i="1" s="1"/>
  <c r="A9" i="1"/>
  <c r="C9" i="1" s="1"/>
  <c r="A10" i="1"/>
  <c r="C10" i="1" s="1"/>
  <c r="A11" i="1"/>
  <c r="C11" i="1" s="1"/>
  <c r="A12" i="1"/>
  <c r="C12" i="1" s="1"/>
  <c r="A13" i="1"/>
  <c r="C13" i="1" s="1"/>
  <c r="A14" i="1"/>
  <c r="C14" i="1" s="1"/>
  <c r="A15" i="1"/>
  <c r="C15" i="1" s="1"/>
  <c r="B12" i="1" l="1"/>
  <c r="B8" i="1"/>
  <c r="B15" i="1"/>
  <c r="B11" i="1"/>
  <c r="B7" i="1"/>
  <c r="B14" i="1"/>
  <c r="B10" i="1"/>
  <c r="B6" i="1"/>
  <c r="B13" i="1"/>
  <c r="B9" i="1"/>
  <c r="G1" i="11"/>
  <c r="F1" i="11"/>
  <c r="A236" i="12" l="1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G237" i="12"/>
  <c r="H237" i="12" s="1"/>
  <c r="G238" i="12"/>
  <c r="G239" i="12"/>
  <c r="G240" i="12"/>
  <c r="G241" i="12"/>
  <c r="H241" i="12" s="1"/>
  <c r="G242" i="12"/>
  <c r="G243" i="12"/>
  <c r="G244" i="12"/>
  <c r="G245" i="12"/>
  <c r="H245" i="12" s="1"/>
  <c r="G246" i="12"/>
  <c r="G247" i="12"/>
  <c r="G248" i="12"/>
  <c r="G249" i="12"/>
  <c r="H249" i="12" s="1"/>
  <c r="G250" i="12"/>
  <c r="G251" i="12"/>
  <c r="G252" i="12"/>
  <c r="G253" i="12"/>
  <c r="H253" i="12" s="1"/>
  <c r="G254" i="12"/>
  <c r="G255" i="12"/>
  <c r="G256" i="12"/>
  <c r="G257" i="12"/>
  <c r="H257" i="12" s="1"/>
  <c r="G258" i="12"/>
  <c r="G259" i="12"/>
  <c r="G260" i="12"/>
  <c r="G261" i="12"/>
  <c r="H261" i="12" s="1"/>
  <c r="G262" i="12"/>
  <c r="G263" i="12"/>
  <c r="G264" i="12"/>
  <c r="G265" i="12"/>
  <c r="H265" i="12" s="1"/>
  <c r="G266" i="12"/>
  <c r="G267" i="12"/>
  <c r="G268" i="12"/>
  <c r="G269" i="12"/>
  <c r="H269" i="12" s="1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H238" i="12"/>
  <c r="H239" i="12"/>
  <c r="H240" i="12"/>
  <c r="H242" i="12"/>
  <c r="H243" i="12"/>
  <c r="H244" i="12"/>
  <c r="H246" i="12"/>
  <c r="H247" i="12"/>
  <c r="H248" i="12"/>
  <c r="H250" i="12"/>
  <c r="H251" i="12"/>
  <c r="H254" i="12"/>
  <c r="H255" i="12"/>
  <c r="H256" i="12"/>
  <c r="H258" i="12"/>
  <c r="H259" i="12"/>
  <c r="H260" i="12"/>
  <c r="H262" i="12"/>
  <c r="H263" i="12"/>
  <c r="H264" i="12"/>
  <c r="H266" i="12"/>
  <c r="H267" i="12"/>
  <c r="H270" i="12"/>
  <c r="H271" i="12"/>
  <c r="H272" i="12"/>
  <c r="H274" i="12"/>
  <c r="H275" i="12"/>
  <c r="H276" i="12"/>
  <c r="H278" i="12"/>
  <c r="H279" i="12"/>
  <c r="H280" i="12"/>
  <c r="H282" i="12"/>
  <c r="H268" i="12" l="1"/>
  <c r="H252" i="12"/>
  <c r="H281" i="12"/>
  <c r="H277" i="12"/>
  <c r="H273" i="12"/>
  <c r="Z1" i="11"/>
  <c r="AG1" i="11" s="1"/>
  <c r="C7" i="11"/>
  <c r="C15" i="8" s="1"/>
  <c r="AB1" i="11" l="1"/>
  <c r="AD1" i="11"/>
  <c r="AF1" i="11"/>
  <c r="AA1" i="11"/>
  <c r="AC1" i="11"/>
  <c r="AE1" i="11"/>
  <c r="X3" i="11"/>
  <c r="X4" i="11"/>
  <c r="X5" i="11"/>
  <c r="X6" i="11"/>
  <c r="X7" i="11"/>
  <c r="X8" i="11"/>
  <c r="X9" i="11"/>
  <c r="G236" i="12"/>
  <c r="C236" i="12"/>
  <c r="G235" i="12"/>
  <c r="C235" i="12"/>
  <c r="G234" i="12"/>
  <c r="C234" i="12"/>
  <c r="G233" i="12"/>
  <c r="C233" i="12"/>
  <c r="G232" i="12"/>
  <c r="C232" i="12"/>
  <c r="G231" i="12"/>
  <c r="C231" i="12"/>
  <c r="G230" i="12"/>
  <c r="C230" i="12"/>
  <c r="G229" i="12"/>
  <c r="C229" i="12"/>
  <c r="G228" i="12"/>
  <c r="C228" i="12"/>
  <c r="G227" i="12"/>
  <c r="C227" i="12"/>
  <c r="G226" i="12"/>
  <c r="C226" i="12"/>
  <c r="G225" i="12"/>
  <c r="C225" i="12"/>
  <c r="G224" i="12"/>
  <c r="C224" i="12"/>
  <c r="G223" i="12"/>
  <c r="C223" i="12"/>
  <c r="G222" i="12"/>
  <c r="C222" i="12"/>
  <c r="G221" i="12"/>
  <c r="C221" i="12"/>
  <c r="G220" i="12"/>
  <c r="C220" i="12"/>
  <c r="G219" i="12"/>
  <c r="C219" i="12"/>
  <c r="G218" i="12"/>
  <c r="C218" i="12"/>
  <c r="G217" i="12"/>
  <c r="C217" i="12"/>
  <c r="G216" i="12"/>
  <c r="C216" i="12"/>
  <c r="G215" i="12"/>
  <c r="C215" i="12"/>
  <c r="G214" i="12"/>
  <c r="C214" i="12"/>
  <c r="G213" i="12"/>
  <c r="C213" i="12"/>
  <c r="G212" i="12"/>
  <c r="C212" i="12"/>
  <c r="G211" i="12"/>
  <c r="C211" i="12"/>
  <c r="G210" i="12"/>
  <c r="C210" i="12"/>
  <c r="G209" i="12"/>
  <c r="C209" i="12"/>
  <c r="G208" i="12"/>
  <c r="C208" i="12"/>
  <c r="G207" i="12"/>
  <c r="C207" i="12"/>
  <c r="G206" i="12"/>
  <c r="C206" i="12"/>
  <c r="G205" i="12"/>
  <c r="C205" i="12"/>
  <c r="G204" i="12"/>
  <c r="C204" i="12"/>
  <c r="G203" i="12"/>
  <c r="C203" i="12"/>
  <c r="G202" i="12"/>
  <c r="C202" i="12"/>
  <c r="G201" i="12"/>
  <c r="C201" i="12"/>
  <c r="G200" i="12"/>
  <c r="C200" i="12"/>
  <c r="G199" i="12"/>
  <c r="C199" i="12"/>
  <c r="G198" i="12"/>
  <c r="C198" i="12"/>
  <c r="G197" i="12"/>
  <c r="C197" i="12"/>
  <c r="G196" i="12"/>
  <c r="C196" i="12"/>
  <c r="G195" i="12"/>
  <c r="C195" i="12"/>
  <c r="G194" i="12"/>
  <c r="C194" i="12"/>
  <c r="G193" i="12"/>
  <c r="C193" i="12"/>
  <c r="G192" i="12"/>
  <c r="C192" i="12"/>
  <c r="G191" i="12"/>
  <c r="C191" i="12"/>
  <c r="G190" i="12"/>
  <c r="C190" i="12"/>
  <c r="G189" i="12"/>
  <c r="C189" i="12"/>
  <c r="G188" i="12"/>
  <c r="C188" i="12"/>
  <c r="G187" i="12"/>
  <c r="C187" i="12"/>
  <c r="G186" i="12"/>
  <c r="C186" i="12"/>
  <c r="G185" i="12"/>
  <c r="C185" i="12"/>
  <c r="G184" i="12"/>
  <c r="C184" i="12"/>
  <c r="G183" i="12"/>
  <c r="C183" i="12"/>
  <c r="G182" i="12"/>
  <c r="C182" i="12"/>
  <c r="G181" i="12"/>
  <c r="C181" i="12"/>
  <c r="G180" i="12"/>
  <c r="C180" i="12"/>
  <c r="G179" i="12"/>
  <c r="C179" i="12"/>
  <c r="G178" i="12"/>
  <c r="C178" i="12"/>
  <c r="G177" i="12"/>
  <c r="C177" i="12"/>
  <c r="G176" i="12"/>
  <c r="C176" i="12"/>
  <c r="G175" i="12"/>
  <c r="C175" i="12"/>
  <c r="G174" i="12"/>
  <c r="C174" i="12"/>
  <c r="G173" i="12"/>
  <c r="C173" i="12"/>
  <c r="G172" i="12"/>
  <c r="C172" i="12"/>
  <c r="G171" i="12"/>
  <c r="C171" i="12"/>
  <c r="G170" i="12"/>
  <c r="C170" i="12"/>
  <c r="G169" i="12"/>
  <c r="C169" i="12"/>
  <c r="G168" i="12"/>
  <c r="C168" i="12"/>
  <c r="G167" i="12"/>
  <c r="C167" i="12"/>
  <c r="G166" i="12"/>
  <c r="C166" i="12"/>
  <c r="G165" i="12"/>
  <c r="C165" i="12"/>
  <c r="G164" i="12"/>
  <c r="C164" i="12"/>
  <c r="G163" i="12"/>
  <c r="C163" i="12"/>
  <c r="G162" i="12"/>
  <c r="C162" i="12"/>
  <c r="G161" i="12"/>
  <c r="C161" i="12"/>
  <c r="G160" i="12"/>
  <c r="C160" i="12"/>
  <c r="G159" i="12"/>
  <c r="C159" i="12"/>
  <c r="G158" i="12"/>
  <c r="C158" i="12"/>
  <c r="G157" i="12"/>
  <c r="C157" i="12"/>
  <c r="G156" i="12"/>
  <c r="C156" i="12"/>
  <c r="G155" i="12"/>
  <c r="C155" i="12"/>
  <c r="G154" i="12"/>
  <c r="C154" i="12"/>
  <c r="G153" i="12"/>
  <c r="C153" i="12"/>
  <c r="G152" i="12"/>
  <c r="C152" i="12"/>
  <c r="G151" i="12"/>
  <c r="C151" i="12"/>
  <c r="G150" i="12"/>
  <c r="C150" i="12"/>
  <c r="G149" i="12"/>
  <c r="C149" i="12"/>
  <c r="G148" i="12"/>
  <c r="C148" i="12"/>
  <c r="G147" i="12"/>
  <c r="C147" i="12"/>
  <c r="G146" i="12"/>
  <c r="C146" i="12"/>
  <c r="G145" i="12"/>
  <c r="C145" i="12"/>
  <c r="G144" i="12"/>
  <c r="C144" i="12"/>
  <c r="G143" i="12"/>
  <c r="C143" i="12"/>
  <c r="G142" i="12"/>
  <c r="C142" i="12"/>
  <c r="G141" i="12"/>
  <c r="C141" i="12"/>
  <c r="G140" i="12"/>
  <c r="C140" i="12"/>
  <c r="G139" i="12"/>
  <c r="C139" i="12"/>
  <c r="G138" i="12"/>
  <c r="C138" i="12"/>
  <c r="G137" i="12"/>
  <c r="C137" i="12"/>
  <c r="G136" i="12"/>
  <c r="C136" i="12"/>
  <c r="G135" i="12"/>
  <c r="C135" i="12"/>
  <c r="G134" i="12"/>
  <c r="C134" i="12"/>
  <c r="G133" i="12"/>
  <c r="C133" i="12"/>
  <c r="G132" i="12"/>
  <c r="C132" i="12"/>
  <c r="G131" i="12"/>
  <c r="C131" i="12"/>
  <c r="G130" i="12"/>
  <c r="C130" i="12"/>
  <c r="G129" i="12"/>
  <c r="C129" i="12"/>
  <c r="G128" i="12"/>
  <c r="C128" i="12"/>
  <c r="G127" i="12"/>
  <c r="C127" i="12"/>
  <c r="G126" i="12"/>
  <c r="C126" i="12"/>
  <c r="G125" i="12"/>
  <c r="C125" i="12"/>
  <c r="G124" i="12"/>
  <c r="C124" i="12"/>
  <c r="G123" i="12"/>
  <c r="C123" i="12"/>
  <c r="G122" i="12"/>
  <c r="C122" i="12"/>
  <c r="G121" i="12"/>
  <c r="C121" i="12"/>
  <c r="G120" i="12"/>
  <c r="C120" i="12"/>
  <c r="G119" i="12"/>
  <c r="C119" i="12"/>
  <c r="G118" i="12"/>
  <c r="C118" i="12"/>
  <c r="G117" i="12"/>
  <c r="C117" i="12"/>
  <c r="G116" i="12"/>
  <c r="C116" i="12"/>
  <c r="G115" i="12"/>
  <c r="C115" i="12"/>
  <c r="G114" i="12"/>
  <c r="C114" i="12"/>
  <c r="G113" i="12"/>
  <c r="C113" i="12"/>
  <c r="G112" i="12"/>
  <c r="C112" i="12"/>
  <c r="G111" i="12"/>
  <c r="C111" i="12"/>
  <c r="G110" i="12"/>
  <c r="C110" i="12"/>
  <c r="G109" i="12"/>
  <c r="C109" i="12"/>
  <c r="G108" i="12"/>
  <c r="C108" i="12"/>
  <c r="G107" i="12"/>
  <c r="C107" i="12"/>
  <c r="G106" i="12"/>
  <c r="C106" i="12"/>
  <c r="G105" i="12"/>
  <c r="C105" i="12"/>
  <c r="G104" i="12"/>
  <c r="C104" i="12"/>
  <c r="G103" i="12"/>
  <c r="C103" i="12"/>
  <c r="G102" i="12"/>
  <c r="C102" i="12"/>
  <c r="G101" i="12"/>
  <c r="C101" i="12"/>
  <c r="G100" i="12"/>
  <c r="C100" i="12"/>
  <c r="G99" i="12"/>
  <c r="C99" i="12"/>
  <c r="G98" i="12"/>
  <c r="C98" i="12"/>
  <c r="G97" i="12"/>
  <c r="C97" i="12"/>
  <c r="G96" i="12"/>
  <c r="C96" i="12"/>
  <c r="G95" i="12"/>
  <c r="C95" i="12"/>
  <c r="G94" i="12"/>
  <c r="C94" i="12"/>
  <c r="G93" i="12"/>
  <c r="C93" i="12"/>
  <c r="G92" i="12"/>
  <c r="C92" i="12"/>
  <c r="G91" i="12"/>
  <c r="C91" i="12"/>
  <c r="G90" i="12"/>
  <c r="C90" i="12"/>
  <c r="G89" i="12"/>
  <c r="C89" i="12"/>
  <c r="G88" i="12"/>
  <c r="C88" i="12"/>
  <c r="G87" i="12"/>
  <c r="C87" i="12"/>
  <c r="G86" i="12"/>
  <c r="C86" i="12"/>
  <c r="G85" i="12"/>
  <c r="C85" i="12"/>
  <c r="G84" i="12"/>
  <c r="C84" i="12"/>
  <c r="G83" i="12"/>
  <c r="C83" i="12"/>
  <c r="G82" i="12"/>
  <c r="C82" i="12"/>
  <c r="G81" i="12"/>
  <c r="C81" i="12"/>
  <c r="G80" i="12"/>
  <c r="C80" i="12"/>
  <c r="G79" i="12"/>
  <c r="C79" i="12"/>
  <c r="G78" i="12"/>
  <c r="C78" i="12"/>
  <c r="G77" i="12"/>
  <c r="C77" i="12"/>
  <c r="G76" i="12"/>
  <c r="C76" i="12"/>
  <c r="G75" i="12"/>
  <c r="C75" i="12"/>
  <c r="G74" i="12"/>
  <c r="C74" i="12"/>
  <c r="G73" i="12"/>
  <c r="C73" i="12"/>
  <c r="G72" i="12"/>
  <c r="C72" i="12"/>
  <c r="G71" i="12"/>
  <c r="C71" i="12"/>
  <c r="G70" i="12"/>
  <c r="C70" i="12"/>
  <c r="G69" i="12"/>
  <c r="C69" i="12"/>
  <c r="G68" i="12"/>
  <c r="C68" i="12"/>
  <c r="G67" i="12"/>
  <c r="C67" i="12"/>
  <c r="G66" i="12"/>
  <c r="C66" i="12"/>
  <c r="G65" i="12"/>
  <c r="C65" i="12"/>
  <c r="G64" i="12"/>
  <c r="C64" i="12"/>
  <c r="G63" i="12"/>
  <c r="C63" i="12"/>
  <c r="G62" i="12"/>
  <c r="C62" i="12"/>
  <c r="G61" i="12"/>
  <c r="C61" i="12"/>
  <c r="G60" i="12"/>
  <c r="C60" i="12"/>
  <c r="G59" i="12"/>
  <c r="C59" i="12"/>
  <c r="G58" i="12"/>
  <c r="C58" i="12"/>
  <c r="G57" i="12"/>
  <c r="C57" i="12"/>
  <c r="G56" i="12"/>
  <c r="C56" i="12"/>
  <c r="G55" i="12"/>
  <c r="C55" i="12"/>
  <c r="G54" i="12"/>
  <c r="C54" i="12"/>
  <c r="G53" i="12"/>
  <c r="C53" i="12"/>
  <c r="G52" i="12"/>
  <c r="C52" i="12"/>
  <c r="G51" i="12"/>
  <c r="C51" i="12"/>
  <c r="G50" i="12"/>
  <c r="C50" i="12"/>
  <c r="G49" i="12"/>
  <c r="C49" i="12"/>
  <c r="G48" i="12"/>
  <c r="C48" i="12"/>
  <c r="G47" i="12"/>
  <c r="C47" i="12"/>
  <c r="G46" i="12"/>
  <c r="C46" i="12"/>
  <c r="G45" i="12"/>
  <c r="C45" i="12"/>
  <c r="G44" i="12"/>
  <c r="C44" i="12"/>
  <c r="G43" i="12"/>
  <c r="C43" i="12"/>
  <c r="G42" i="12"/>
  <c r="C42" i="12"/>
  <c r="G41" i="12"/>
  <c r="C41" i="12"/>
  <c r="G40" i="12"/>
  <c r="C40" i="12"/>
  <c r="G39" i="12"/>
  <c r="C39" i="12"/>
  <c r="G38" i="12"/>
  <c r="C38" i="12"/>
  <c r="G37" i="12"/>
  <c r="C37" i="12"/>
  <c r="G36" i="12"/>
  <c r="C36" i="12"/>
  <c r="G35" i="12"/>
  <c r="C35" i="12"/>
  <c r="G34" i="12"/>
  <c r="C34" i="12"/>
  <c r="G33" i="12"/>
  <c r="C33" i="12"/>
  <c r="G32" i="12"/>
  <c r="C32" i="12"/>
  <c r="G31" i="12"/>
  <c r="C31" i="12"/>
  <c r="G30" i="12"/>
  <c r="C30" i="12"/>
  <c r="G29" i="12"/>
  <c r="C29" i="12"/>
  <c r="G28" i="12"/>
  <c r="C28" i="12"/>
  <c r="G27" i="12"/>
  <c r="C27" i="12"/>
  <c r="G26" i="12"/>
  <c r="C26" i="12"/>
  <c r="G25" i="12"/>
  <c r="C25" i="12"/>
  <c r="G24" i="12"/>
  <c r="C24" i="12"/>
  <c r="G23" i="12"/>
  <c r="C23" i="12"/>
  <c r="G22" i="12"/>
  <c r="C22" i="12"/>
  <c r="G21" i="12"/>
  <c r="C21" i="12"/>
  <c r="G20" i="12"/>
  <c r="C20" i="12"/>
  <c r="G19" i="12"/>
  <c r="C19" i="12"/>
  <c r="G18" i="12"/>
  <c r="C18" i="12"/>
  <c r="G17" i="12"/>
  <c r="C17" i="12"/>
  <c r="G16" i="12"/>
  <c r="C16" i="12"/>
  <c r="G15" i="12"/>
  <c r="C15" i="12"/>
  <c r="G14" i="12"/>
  <c r="C14" i="12"/>
  <c r="G13" i="12"/>
  <c r="C13" i="12"/>
  <c r="G12" i="12"/>
  <c r="C12" i="12"/>
  <c r="G11" i="12"/>
  <c r="C11" i="12"/>
  <c r="G10" i="12"/>
  <c r="C10" i="12"/>
  <c r="G9" i="12"/>
  <c r="C9" i="12"/>
  <c r="G8" i="12"/>
  <c r="C8" i="12"/>
  <c r="G7" i="12"/>
  <c r="C7" i="12"/>
  <c r="G6" i="12"/>
  <c r="C6" i="12"/>
  <c r="G5" i="12"/>
  <c r="C5" i="12"/>
  <c r="G4" i="12"/>
  <c r="C4" i="12"/>
  <c r="G3" i="12"/>
  <c r="C3" i="12"/>
  <c r="G2" i="12"/>
  <c r="C2" i="12"/>
  <c r="D6" i="10" l="1"/>
  <c r="C6" i="10"/>
  <c r="D6" i="9"/>
  <c r="C6" i="9"/>
  <c r="D6" i="2"/>
  <c r="C6" i="2"/>
  <c r="D4" i="2"/>
  <c r="B1" i="11"/>
  <c r="T4" i="9"/>
  <c r="R4" i="9"/>
  <c r="P4" i="9"/>
  <c r="N4" i="9"/>
  <c r="L4" i="9"/>
  <c r="J4" i="9"/>
  <c r="H4" i="9"/>
  <c r="S4" i="9"/>
  <c r="Q4" i="9"/>
  <c r="O4" i="9"/>
  <c r="M4" i="9"/>
  <c r="K4" i="9"/>
  <c r="I4" i="9"/>
  <c r="G4" i="9"/>
  <c r="H2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D7" i="9" l="1"/>
  <c r="C7" i="9"/>
  <c r="D7" i="2"/>
  <c r="C7" i="2"/>
  <c r="C7" i="10"/>
  <c r="D7" i="10"/>
  <c r="D8" i="2" l="1"/>
  <c r="C8" i="2"/>
  <c r="D8" i="9"/>
  <c r="C8" i="9"/>
  <c r="C8" i="10"/>
  <c r="D8" i="10"/>
  <c r="C13" i="11"/>
  <c r="C12" i="11"/>
  <c r="P1" i="11"/>
  <c r="W11" i="11" s="1"/>
  <c r="O1" i="11"/>
  <c r="V10" i="11" s="1"/>
  <c r="X10" i="11" s="1"/>
  <c r="B4" i="1"/>
  <c r="C4" i="1"/>
  <c r="J1" i="11"/>
  <c r="X1" i="11" s="1"/>
  <c r="T1" i="11"/>
  <c r="C2" i="8" s="1"/>
  <c r="S1" i="11"/>
  <c r="B2" i="8" s="1"/>
  <c r="N1" i="11"/>
  <c r="C11" i="11" s="1"/>
  <c r="C3" i="8" s="1"/>
  <c r="M1" i="11"/>
  <c r="F6" i="11"/>
  <c r="F4" i="11"/>
  <c r="D9" i="2" l="1"/>
  <c r="C9" i="2"/>
  <c r="C9" i="10"/>
  <c r="D9" i="10"/>
  <c r="D9" i="9"/>
  <c r="C9" i="9"/>
  <c r="C10" i="11"/>
  <c r="B3" i="8" s="1"/>
  <c r="C3" i="9"/>
  <c r="C3" i="10"/>
  <c r="C3" i="2"/>
  <c r="T4" i="10"/>
  <c r="R4" i="10"/>
  <c r="P4" i="10"/>
  <c r="N4" i="10"/>
  <c r="L4" i="10"/>
  <c r="J4" i="10"/>
  <c r="H4" i="10"/>
  <c r="F4" i="10"/>
  <c r="F4" i="9"/>
  <c r="AF4" i="2"/>
  <c r="AB4" i="2"/>
  <c r="X4" i="2"/>
  <c r="T4" i="2"/>
  <c r="P4" i="2"/>
  <c r="L4" i="2"/>
  <c r="H4" i="2"/>
  <c r="AD4" i="2"/>
  <c r="Z4" i="2"/>
  <c r="V4" i="2"/>
  <c r="R4" i="2"/>
  <c r="N4" i="2"/>
  <c r="J4" i="2"/>
  <c r="F4" i="2"/>
  <c r="C3" i="1"/>
  <c r="D4" i="10"/>
  <c r="D4" i="9"/>
  <c r="E4" i="9"/>
  <c r="AE4" i="2"/>
  <c r="AA4" i="2"/>
  <c r="W4" i="2"/>
  <c r="S4" i="2"/>
  <c r="O4" i="2"/>
  <c r="K4" i="2"/>
  <c r="G4" i="2"/>
  <c r="S4" i="10"/>
  <c r="Q4" i="10"/>
  <c r="O4" i="10"/>
  <c r="M4" i="10"/>
  <c r="K4" i="10"/>
  <c r="I4" i="10"/>
  <c r="G4" i="10"/>
  <c r="E4" i="10"/>
  <c r="AC4" i="2"/>
  <c r="Y4" i="2"/>
  <c r="U4" i="2"/>
  <c r="Q4" i="2"/>
  <c r="M4" i="2"/>
  <c r="I4" i="2"/>
  <c r="E4" i="2"/>
  <c r="B3" i="1"/>
  <c r="R4" i="1"/>
  <c r="P4" i="1"/>
  <c r="N4" i="1"/>
  <c r="L4" i="1"/>
  <c r="J4" i="1"/>
  <c r="H4" i="1"/>
  <c r="F4" i="1"/>
  <c r="D4" i="1"/>
  <c r="W10" i="11"/>
  <c r="V11" i="11"/>
  <c r="X11" i="11" s="1"/>
  <c r="D10" i="2" l="1"/>
  <c r="C10" i="2"/>
  <c r="D10" i="10"/>
  <c r="C10" i="10"/>
  <c r="D10" i="9"/>
  <c r="C10" i="9"/>
  <c r="S4" i="1"/>
  <c r="Q4" i="1"/>
  <c r="O4" i="1"/>
  <c r="M4" i="1"/>
  <c r="K4" i="1"/>
  <c r="I4" i="1"/>
  <c r="G4" i="1"/>
  <c r="E4" i="1"/>
  <c r="E2" i="2"/>
  <c r="C11" i="10" l="1"/>
  <c r="D11" i="10"/>
  <c r="D11" i="9"/>
  <c r="C11" i="9"/>
  <c r="D11" i="2"/>
  <c r="C11" i="2"/>
  <c r="E11" i="2" s="1"/>
  <c r="E9" i="2"/>
  <c r="E10" i="2"/>
  <c r="E8" i="2"/>
  <c r="E7" i="2"/>
  <c r="E6" i="2"/>
  <c r="D3" i="10"/>
  <c r="T2" i="10"/>
  <c r="T10" i="10" s="1"/>
  <c r="S2" i="10"/>
  <c r="R2" i="10"/>
  <c r="R10" i="10" s="1"/>
  <c r="Q2" i="10"/>
  <c r="Q10" i="10" s="1"/>
  <c r="P2" i="10"/>
  <c r="O2" i="10"/>
  <c r="O10" i="10" s="1"/>
  <c r="N2" i="10"/>
  <c r="N10" i="10" s="1"/>
  <c r="M2" i="10"/>
  <c r="L2" i="10"/>
  <c r="K2" i="10"/>
  <c r="J2" i="10"/>
  <c r="J10" i="10" s="1"/>
  <c r="I2" i="10"/>
  <c r="H2" i="10"/>
  <c r="H10" i="10" s="1"/>
  <c r="G2" i="10"/>
  <c r="G10" i="10" s="1"/>
  <c r="F2" i="10"/>
  <c r="E2" i="10"/>
  <c r="T2" i="9"/>
  <c r="S2" i="9"/>
  <c r="S10" i="9" s="1"/>
  <c r="R2" i="9"/>
  <c r="Q2" i="9"/>
  <c r="Q10" i="9" s="1"/>
  <c r="P2" i="9"/>
  <c r="O2" i="9"/>
  <c r="N2" i="9"/>
  <c r="N10" i="9" s="1"/>
  <c r="M2" i="9"/>
  <c r="L2" i="9"/>
  <c r="L10" i="9" s="1"/>
  <c r="K2" i="9"/>
  <c r="K10" i="9" s="1"/>
  <c r="J2" i="9"/>
  <c r="J10" i="9" s="1"/>
  <c r="I2" i="9"/>
  <c r="I10" i="9" s="1"/>
  <c r="H2" i="9"/>
  <c r="H10" i="9" s="1"/>
  <c r="G2" i="9"/>
  <c r="D3" i="9"/>
  <c r="F2" i="9"/>
  <c r="F10" i="9" s="1"/>
  <c r="E2" i="9"/>
  <c r="E10" i="9" s="1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D3" i="2"/>
  <c r="S6" i="10" l="1"/>
  <c r="S8" i="10"/>
  <c r="S7" i="10"/>
  <c r="S9" i="10"/>
  <c r="S10" i="10"/>
  <c r="T6" i="10"/>
  <c r="T7" i="10"/>
  <c r="T8" i="10"/>
  <c r="T9" i="10"/>
  <c r="Q6" i="10"/>
  <c r="Q7" i="10"/>
  <c r="Q9" i="10"/>
  <c r="Q8" i="10"/>
  <c r="R6" i="10"/>
  <c r="R7" i="10"/>
  <c r="R8" i="10"/>
  <c r="R9" i="10"/>
  <c r="P6" i="10"/>
  <c r="P7" i="10"/>
  <c r="P8" i="10"/>
  <c r="P9" i="10"/>
  <c r="P10" i="10"/>
  <c r="O6" i="10"/>
  <c r="O7" i="10"/>
  <c r="O8" i="10"/>
  <c r="O9" i="10"/>
  <c r="M6" i="10"/>
  <c r="M8" i="10"/>
  <c r="M9" i="10"/>
  <c r="M7" i="10"/>
  <c r="N6" i="10"/>
  <c r="N8" i="10"/>
  <c r="N7" i="10"/>
  <c r="N9" i="10"/>
  <c r="M10" i="10"/>
  <c r="K6" i="10"/>
  <c r="K7" i="10"/>
  <c r="K8" i="10"/>
  <c r="K9" i="10"/>
  <c r="K10" i="10"/>
  <c r="L6" i="10"/>
  <c r="L7" i="10"/>
  <c r="L9" i="10"/>
  <c r="L8" i="10"/>
  <c r="L10" i="10"/>
  <c r="I6" i="10"/>
  <c r="I7" i="10"/>
  <c r="I8" i="10"/>
  <c r="I9" i="10"/>
  <c r="I10" i="10"/>
  <c r="J6" i="10"/>
  <c r="J7" i="10"/>
  <c r="J8" i="10"/>
  <c r="J9" i="10"/>
  <c r="G6" i="10"/>
  <c r="G8" i="10"/>
  <c r="G7" i="10"/>
  <c r="G9" i="10"/>
  <c r="H6" i="10"/>
  <c r="H8" i="10"/>
  <c r="H7" i="10"/>
  <c r="H9" i="10"/>
  <c r="G9" i="9"/>
  <c r="G8" i="9"/>
  <c r="G7" i="9"/>
  <c r="O7" i="9"/>
  <c r="O8" i="9"/>
  <c r="O9" i="9"/>
  <c r="F7" i="9"/>
  <c r="F8" i="9"/>
  <c r="F9" i="9"/>
  <c r="I7" i="9"/>
  <c r="I9" i="9"/>
  <c r="I8" i="9"/>
  <c r="M8" i="9"/>
  <c r="M7" i="9"/>
  <c r="M9" i="9"/>
  <c r="Q8" i="9"/>
  <c r="Q9" i="9"/>
  <c r="Q7" i="9"/>
  <c r="O10" i="9"/>
  <c r="J8" i="9"/>
  <c r="J9" i="9"/>
  <c r="J7" i="9"/>
  <c r="N9" i="9"/>
  <c r="N7" i="9"/>
  <c r="N8" i="9"/>
  <c r="R8" i="9"/>
  <c r="R9" i="9"/>
  <c r="R7" i="9"/>
  <c r="M10" i="9"/>
  <c r="R10" i="9"/>
  <c r="K7" i="9"/>
  <c r="K9" i="9"/>
  <c r="K8" i="9"/>
  <c r="S8" i="9"/>
  <c r="S9" i="9"/>
  <c r="S7" i="9"/>
  <c r="E8" i="9"/>
  <c r="E7" i="9"/>
  <c r="E9" i="9"/>
  <c r="H7" i="9"/>
  <c r="H8" i="9"/>
  <c r="H9" i="9"/>
  <c r="L9" i="9"/>
  <c r="L7" i="9"/>
  <c r="L8" i="9"/>
  <c r="P7" i="9"/>
  <c r="P8" i="9"/>
  <c r="P9" i="9"/>
  <c r="T8" i="9"/>
  <c r="T7" i="9"/>
  <c r="T9" i="9"/>
  <c r="G10" i="9"/>
  <c r="T10" i="9"/>
  <c r="P10" i="9"/>
  <c r="D12" i="2"/>
  <c r="C12" i="2"/>
  <c r="E12" i="2" s="1"/>
  <c r="O11" i="10"/>
  <c r="P11" i="10"/>
  <c r="I11" i="10"/>
  <c r="R11" i="10"/>
  <c r="T11" i="10"/>
  <c r="Q11" i="10"/>
  <c r="M11" i="10"/>
  <c r="H11" i="10"/>
  <c r="G11" i="10"/>
  <c r="J11" i="10"/>
  <c r="S11" i="10"/>
  <c r="N11" i="10"/>
  <c r="K11" i="10"/>
  <c r="L11" i="10"/>
  <c r="D12" i="9"/>
  <c r="C12" i="9"/>
  <c r="C12" i="10"/>
  <c r="E12" i="10" s="1"/>
  <c r="D12" i="10"/>
  <c r="P11" i="9"/>
  <c r="H11" i="9"/>
  <c r="R11" i="9"/>
  <c r="L11" i="9"/>
  <c r="N11" i="9"/>
  <c r="J11" i="9"/>
  <c r="I11" i="9"/>
  <c r="M11" i="9"/>
  <c r="Q11" i="9"/>
  <c r="G11" i="9"/>
  <c r="K11" i="9"/>
  <c r="O11" i="9"/>
  <c r="F11" i="9"/>
  <c r="T11" i="9"/>
  <c r="S11" i="9"/>
  <c r="E11" i="9"/>
  <c r="E7" i="10"/>
  <c r="E9" i="10"/>
  <c r="E11" i="10"/>
  <c r="E6" i="10"/>
  <c r="E8" i="10"/>
  <c r="E10" i="10"/>
  <c r="F6" i="10"/>
  <c r="F8" i="10"/>
  <c r="F10" i="10"/>
  <c r="F7" i="10"/>
  <c r="F9" i="10"/>
  <c r="F11" i="10"/>
  <c r="G11" i="2"/>
  <c r="G7" i="2"/>
  <c r="G9" i="2"/>
  <c r="G10" i="2"/>
  <c r="G8" i="2"/>
  <c r="G12" i="2"/>
  <c r="G6" i="2"/>
  <c r="O11" i="2"/>
  <c r="O9" i="2"/>
  <c r="O10" i="2"/>
  <c r="O8" i="2"/>
  <c r="O6" i="2"/>
  <c r="O7" i="2"/>
  <c r="O12" i="2"/>
  <c r="S11" i="2"/>
  <c r="S7" i="2"/>
  <c r="S9" i="2"/>
  <c r="S12" i="2"/>
  <c r="S10" i="2"/>
  <c r="S8" i="2"/>
  <c r="S6" i="2"/>
  <c r="Y9" i="2"/>
  <c r="Y10" i="2"/>
  <c r="Y8" i="2"/>
  <c r="Y11" i="2"/>
  <c r="Y7" i="2"/>
  <c r="Y6" i="2"/>
  <c r="AE11" i="2"/>
  <c r="AE12" i="2"/>
  <c r="AE10" i="2"/>
  <c r="AE8" i="2"/>
  <c r="AE9" i="2"/>
  <c r="AE6" i="2"/>
  <c r="AE7" i="2"/>
  <c r="M11" i="2"/>
  <c r="M10" i="2"/>
  <c r="M8" i="2"/>
  <c r="M9" i="2"/>
  <c r="M7" i="2"/>
  <c r="M6" i="2"/>
  <c r="M12" i="2"/>
  <c r="Q7" i="2"/>
  <c r="Q9" i="2"/>
  <c r="Q10" i="2"/>
  <c r="Q8" i="2"/>
  <c r="Q11" i="2"/>
  <c r="Q6" i="2"/>
  <c r="U11" i="2"/>
  <c r="U10" i="2"/>
  <c r="U8" i="2"/>
  <c r="U7" i="2"/>
  <c r="U9" i="2"/>
  <c r="U6" i="2"/>
  <c r="W11" i="2"/>
  <c r="W7" i="2"/>
  <c r="W9" i="2"/>
  <c r="W10" i="2"/>
  <c r="W8" i="2"/>
  <c r="W6" i="2"/>
  <c r="AA9" i="2"/>
  <c r="AA10" i="2"/>
  <c r="AA8" i="2"/>
  <c r="AA11" i="2"/>
  <c r="AA7" i="2"/>
  <c r="AA6" i="2"/>
  <c r="AC10" i="2"/>
  <c r="AC8" i="2"/>
  <c r="AC11" i="2"/>
  <c r="AC7" i="2"/>
  <c r="AC9" i="2"/>
  <c r="AC6" i="2"/>
  <c r="F11" i="2"/>
  <c r="F7" i="2"/>
  <c r="F9" i="2"/>
  <c r="F10" i="2"/>
  <c r="F8" i="2"/>
  <c r="F6" i="2"/>
  <c r="H8" i="2"/>
  <c r="H11" i="2"/>
  <c r="H10" i="2"/>
  <c r="H7" i="2"/>
  <c r="H9" i="2"/>
  <c r="H6" i="2"/>
  <c r="N9" i="2"/>
  <c r="N11" i="2"/>
  <c r="N10" i="2"/>
  <c r="N8" i="2"/>
  <c r="N6" i="2"/>
  <c r="N7" i="2"/>
  <c r="P11" i="2"/>
  <c r="P9" i="2"/>
  <c r="P10" i="2"/>
  <c r="P8" i="2"/>
  <c r="P6" i="2"/>
  <c r="P7" i="2"/>
  <c r="R11" i="2"/>
  <c r="R9" i="2"/>
  <c r="R7" i="2"/>
  <c r="R10" i="2"/>
  <c r="R8" i="2"/>
  <c r="R6" i="2"/>
  <c r="T9" i="2"/>
  <c r="T10" i="2"/>
  <c r="T8" i="2"/>
  <c r="T11" i="2"/>
  <c r="T7" i="2"/>
  <c r="T12" i="2"/>
  <c r="T6" i="2"/>
  <c r="V7" i="2"/>
  <c r="V11" i="2"/>
  <c r="V9" i="2"/>
  <c r="V10" i="2"/>
  <c r="V8" i="2"/>
  <c r="V6" i="2"/>
  <c r="X11" i="2"/>
  <c r="X9" i="2"/>
  <c r="X10" i="2"/>
  <c r="X8" i="2"/>
  <c r="X7" i="2"/>
  <c r="X6" i="2"/>
  <c r="Z9" i="2"/>
  <c r="Z10" i="2"/>
  <c r="Z8" i="2"/>
  <c r="Z11" i="2"/>
  <c r="Z7" i="2"/>
  <c r="Z6" i="2"/>
  <c r="AB10" i="2"/>
  <c r="AB8" i="2"/>
  <c r="AB9" i="2"/>
  <c r="AB11" i="2"/>
  <c r="AB7" i="2"/>
  <c r="AB6" i="2"/>
  <c r="AD11" i="2"/>
  <c r="AD10" i="2"/>
  <c r="AD8" i="2"/>
  <c r="AD9" i="2"/>
  <c r="AD7" i="2"/>
  <c r="AD6" i="2"/>
  <c r="AF11" i="2"/>
  <c r="AF10" i="2"/>
  <c r="AF8" i="2"/>
  <c r="AF6" i="2"/>
  <c r="AF9" i="2"/>
  <c r="AF7" i="2"/>
  <c r="I11" i="2"/>
  <c r="I7" i="2"/>
  <c r="I9" i="2"/>
  <c r="I6" i="2"/>
  <c r="I12" i="2"/>
  <c r="I10" i="2"/>
  <c r="I8" i="2"/>
  <c r="K11" i="2"/>
  <c r="K7" i="2"/>
  <c r="K9" i="2"/>
  <c r="K10" i="2"/>
  <c r="K8" i="2"/>
  <c r="K6" i="2"/>
  <c r="J11" i="2"/>
  <c r="J7" i="2"/>
  <c r="J9" i="2"/>
  <c r="J6" i="2"/>
  <c r="J10" i="2"/>
  <c r="J8" i="2"/>
  <c r="L11" i="2"/>
  <c r="L7" i="2"/>
  <c r="L9" i="2"/>
  <c r="L12" i="2"/>
  <c r="L10" i="2"/>
  <c r="L8" i="2"/>
  <c r="L6" i="2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D8" i="6"/>
  <c r="D11" i="6"/>
  <c r="D10" i="6"/>
  <c r="D9" i="6"/>
  <c r="D7" i="6"/>
  <c r="D6" i="6"/>
  <c r="D5" i="6"/>
  <c r="D4" i="6"/>
  <c r="D3" i="6"/>
  <c r="D2" i="6"/>
  <c r="AD12" i="2" l="1"/>
  <c r="J12" i="2"/>
  <c r="K12" i="2"/>
  <c r="AF12" i="2"/>
  <c r="AB12" i="2"/>
  <c r="W12" i="2"/>
  <c r="R12" i="2"/>
  <c r="P12" i="2"/>
  <c r="N12" i="2"/>
  <c r="AA12" i="2"/>
  <c r="Z12" i="2"/>
  <c r="H12" i="2"/>
  <c r="F12" i="2"/>
  <c r="AC12" i="2"/>
  <c r="U12" i="2"/>
  <c r="Y12" i="2"/>
  <c r="X12" i="2"/>
  <c r="V12" i="2"/>
  <c r="Q12" i="2"/>
  <c r="F12" i="10"/>
  <c r="G15" i="1"/>
  <c r="G13" i="1"/>
  <c r="G9" i="1"/>
  <c r="G8" i="1"/>
  <c r="G6" i="1"/>
  <c r="G14" i="1"/>
  <c r="G11" i="1"/>
  <c r="G10" i="1"/>
  <c r="G7" i="1"/>
  <c r="G12" i="1"/>
  <c r="S8" i="1"/>
  <c r="S11" i="1"/>
  <c r="S14" i="1"/>
  <c r="S9" i="1"/>
  <c r="S10" i="1"/>
  <c r="S7" i="1"/>
  <c r="S6" i="1"/>
  <c r="S15" i="1"/>
  <c r="S13" i="1"/>
  <c r="S12" i="1"/>
  <c r="H14" i="1"/>
  <c r="H12" i="1"/>
  <c r="H11" i="1"/>
  <c r="H10" i="1"/>
  <c r="H7" i="1"/>
  <c r="H15" i="1"/>
  <c r="H13" i="1"/>
  <c r="H9" i="1"/>
  <c r="H8" i="1"/>
  <c r="H6" i="1"/>
  <c r="I14" i="1"/>
  <c r="I12" i="1"/>
  <c r="I11" i="1"/>
  <c r="I10" i="1"/>
  <c r="I7" i="1"/>
  <c r="I15" i="1"/>
  <c r="I13" i="1"/>
  <c r="I9" i="1"/>
  <c r="I8" i="1"/>
  <c r="I6" i="1"/>
  <c r="M14" i="1"/>
  <c r="M13" i="1"/>
  <c r="M9" i="1"/>
  <c r="M6" i="1"/>
  <c r="M15" i="1"/>
  <c r="M12" i="1"/>
  <c r="M10" i="1"/>
  <c r="M8" i="1"/>
  <c r="M7" i="1"/>
  <c r="M11" i="1"/>
  <c r="F15" i="1"/>
  <c r="F13" i="1"/>
  <c r="F9" i="1"/>
  <c r="F8" i="1"/>
  <c r="F6" i="1"/>
  <c r="F14" i="1"/>
  <c r="F11" i="1"/>
  <c r="F10" i="1"/>
  <c r="F7" i="1"/>
  <c r="F12" i="1"/>
  <c r="J15" i="1"/>
  <c r="J8" i="1"/>
  <c r="J14" i="1"/>
  <c r="J11" i="1"/>
  <c r="J13" i="1"/>
  <c r="J12" i="1"/>
  <c r="J10" i="1"/>
  <c r="J9" i="1"/>
  <c r="J7" i="1"/>
  <c r="J6" i="1"/>
  <c r="N15" i="1"/>
  <c r="N11" i="1"/>
  <c r="N10" i="1"/>
  <c r="N8" i="1"/>
  <c r="N14" i="1"/>
  <c r="N7" i="1"/>
  <c r="N6" i="1"/>
  <c r="N9" i="1"/>
  <c r="N13" i="1"/>
  <c r="N12" i="1"/>
  <c r="R8" i="1"/>
  <c r="R10" i="1"/>
  <c r="R7" i="1"/>
  <c r="R15" i="1"/>
  <c r="R13" i="1"/>
  <c r="R12" i="1"/>
  <c r="R6" i="1"/>
  <c r="R11" i="1"/>
  <c r="R14" i="1"/>
  <c r="R9" i="1"/>
  <c r="K15" i="1"/>
  <c r="K8" i="1"/>
  <c r="K14" i="1"/>
  <c r="K11" i="1"/>
  <c r="K10" i="1"/>
  <c r="K9" i="1"/>
  <c r="K7" i="1"/>
  <c r="K6" i="1"/>
  <c r="K13" i="1"/>
  <c r="K12" i="1"/>
  <c r="L14" i="1"/>
  <c r="L13" i="1"/>
  <c r="L9" i="1"/>
  <c r="L6" i="1"/>
  <c r="L15" i="1"/>
  <c r="L12" i="1"/>
  <c r="L10" i="1"/>
  <c r="L8" i="1"/>
  <c r="L7" i="1"/>
  <c r="L11" i="1"/>
  <c r="P11" i="1"/>
  <c r="P14" i="1"/>
  <c r="P9" i="1"/>
  <c r="P10" i="1"/>
  <c r="P7" i="1"/>
  <c r="P15" i="1"/>
  <c r="P13" i="1"/>
  <c r="P12" i="1"/>
  <c r="P6" i="1"/>
  <c r="P8" i="1"/>
  <c r="O15" i="1"/>
  <c r="O11" i="1"/>
  <c r="O10" i="1"/>
  <c r="O8" i="1"/>
  <c r="O14" i="1"/>
  <c r="O7" i="1"/>
  <c r="O6" i="1"/>
  <c r="O13" i="1"/>
  <c r="O12" i="1"/>
  <c r="O9" i="1"/>
  <c r="Q11" i="1"/>
  <c r="Q6" i="1"/>
  <c r="Q15" i="1"/>
  <c r="Q13" i="1"/>
  <c r="Q12" i="1"/>
  <c r="Q8" i="1"/>
  <c r="Q14" i="1"/>
  <c r="Q9" i="1"/>
  <c r="Q10" i="1"/>
  <c r="Q7" i="1"/>
  <c r="D13" i="9"/>
  <c r="C13" i="9"/>
  <c r="O12" i="10"/>
  <c r="P12" i="10"/>
  <c r="M12" i="10"/>
  <c r="K12" i="10"/>
  <c r="I12" i="10"/>
  <c r="N12" i="10"/>
  <c r="Q12" i="10"/>
  <c r="S12" i="10"/>
  <c r="H12" i="10"/>
  <c r="L12" i="10"/>
  <c r="J12" i="10"/>
  <c r="R12" i="10"/>
  <c r="T12" i="10"/>
  <c r="G12" i="10"/>
  <c r="D13" i="2"/>
  <c r="C13" i="2"/>
  <c r="C13" i="10"/>
  <c r="D13" i="10"/>
  <c r="P12" i="9"/>
  <c r="O12" i="9"/>
  <c r="F12" i="9"/>
  <c r="I12" i="9"/>
  <c r="T12" i="9"/>
  <c r="N12" i="9"/>
  <c r="K12" i="9"/>
  <c r="H12" i="9"/>
  <c r="M12" i="9"/>
  <c r="J12" i="9"/>
  <c r="E12" i="9"/>
  <c r="L12" i="9"/>
  <c r="R12" i="9"/>
  <c r="G12" i="9"/>
  <c r="S12" i="9"/>
  <c r="Q12" i="9"/>
  <c r="D15" i="1"/>
  <c r="D14" i="1"/>
  <c r="D13" i="1"/>
  <c r="D12" i="1"/>
  <c r="D11" i="1"/>
  <c r="D10" i="1"/>
  <c r="D9" i="1"/>
  <c r="D8" i="1"/>
  <c r="D7" i="1"/>
  <c r="D6" i="1"/>
  <c r="E15" i="1"/>
  <c r="E14" i="1"/>
  <c r="E13" i="1"/>
  <c r="E12" i="1"/>
  <c r="E11" i="1"/>
  <c r="E10" i="1"/>
  <c r="E9" i="1"/>
  <c r="E8" i="1"/>
  <c r="E7" i="1"/>
  <c r="E6" i="1"/>
  <c r="D14" i="9" l="1"/>
  <c r="C14" i="9"/>
  <c r="P13" i="10"/>
  <c r="O13" i="10"/>
  <c r="J13" i="10"/>
  <c r="I13" i="10"/>
  <c r="S13" i="10"/>
  <c r="R13" i="10"/>
  <c r="H13" i="10"/>
  <c r="Q13" i="10"/>
  <c r="L13" i="10"/>
  <c r="M13" i="10"/>
  <c r="T13" i="10"/>
  <c r="G13" i="10"/>
  <c r="N13" i="10"/>
  <c r="K13" i="10"/>
  <c r="E13" i="10"/>
  <c r="F13" i="10"/>
  <c r="D14" i="2"/>
  <c r="C14" i="2"/>
  <c r="D14" i="10"/>
  <c r="C14" i="10"/>
  <c r="E13" i="2"/>
  <c r="G13" i="2"/>
  <c r="O13" i="2"/>
  <c r="S13" i="2"/>
  <c r="Y13" i="2"/>
  <c r="AE13" i="2"/>
  <c r="M13" i="2"/>
  <c r="Q13" i="2"/>
  <c r="F13" i="2"/>
  <c r="P13" i="2"/>
  <c r="U13" i="2"/>
  <c r="W13" i="2"/>
  <c r="AA13" i="2"/>
  <c r="AC13" i="2"/>
  <c r="H13" i="2"/>
  <c r="N13" i="2"/>
  <c r="R13" i="2"/>
  <c r="T13" i="2"/>
  <c r="V13" i="2"/>
  <c r="Z13" i="2"/>
  <c r="AB13" i="2"/>
  <c r="AD13" i="2"/>
  <c r="I13" i="2"/>
  <c r="X13" i="2"/>
  <c r="AF13" i="2"/>
  <c r="K13" i="2"/>
  <c r="L13" i="2"/>
  <c r="J13" i="2"/>
  <c r="P13" i="9"/>
  <c r="O13" i="9"/>
  <c r="H13" i="9"/>
  <c r="J13" i="9"/>
  <c r="K13" i="9"/>
  <c r="N13" i="9"/>
  <c r="I13" i="9"/>
  <c r="Q13" i="9"/>
  <c r="F13" i="9"/>
  <c r="G13" i="9"/>
  <c r="L13" i="9"/>
  <c r="R13" i="9"/>
  <c r="E13" i="9"/>
  <c r="M13" i="9"/>
  <c r="S13" i="9"/>
  <c r="T13" i="9"/>
  <c r="D15" i="9" l="1"/>
  <c r="C15" i="9"/>
  <c r="D15" i="2"/>
  <c r="C15" i="2"/>
  <c r="C15" i="10"/>
  <c r="D15" i="10"/>
  <c r="P14" i="10"/>
  <c r="O14" i="10"/>
  <c r="J14" i="10"/>
  <c r="I14" i="10"/>
  <c r="M14" i="10"/>
  <c r="L14" i="10"/>
  <c r="K14" i="10"/>
  <c r="N14" i="10"/>
  <c r="Q14" i="10"/>
  <c r="T14" i="10"/>
  <c r="R14" i="10"/>
  <c r="S14" i="10"/>
  <c r="H14" i="10"/>
  <c r="G14" i="10"/>
  <c r="F14" i="10"/>
  <c r="E14" i="10"/>
  <c r="F14" i="9"/>
  <c r="P14" i="9"/>
  <c r="J14" i="9"/>
  <c r="E14" i="9"/>
  <c r="O14" i="9"/>
  <c r="I14" i="9"/>
  <c r="S14" i="9"/>
  <c r="K14" i="9"/>
  <c r="L14" i="9"/>
  <c r="R14" i="9"/>
  <c r="M14" i="9"/>
  <c r="H14" i="9"/>
  <c r="G14" i="9"/>
  <c r="T14" i="9"/>
  <c r="N14" i="9"/>
  <c r="Q14" i="9"/>
  <c r="E14" i="2"/>
  <c r="S14" i="2"/>
  <c r="Y14" i="2"/>
  <c r="G14" i="2"/>
  <c r="O14" i="2"/>
  <c r="M14" i="2"/>
  <c r="W14" i="2"/>
  <c r="F14" i="2"/>
  <c r="H14" i="2"/>
  <c r="N14" i="2"/>
  <c r="AE14" i="2"/>
  <c r="Q14" i="2"/>
  <c r="U14" i="2"/>
  <c r="AA14" i="2"/>
  <c r="AC14" i="2"/>
  <c r="P14" i="2"/>
  <c r="R14" i="2"/>
  <c r="T14" i="2"/>
  <c r="X14" i="2"/>
  <c r="Z14" i="2"/>
  <c r="AB14" i="2"/>
  <c r="AF14" i="2"/>
  <c r="I14" i="2"/>
  <c r="V14" i="2"/>
  <c r="AD14" i="2"/>
  <c r="K14" i="2"/>
  <c r="J14" i="2"/>
  <c r="L14" i="2"/>
  <c r="D16" i="2" l="1"/>
  <c r="C16" i="2"/>
  <c r="O15" i="10"/>
  <c r="J15" i="10"/>
  <c r="P15" i="10"/>
  <c r="I15" i="10"/>
  <c r="M15" i="10"/>
  <c r="S15" i="10"/>
  <c r="N15" i="10"/>
  <c r="H15" i="10"/>
  <c r="Q15" i="10"/>
  <c r="T15" i="10"/>
  <c r="G15" i="10"/>
  <c r="K15" i="10"/>
  <c r="L15" i="10"/>
  <c r="R15" i="10"/>
  <c r="F15" i="10"/>
  <c r="E15" i="10"/>
  <c r="C16" i="10"/>
  <c r="D16" i="10"/>
  <c r="D16" i="9"/>
  <c r="C16" i="9"/>
  <c r="E15" i="2"/>
  <c r="O15" i="2"/>
  <c r="Y15" i="2"/>
  <c r="G15" i="2"/>
  <c r="S15" i="2"/>
  <c r="AE15" i="2"/>
  <c r="Q15" i="2"/>
  <c r="U15" i="2"/>
  <c r="AA15" i="2"/>
  <c r="AC15" i="2"/>
  <c r="H15" i="2"/>
  <c r="R15" i="2"/>
  <c r="M15" i="2"/>
  <c r="W15" i="2"/>
  <c r="F15" i="2"/>
  <c r="N15" i="2"/>
  <c r="P15" i="2"/>
  <c r="X15" i="2"/>
  <c r="K15" i="2"/>
  <c r="T15" i="2"/>
  <c r="V15" i="2"/>
  <c r="Z15" i="2"/>
  <c r="AB15" i="2"/>
  <c r="AD15" i="2"/>
  <c r="AF15" i="2"/>
  <c r="I15" i="2"/>
  <c r="J15" i="2"/>
  <c r="L15" i="2"/>
  <c r="P15" i="9"/>
  <c r="O15" i="9"/>
  <c r="N15" i="9"/>
  <c r="K15" i="9"/>
  <c r="H15" i="9"/>
  <c r="J15" i="9"/>
  <c r="I15" i="9"/>
  <c r="Q15" i="9"/>
  <c r="T15" i="9"/>
  <c r="S15" i="9"/>
  <c r="L15" i="9"/>
  <c r="R15" i="9"/>
  <c r="G15" i="9"/>
  <c r="F15" i="9"/>
  <c r="E15" i="9"/>
  <c r="M15" i="9"/>
  <c r="D17" i="9" l="1"/>
  <c r="C17" i="9"/>
  <c r="C17" i="10"/>
  <c r="D17" i="10"/>
  <c r="D17" i="2"/>
  <c r="C17" i="2"/>
  <c r="O16" i="10"/>
  <c r="P16" i="10"/>
  <c r="J16" i="10"/>
  <c r="M16" i="10"/>
  <c r="G16" i="10"/>
  <c r="R16" i="10"/>
  <c r="T16" i="10"/>
  <c r="S16" i="10"/>
  <c r="L16" i="10"/>
  <c r="N16" i="10"/>
  <c r="I16" i="10"/>
  <c r="Q16" i="10"/>
  <c r="K16" i="10"/>
  <c r="H16" i="10"/>
  <c r="F16" i="10"/>
  <c r="E16" i="10"/>
  <c r="S16" i="9"/>
  <c r="P16" i="9"/>
  <c r="F16" i="9"/>
  <c r="T16" i="9"/>
  <c r="N16" i="9"/>
  <c r="J16" i="9"/>
  <c r="E16" i="9"/>
  <c r="M16" i="9"/>
  <c r="I16" i="9"/>
  <c r="O16" i="9"/>
  <c r="L16" i="9"/>
  <c r="Q16" i="9"/>
  <c r="H16" i="9"/>
  <c r="G16" i="9"/>
  <c r="R16" i="9"/>
  <c r="K16" i="9"/>
  <c r="E16" i="2"/>
  <c r="G16" i="2"/>
  <c r="S16" i="2"/>
  <c r="O16" i="2"/>
  <c r="Y16" i="2"/>
  <c r="AE16" i="2"/>
  <c r="U16" i="2"/>
  <c r="W16" i="2"/>
  <c r="AA16" i="2"/>
  <c r="N16" i="2"/>
  <c r="P16" i="2"/>
  <c r="M16" i="2"/>
  <c r="Q16" i="2"/>
  <c r="AC16" i="2"/>
  <c r="F16" i="2"/>
  <c r="H16" i="2"/>
  <c r="V16" i="2"/>
  <c r="AD16" i="2"/>
  <c r="R16" i="2"/>
  <c r="T16" i="2"/>
  <c r="X16" i="2"/>
  <c r="Z16" i="2"/>
  <c r="AB16" i="2"/>
  <c r="AF16" i="2"/>
  <c r="I16" i="2"/>
  <c r="J16" i="2"/>
  <c r="K16" i="2"/>
  <c r="L16" i="2"/>
  <c r="D18" i="9" l="1"/>
  <c r="C18" i="9"/>
  <c r="D18" i="2"/>
  <c r="C18" i="2"/>
  <c r="D18" i="10"/>
  <c r="C18" i="10"/>
  <c r="O17" i="10"/>
  <c r="S17" i="10"/>
  <c r="P17" i="10"/>
  <c r="T17" i="10"/>
  <c r="J17" i="10"/>
  <c r="L17" i="10"/>
  <c r="H17" i="10"/>
  <c r="R17" i="10"/>
  <c r="I17" i="10"/>
  <c r="N17" i="10"/>
  <c r="K17" i="10"/>
  <c r="Q17" i="10"/>
  <c r="G17" i="10"/>
  <c r="M17" i="10"/>
  <c r="E17" i="10"/>
  <c r="F17" i="10"/>
  <c r="E17" i="2"/>
  <c r="G17" i="2"/>
  <c r="O17" i="2"/>
  <c r="S17" i="2"/>
  <c r="AE17" i="2"/>
  <c r="Y17" i="2"/>
  <c r="M17" i="2"/>
  <c r="Q17" i="2"/>
  <c r="U17" i="2"/>
  <c r="H17" i="2"/>
  <c r="N17" i="2"/>
  <c r="P17" i="2"/>
  <c r="R17" i="2"/>
  <c r="W17" i="2"/>
  <c r="AA17" i="2"/>
  <c r="AC17" i="2"/>
  <c r="F17" i="2"/>
  <c r="T17" i="2"/>
  <c r="V17" i="2"/>
  <c r="X17" i="2"/>
  <c r="AB17" i="2"/>
  <c r="AD17" i="2"/>
  <c r="AF17" i="2"/>
  <c r="I17" i="2"/>
  <c r="K17" i="2"/>
  <c r="Z17" i="2"/>
  <c r="L17" i="2"/>
  <c r="J17" i="2"/>
  <c r="P17" i="9"/>
  <c r="H17" i="9"/>
  <c r="R17" i="9"/>
  <c r="L17" i="9"/>
  <c r="F17" i="9"/>
  <c r="J17" i="9"/>
  <c r="E17" i="9"/>
  <c r="I17" i="9"/>
  <c r="O17" i="9"/>
  <c r="G17" i="9"/>
  <c r="K17" i="9"/>
  <c r="Q17" i="9"/>
  <c r="M17" i="9"/>
  <c r="N17" i="9"/>
  <c r="S17" i="9"/>
  <c r="T17" i="9"/>
  <c r="D19" i="9" l="1"/>
  <c r="C19" i="9"/>
  <c r="D19" i="2"/>
  <c r="C19" i="2"/>
  <c r="C19" i="10"/>
  <c r="D19" i="10"/>
  <c r="P18" i="10"/>
  <c r="O18" i="10"/>
  <c r="R18" i="10"/>
  <c r="S18" i="10"/>
  <c r="L18" i="10"/>
  <c r="I18" i="10"/>
  <c r="M18" i="10"/>
  <c r="K18" i="10"/>
  <c r="H18" i="10"/>
  <c r="G18" i="10"/>
  <c r="N18" i="10"/>
  <c r="J18" i="10"/>
  <c r="Q18" i="10"/>
  <c r="T18" i="10"/>
  <c r="E18" i="10"/>
  <c r="F18" i="10"/>
  <c r="E18" i="2"/>
  <c r="O18" i="2"/>
  <c r="Y18" i="2"/>
  <c r="G18" i="2"/>
  <c r="S18" i="2"/>
  <c r="AE18" i="2"/>
  <c r="Q18" i="2"/>
  <c r="AC18" i="2"/>
  <c r="F18" i="2"/>
  <c r="H18" i="2"/>
  <c r="N18" i="2"/>
  <c r="P18" i="2"/>
  <c r="M18" i="2"/>
  <c r="U18" i="2"/>
  <c r="W18" i="2"/>
  <c r="AA18" i="2"/>
  <c r="R18" i="2"/>
  <c r="T18" i="2"/>
  <c r="V18" i="2"/>
  <c r="Z18" i="2"/>
  <c r="AB18" i="2"/>
  <c r="I18" i="2"/>
  <c r="X18" i="2"/>
  <c r="AD18" i="2"/>
  <c r="AF18" i="2"/>
  <c r="K18" i="2"/>
  <c r="L18" i="2"/>
  <c r="J18" i="2"/>
  <c r="P18" i="9"/>
  <c r="H18" i="9"/>
  <c r="J18" i="9"/>
  <c r="L18" i="9"/>
  <c r="F18" i="9"/>
  <c r="E18" i="9"/>
  <c r="I18" i="9"/>
  <c r="O18" i="9"/>
  <c r="G18" i="9"/>
  <c r="K18" i="9"/>
  <c r="T18" i="9"/>
  <c r="R18" i="9"/>
  <c r="N18" i="9"/>
  <c r="S18" i="9"/>
  <c r="M18" i="9"/>
  <c r="Q18" i="9"/>
  <c r="D20" i="9" l="1"/>
  <c r="C20" i="9"/>
  <c r="D20" i="2"/>
  <c r="C20" i="2"/>
  <c r="O19" i="10"/>
  <c r="R19" i="10"/>
  <c r="S19" i="10"/>
  <c r="I19" i="10"/>
  <c r="H19" i="10"/>
  <c r="J19" i="10"/>
  <c r="N19" i="10"/>
  <c r="T19" i="10"/>
  <c r="K19" i="10"/>
  <c r="G19" i="10"/>
  <c r="Q19" i="10"/>
  <c r="P19" i="10"/>
  <c r="M19" i="10"/>
  <c r="L19" i="10"/>
  <c r="E19" i="10"/>
  <c r="F19" i="10"/>
  <c r="C20" i="10"/>
  <c r="D20" i="10"/>
  <c r="E19" i="2"/>
  <c r="G19" i="2"/>
  <c r="AE19" i="2"/>
  <c r="O19" i="2"/>
  <c r="S19" i="2"/>
  <c r="Y19" i="2"/>
  <c r="M19" i="2"/>
  <c r="Q19" i="2"/>
  <c r="W19" i="2"/>
  <c r="F19" i="2"/>
  <c r="N19" i="2"/>
  <c r="U19" i="2"/>
  <c r="AA19" i="2"/>
  <c r="AC19" i="2"/>
  <c r="H19" i="2"/>
  <c r="P19" i="2"/>
  <c r="T19" i="2"/>
  <c r="Z19" i="2"/>
  <c r="AB19" i="2"/>
  <c r="AF19" i="2"/>
  <c r="I19" i="2"/>
  <c r="R19" i="2"/>
  <c r="V19" i="2"/>
  <c r="X19" i="2"/>
  <c r="AD19" i="2"/>
  <c r="K19" i="2"/>
  <c r="L19" i="2"/>
  <c r="J19" i="2"/>
  <c r="H19" i="9"/>
  <c r="F19" i="9"/>
  <c r="J19" i="9"/>
  <c r="P19" i="9"/>
  <c r="N19" i="9"/>
  <c r="R19" i="9"/>
  <c r="G19" i="9"/>
  <c r="M19" i="9"/>
  <c r="Q19" i="9"/>
  <c r="E19" i="9"/>
  <c r="I19" i="9"/>
  <c r="O19" i="9"/>
  <c r="T19" i="9"/>
  <c r="S19" i="9"/>
  <c r="L19" i="9"/>
  <c r="K19" i="9"/>
  <c r="D21" i="2" l="1"/>
  <c r="C21" i="2"/>
  <c r="C21" i="10"/>
  <c r="D21" i="10"/>
  <c r="D21" i="9"/>
  <c r="C21" i="9"/>
  <c r="O20" i="10"/>
  <c r="P20" i="10"/>
  <c r="I20" i="10"/>
  <c r="Q20" i="10"/>
  <c r="L20" i="10"/>
  <c r="T20" i="10"/>
  <c r="M20" i="10"/>
  <c r="G20" i="10"/>
  <c r="J20" i="10"/>
  <c r="K20" i="10"/>
  <c r="N20" i="10"/>
  <c r="S20" i="10"/>
  <c r="R20" i="10"/>
  <c r="H20" i="10"/>
  <c r="E20" i="10"/>
  <c r="F20" i="10"/>
  <c r="T20" i="9"/>
  <c r="H20" i="9"/>
  <c r="S20" i="9"/>
  <c r="P20" i="9"/>
  <c r="F20" i="9"/>
  <c r="G20" i="9"/>
  <c r="E20" i="9"/>
  <c r="O20" i="9"/>
  <c r="L20" i="9"/>
  <c r="R20" i="9"/>
  <c r="K20" i="9"/>
  <c r="I20" i="9"/>
  <c r="M20" i="9"/>
  <c r="N20" i="9"/>
  <c r="J20" i="9"/>
  <c r="Q20" i="9"/>
  <c r="E20" i="2"/>
  <c r="G20" i="2"/>
  <c r="S20" i="2"/>
  <c r="O20" i="2"/>
  <c r="Y20" i="2"/>
  <c r="M20" i="2"/>
  <c r="AE20" i="2"/>
  <c r="U20" i="2"/>
  <c r="W20" i="2"/>
  <c r="AA20" i="2"/>
  <c r="F20" i="2"/>
  <c r="H20" i="2"/>
  <c r="N20" i="2"/>
  <c r="P20" i="2"/>
  <c r="Q20" i="2"/>
  <c r="AC20" i="2"/>
  <c r="R20" i="2"/>
  <c r="X20" i="2"/>
  <c r="AF20" i="2"/>
  <c r="T20" i="2"/>
  <c r="V20" i="2"/>
  <c r="Z20" i="2"/>
  <c r="AB20" i="2"/>
  <c r="AD20" i="2"/>
  <c r="I20" i="2"/>
  <c r="J20" i="2"/>
  <c r="K20" i="2"/>
  <c r="L20" i="2"/>
  <c r="D22" i="2" l="1"/>
  <c r="C22" i="2"/>
  <c r="D22" i="10"/>
  <c r="C22" i="10"/>
  <c r="D22" i="9"/>
  <c r="C22" i="9"/>
  <c r="O21" i="10"/>
  <c r="P21" i="10"/>
  <c r="K21" i="10"/>
  <c r="Q21" i="10"/>
  <c r="R21" i="10"/>
  <c r="G21" i="10"/>
  <c r="L21" i="10"/>
  <c r="J21" i="10"/>
  <c r="N21" i="10"/>
  <c r="T21" i="10"/>
  <c r="H21" i="10"/>
  <c r="S21" i="10"/>
  <c r="M21" i="10"/>
  <c r="I21" i="10"/>
  <c r="E21" i="10"/>
  <c r="F21" i="10"/>
  <c r="P21" i="9"/>
  <c r="O21" i="9"/>
  <c r="J21" i="9"/>
  <c r="S21" i="9"/>
  <c r="F21" i="9"/>
  <c r="M21" i="9"/>
  <c r="T21" i="9"/>
  <c r="N21" i="9"/>
  <c r="I21" i="9"/>
  <c r="H21" i="9"/>
  <c r="E21" i="9"/>
  <c r="Q21" i="9"/>
  <c r="L21" i="9"/>
  <c r="R21" i="9"/>
  <c r="K21" i="9"/>
  <c r="G21" i="9"/>
  <c r="E21" i="2"/>
  <c r="G21" i="2"/>
  <c r="O21" i="2"/>
  <c r="S21" i="2"/>
  <c r="Y21" i="2"/>
  <c r="AE21" i="2"/>
  <c r="M21" i="2"/>
  <c r="AC21" i="2"/>
  <c r="F21" i="2"/>
  <c r="Q21" i="2"/>
  <c r="U21" i="2"/>
  <c r="W21" i="2"/>
  <c r="AA21" i="2"/>
  <c r="H21" i="2"/>
  <c r="N21" i="2"/>
  <c r="P21" i="2"/>
  <c r="R21" i="2"/>
  <c r="Z21" i="2"/>
  <c r="T21" i="2"/>
  <c r="V21" i="2"/>
  <c r="X21" i="2"/>
  <c r="AB21" i="2"/>
  <c r="AD21" i="2"/>
  <c r="AF21" i="2"/>
  <c r="I21" i="2"/>
  <c r="K21" i="2"/>
  <c r="J21" i="2"/>
  <c r="L21" i="2"/>
  <c r="D23" i="9" l="1"/>
  <c r="C23" i="9"/>
  <c r="C23" i="10"/>
  <c r="D23" i="10"/>
  <c r="D23" i="2"/>
  <c r="C23" i="2"/>
  <c r="O22" i="10"/>
  <c r="P22" i="10"/>
  <c r="I22" i="10"/>
  <c r="S22" i="10"/>
  <c r="N22" i="10"/>
  <c r="T22" i="10"/>
  <c r="K22" i="10"/>
  <c r="J22" i="10"/>
  <c r="Q22" i="10"/>
  <c r="L22" i="10"/>
  <c r="G22" i="10"/>
  <c r="M22" i="10"/>
  <c r="H22" i="10"/>
  <c r="R22" i="10"/>
  <c r="F22" i="10"/>
  <c r="E22" i="10"/>
  <c r="S22" i="9"/>
  <c r="H22" i="9"/>
  <c r="J22" i="9"/>
  <c r="G22" i="9"/>
  <c r="O22" i="9"/>
  <c r="L22" i="9"/>
  <c r="R22" i="9"/>
  <c r="P22" i="9"/>
  <c r="F22" i="9"/>
  <c r="K22" i="9"/>
  <c r="T22" i="9"/>
  <c r="N22" i="9"/>
  <c r="I22" i="9"/>
  <c r="Q22" i="9"/>
  <c r="E22" i="9"/>
  <c r="M22" i="9"/>
  <c r="E22" i="2"/>
  <c r="O22" i="2"/>
  <c r="S22" i="2"/>
  <c r="Y22" i="2"/>
  <c r="AE22" i="2"/>
  <c r="G22" i="2"/>
  <c r="M22" i="2"/>
  <c r="AC22" i="2"/>
  <c r="F22" i="2"/>
  <c r="R22" i="2"/>
  <c r="Q22" i="2"/>
  <c r="U22" i="2"/>
  <c r="W22" i="2"/>
  <c r="AA22" i="2"/>
  <c r="H22" i="2"/>
  <c r="N22" i="2"/>
  <c r="P22" i="2"/>
  <c r="T22" i="2"/>
  <c r="V22" i="2"/>
  <c r="X22" i="2"/>
  <c r="AD22" i="2"/>
  <c r="I22" i="2"/>
  <c r="Z22" i="2"/>
  <c r="AB22" i="2"/>
  <c r="AF22" i="2"/>
  <c r="K22" i="2"/>
  <c r="J22" i="2"/>
  <c r="L22" i="2"/>
  <c r="D24" i="9" l="1"/>
  <c r="C24" i="9"/>
  <c r="D24" i="2"/>
  <c r="C24" i="2"/>
  <c r="C24" i="10"/>
  <c r="D24" i="10"/>
  <c r="O23" i="10"/>
  <c r="P23" i="10"/>
  <c r="L23" i="10"/>
  <c r="R23" i="10"/>
  <c r="S23" i="10"/>
  <c r="H23" i="10"/>
  <c r="I23" i="10"/>
  <c r="Q23" i="10"/>
  <c r="M23" i="10"/>
  <c r="T23" i="10"/>
  <c r="J23" i="10"/>
  <c r="G23" i="10"/>
  <c r="K23" i="10"/>
  <c r="N23" i="10"/>
  <c r="E23" i="10"/>
  <c r="F23" i="10"/>
  <c r="E23" i="2"/>
  <c r="O23" i="2"/>
  <c r="S23" i="2"/>
  <c r="Y23" i="2"/>
  <c r="G23" i="2"/>
  <c r="AE23" i="2"/>
  <c r="U23" i="2"/>
  <c r="AA23" i="2"/>
  <c r="AC23" i="2"/>
  <c r="H23" i="2"/>
  <c r="P23" i="2"/>
  <c r="M23" i="2"/>
  <c r="Q23" i="2"/>
  <c r="W23" i="2"/>
  <c r="F23" i="2"/>
  <c r="N23" i="2"/>
  <c r="T23" i="2"/>
  <c r="V23" i="2"/>
  <c r="X23" i="2"/>
  <c r="Z23" i="2"/>
  <c r="AB23" i="2"/>
  <c r="AD23" i="2"/>
  <c r="K23" i="2"/>
  <c r="R23" i="2"/>
  <c r="AF23" i="2"/>
  <c r="I23" i="2"/>
  <c r="J23" i="2"/>
  <c r="L23" i="2"/>
  <c r="F23" i="9"/>
  <c r="J23" i="9"/>
  <c r="P23" i="9"/>
  <c r="R23" i="9"/>
  <c r="I23" i="9"/>
  <c r="Q23" i="9"/>
  <c r="E23" i="9"/>
  <c r="O23" i="9"/>
  <c r="L23" i="9"/>
  <c r="S23" i="9"/>
  <c r="T23" i="9"/>
  <c r="N23" i="9"/>
  <c r="M23" i="9"/>
  <c r="H23" i="9"/>
  <c r="K23" i="9"/>
  <c r="G23" i="9"/>
  <c r="D25" i="9" l="1"/>
  <c r="C25" i="9"/>
  <c r="D25" i="2"/>
  <c r="C25" i="2"/>
  <c r="C25" i="10"/>
  <c r="D25" i="10"/>
  <c r="O24" i="10"/>
  <c r="P24" i="10"/>
  <c r="Q24" i="10"/>
  <c r="R24" i="10"/>
  <c r="N24" i="10"/>
  <c r="G24" i="10"/>
  <c r="K24" i="10"/>
  <c r="L24" i="10"/>
  <c r="H24" i="10"/>
  <c r="T24" i="10"/>
  <c r="S24" i="10"/>
  <c r="J24" i="10"/>
  <c r="I24" i="10"/>
  <c r="M24" i="10"/>
  <c r="E24" i="10"/>
  <c r="F24" i="10"/>
  <c r="P24" i="9"/>
  <c r="O24" i="9"/>
  <c r="S24" i="9"/>
  <c r="F24" i="9"/>
  <c r="G24" i="9"/>
  <c r="T24" i="9"/>
  <c r="N24" i="9"/>
  <c r="H24" i="9"/>
  <c r="J24" i="9"/>
  <c r="K24" i="9"/>
  <c r="L24" i="9"/>
  <c r="R24" i="9"/>
  <c r="I24" i="9"/>
  <c r="Q24" i="9"/>
  <c r="M24" i="9"/>
  <c r="E24" i="9"/>
  <c r="E24" i="2"/>
  <c r="O24" i="2"/>
  <c r="AE24" i="2"/>
  <c r="G24" i="2"/>
  <c r="S24" i="2"/>
  <c r="Y24" i="2"/>
  <c r="M24" i="2"/>
  <c r="Q24" i="2"/>
  <c r="U24" i="2"/>
  <c r="H24" i="2"/>
  <c r="P24" i="2"/>
  <c r="W24" i="2"/>
  <c r="AA24" i="2"/>
  <c r="AC24" i="2"/>
  <c r="F24" i="2"/>
  <c r="N24" i="2"/>
  <c r="R24" i="2"/>
  <c r="V24" i="2"/>
  <c r="Z24" i="2"/>
  <c r="AB24" i="2"/>
  <c r="AD24" i="2"/>
  <c r="T24" i="2"/>
  <c r="X24" i="2"/>
  <c r="AF24" i="2"/>
  <c r="I24" i="2"/>
  <c r="J24" i="2"/>
  <c r="K24" i="2"/>
  <c r="L24" i="2"/>
  <c r="D26" i="2" l="1"/>
  <c r="C26" i="2"/>
  <c r="D26" i="9"/>
  <c r="C26" i="9"/>
  <c r="D26" i="10"/>
  <c r="C26" i="10"/>
  <c r="I25" i="10"/>
  <c r="T25" i="10"/>
  <c r="P25" i="10"/>
  <c r="S25" i="10"/>
  <c r="Q25" i="10"/>
  <c r="R25" i="10"/>
  <c r="O25" i="10"/>
  <c r="J25" i="10"/>
  <c r="H25" i="10"/>
  <c r="M25" i="10"/>
  <c r="G25" i="10"/>
  <c r="L25" i="10"/>
  <c r="K25" i="10"/>
  <c r="N25" i="10"/>
  <c r="E25" i="10"/>
  <c r="F25" i="10"/>
  <c r="E25" i="2"/>
  <c r="G25" i="2"/>
  <c r="S25" i="2"/>
  <c r="Y25" i="2"/>
  <c r="AE25" i="2"/>
  <c r="O25" i="2"/>
  <c r="M25" i="2"/>
  <c r="Q25" i="2"/>
  <c r="U25" i="2"/>
  <c r="W25" i="2"/>
  <c r="AA25" i="2"/>
  <c r="F25" i="2"/>
  <c r="H25" i="2"/>
  <c r="P25" i="2"/>
  <c r="R25" i="2"/>
  <c r="AC25" i="2"/>
  <c r="N25" i="2"/>
  <c r="T25" i="2"/>
  <c r="V25" i="2"/>
  <c r="Z25" i="2"/>
  <c r="AB25" i="2"/>
  <c r="AD25" i="2"/>
  <c r="AF25" i="2"/>
  <c r="I25" i="2"/>
  <c r="K25" i="2"/>
  <c r="X25" i="2"/>
  <c r="J25" i="2"/>
  <c r="L25" i="2"/>
  <c r="P25" i="9"/>
  <c r="O25" i="9"/>
  <c r="T25" i="9"/>
  <c r="N25" i="9"/>
  <c r="E25" i="9"/>
  <c r="M25" i="9"/>
  <c r="S25" i="9"/>
  <c r="F25" i="9"/>
  <c r="L25" i="9"/>
  <c r="R25" i="9"/>
  <c r="I25" i="9"/>
  <c r="Q25" i="9"/>
  <c r="H25" i="9"/>
  <c r="J25" i="9"/>
  <c r="K25" i="9"/>
  <c r="G25" i="9"/>
  <c r="D27" i="9" l="1"/>
  <c r="C27" i="9"/>
  <c r="D27" i="2"/>
  <c r="C27" i="2"/>
  <c r="C27" i="10"/>
  <c r="D27" i="10"/>
  <c r="O26" i="10"/>
  <c r="G26" i="10"/>
  <c r="N26" i="10"/>
  <c r="M26" i="10"/>
  <c r="T26" i="10"/>
  <c r="L26" i="10"/>
  <c r="S26" i="10"/>
  <c r="K26" i="10"/>
  <c r="R26" i="10"/>
  <c r="J26" i="10"/>
  <c r="Q26" i="10"/>
  <c r="I26" i="10"/>
  <c r="P26" i="10"/>
  <c r="H26" i="10"/>
  <c r="E26" i="10"/>
  <c r="F26" i="10"/>
  <c r="P26" i="9"/>
  <c r="O26" i="9"/>
  <c r="S26" i="9"/>
  <c r="F26" i="9"/>
  <c r="G26" i="9"/>
  <c r="T26" i="9"/>
  <c r="N26" i="9"/>
  <c r="H26" i="9"/>
  <c r="J26" i="9"/>
  <c r="K26" i="9"/>
  <c r="L26" i="9"/>
  <c r="R26" i="9"/>
  <c r="I26" i="9"/>
  <c r="Q26" i="9"/>
  <c r="E26" i="9"/>
  <c r="M26" i="9"/>
  <c r="E26" i="2"/>
  <c r="G26" i="2"/>
  <c r="Y26" i="2"/>
  <c r="O26" i="2"/>
  <c r="S26" i="2"/>
  <c r="AE26" i="2"/>
  <c r="Q26" i="2"/>
  <c r="W26" i="2"/>
  <c r="AA26" i="2"/>
  <c r="AC26" i="2"/>
  <c r="N26" i="2"/>
  <c r="R26" i="2"/>
  <c r="M26" i="2"/>
  <c r="U26" i="2"/>
  <c r="F26" i="2"/>
  <c r="H26" i="2"/>
  <c r="P26" i="2"/>
  <c r="T26" i="2"/>
  <c r="V26" i="2"/>
  <c r="AB26" i="2"/>
  <c r="AD26" i="2"/>
  <c r="I26" i="2"/>
  <c r="X26" i="2"/>
  <c r="Z26" i="2"/>
  <c r="AF26" i="2"/>
  <c r="K26" i="2"/>
  <c r="L26" i="2"/>
  <c r="J26" i="2"/>
  <c r="O27" i="10" l="1"/>
  <c r="J27" i="10"/>
  <c r="I27" i="10"/>
  <c r="T27" i="10"/>
  <c r="S27" i="10"/>
  <c r="P27" i="10"/>
  <c r="K27" i="10"/>
  <c r="L27" i="10"/>
  <c r="M27" i="10"/>
  <c r="Q27" i="10"/>
  <c r="N27" i="10"/>
  <c r="G27" i="10"/>
  <c r="R27" i="10"/>
  <c r="H27" i="10"/>
  <c r="F27" i="10"/>
  <c r="E27" i="10"/>
  <c r="D28" i="2"/>
  <c r="C28" i="2"/>
  <c r="D28" i="9"/>
  <c r="C28" i="9"/>
  <c r="C28" i="10"/>
  <c r="D28" i="10"/>
  <c r="E27" i="2"/>
  <c r="G27" i="2"/>
  <c r="S27" i="2"/>
  <c r="AE27" i="2"/>
  <c r="O27" i="2"/>
  <c r="Y27" i="2"/>
  <c r="M27" i="2"/>
  <c r="W27" i="2"/>
  <c r="R27" i="2"/>
  <c r="Q27" i="2"/>
  <c r="U27" i="2"/>
  <c r="AA27" i="2"/>
  <c r="AC27" i="2"/>
  <c r="F27" i="2"/>
  <c r="H27" i="2"/>
  <c r="N27" i="2"/>
  <c r="P27" i="2"/>
  <c r="X27" i="2"/>
  <c r="I27" i="2"/>
  <c r="T27" i="2"/>
  <c r="V27" i="2"/>
  <c r="Z27" i="2"/>
  <c r="AB27" i="2"/>
  <c r="AD27" i="2"/>
  <c r="AF27" i="2"/>
  <c r="K27" i="2"/>
  <c r="L27" i="2"/>
  <c r="J27" i="2"/>
  <c r="P27" i="9"/>
  <c r="O27" i="9"/>
  <c r="T27" i="9"/>
  <c r="N27" i="9"/>
  <c r="E27" i="9"/>
  <c r="M27" i="9"/>
  <c r="S27" i="9"/>
  <c r="F27" i="9"/>
  <c r="L27" i="9"/>
  <c r="R27" i="9"/>
  <c r="I27" i="9"/>
  <c r="Q27" i="9"/>
  <c r="H27" i="9"/>
  <c r="J27" i="9"/>
  <c r="K27" i="9"/>
  <c r="G27" i="9"/>
  <c r="D29" i="9" l="1"/>
  <c r="C29" i="9"/>
  <c r="D29" i="2"/>
  <c r="C29" i="2"/>
  <c r="C29" i="10"/>
  <c r="D29" i="10"/>
  <c r="O28" i="10"/>
  <c r="N28" i="10"/>
  <c r="K28" i="10"/>
  <c r="J28" i="10"/>
  <c r="G28" i="10"/>
  <c r="R28" i="10"/>
  <c r="P28" i="10"/>
  <c r="Q28" i="10"/>
  <c r="L28" i="10"/>
  <c r="M28" i="10"/>
  <c r="H28" i="10"/>
  <c r="I28" i="10"/>
  <c r="S28" i="10"/>
  <c r="T28" i="10"/>
  <c r="E28" i="10"/>
  <c r="F28" i="10"/>
  <c r="S28" i="9"/>
  <c r="H28" i="9"/>
  <c r="J28" i="9"/>
  <c r="G28" i="9"/>
  <c r="O28" i="9"/>
  <c r="T28" i="9"/>
  <c r="N28" i="9"/>
  <c r="P28" i="9"/>
  <c r="F28" i="9"/>
  <c r="K28" i="9"/>
  <c r="L28" i="9"/>
  <c r="R28" i="9"/>
  <c r="I28" i="9"/>
  <c r="Q28" i="9"/>
  <c r="M28" i="9"/>
  <c r="E28" i="9"/>
  <c r="E28" i="2"/>
  <c r="G28" i="2"/>
  <c r="S28" i="2"/>
  <c r="AE28" i="2"/>
  <c r="O28" i="2"/>
  <c r="Y28" i="2"/>
  <c r="M28" i="2"/>
  <c r="U28" i="2"/>
  <c r="F28" i="2"/>
  <c r="H28" i="2"/>
  <c r="N28" i="2"/>
  <c r="P28" i="2"/>
  <c r="R28" i="2"/>
  <c r="Q28" i="2"/>
  <c r="W28" i="2"/>
  <c r="AA28" i="2"/>
  <c r="AC28" i="2"/>
  <c r="T28" i="2"/>
  <c r="X28" i="2"/>
  <c r="Z28" i="2"/>
  <c r="AF28" i="2"/>
  <c r="V28" i="2"/>
  <c r="AB28" i="2"/>
  <c r="AD28" i="2"/>
  <c r="I28" i="2"/>
  <c r="J28" i="2"/>
  <c r="K28" i="2"/>
  <c r="L28" i="2"/>
  <c r="D30" i="2" l="1"/>
  <c r="C30" i="2"/>
  <c r="D30" i="9"/>
  <c r="C30" i="9"/>
  <c r="D30" i="10"/>
  <c r="C30" i="10"/>
  <c r="J29" i="10"/>
  <c r="O29" i="10"/>
  <c r="I29" i="10"/>
  <c r="P29" i="10"/>
  <c r="L29" i="10"/>
  <c r="G29" i="10"/>
  <c r="Q29" i="10"/>
  <c r="H29" i="10"/>
  <c r="R29" i="10"/>
  <c r="M29" i="10"/>
  <c r="S29" i="10"/>
  <c r="N29" i="10"/>
  <c r="T29" i="10"/>
  <c r="K29" i="10"/>
  <c r="F29" i="10"/>
  <c r="E29" i="10"/>
  <c r="E29" i="2"/>
  <c r="O29" i="2"/>
  <c r="G29" i="2"/>
  <c r="S29" i="2"/>
  <c r="Y29" i="2"/>
  <c r="AE29" i="2"/>
  <c r="AC29" i="2"/>
  <c r="N29" i="2"/>
  <c r="M29" i="2"/>
  <c r="Q29" i="2"/>
  <c r="U29" i="2"/>
  <c r="W29" i="2"/>
  <c r="AA29" i="2"/>
  <c r="F29" i="2"/>
  <c r="H29" i="2"/>
  <c r="P29" i="2"/>
  <c r="X29" i="2"/>
  <c r="R29" i="2"/>
  <c r="T29" i="2"/>
  <c r="V29" i="2"/>
  <c r="Z29" i="2"/>
  <c r="AB29" i="2"/>
  <c r="AD29" i="2"/>
  <c r="AF29" i="2"/>
  <c r="I29" i="2"/>
  <c r="K29" i="2"/>
  <c r="J29" i="2"/>
  <c r="L29" i="2"/>
  <c r="L29" i="9"/>
  <c r="R29" i="9"/>
  <c r="I29" i="9"/>
  <c r="Q29" i="9"/>
  <c r="S29" i="9"/>
  <c r="H29" i="9"/>
  <c r="J29" i="9"/>
  <c r="T29" i="9"/>
  <c r="N29" i="9"/>
  <c r="E29" i="9"/>
  <c r="M29" i="9"/>
  <c r="P29" i="9"/>
  <c r="F29" i="9"/>
  <c r="K29" i="9"/>
  <c r="O29" i="9"/>
  <c r="G29" i="9"/>
  <c r="D31" i="9" l="1"/>
  <c r="C31" i="9"/>
  <c r="D31" i="2"/>
  <c r="C31" i="2"/>
  <c r="C31" i="10"/>
  <c r="D31" i="10"/>
  <c r="O30" i="10"/>
  <c r="P30" i="10"/>
  <c r="S30" i="10"/>
  <c r="K30" i="10"/>
  <c r="H30" i="10"/>
  <c r="I30" i="10"/>
  <c r="G30" i="10"/>
  <c r="M30" i="10"/>
  <c r="T30" i="10"/>
  <c r="R30" i="10"/>
  <c r="N30" i="10"/>
  <c r="J30" i="10"/>
  <c r="Q30" i="10"/>
  <c r="L30" i="10"/>
  <c r="F30" i="10"/>
  <c r="E30" i="10"/>
  <c r="P30" i="9"/>
  <c r="F30" i="9"/>
  <c r="K30" i="9"/>
  <c r="L30" i="9"/>
  <c r="R30" i="9"/>
  <c r="S30" i="9"/>
  <c r="H30" i="9"/>
  <c r="J30" i="9"/>
  <c r="G30" i="9"/>
  <c r="O30" i="9"/>
  <c r="T30" i="9"/>
  <c r="N30" i="9"/>
  <c r="E30" i="9"/>
  <c r="M30" i="9"/>
  <c r="Q30" i="9"/>
  <c r="I30" i="9"/>
  <c r="E30" i="2"/>
  <c r="O30" i="2"/>
  <c r="Y30" i="2"/>
  <c r="G30" i="2"/>
  <c r="S30" i="2"/>
  <c r="AE30" i="2"/>
  <c r="M30" i="2"/>
  <c r="Q30" i="2"/>
  <c r="W30" i="2"/>
  <c r="AA30" i="2"/>
  <c r="AC30" i="2"/>
  <c r="U30" i="2"/>
  <c r="F30" i="2"/>
  <c r="H30" i="2"/>
  <c r="N30" i="2"/>
  <c r="P30" i="2"/>
  <c r="V30" i="2"/>
  <c r="AB30" i="2"/>
  <c r="AD30" i="2"/>
  <c r="I30" i="2"/>
  <c r="R30" i="2"/>
  <c r="T30" i="2"/>
  <c r="X30" i="2"/>
  <c r="Z30" i="2"/>
  <c r="AF30" i="2"/>
  <c r="K30" i="2"/>
  <c r="J30" i="2"/>
  <c r="L30" i="2"/>
  <c r="D32" i="2" l="1"/>
  <c r="C32" i="2"/>
  <c r="J31" i="10"/>
  <c r="O31" i="10"/>
  <c r="K31" i="10"/>
  <c r="G31" i="10"/>
  <c r="L31" i="10"/>
  <c r="H31" i="10"/>
  <c r="I31" i="10"/>
  <c r="P31" i="10"/>
  <c r="R31" i="10"/>
  <c r="M31" i="10"/>
  <c r="T31" i="10"/>
  <c r="N31" i="10"/>
  <c r="S31" i="10"/>
  <c r="Q31" i="10"/>
  <c r="E31" i="10"/>
  <c r="F31" i="10"/>
  <c r="D32" i="9"/>
  <c r="C32" i="9"/>
  <c r="C32" i="10"/>
  <c r="D32" i="10"/>
  <c r="E31" i="2"/>
  <c r="O31" i="2"/>
  <c r="Y31" i="2"/>
  <c r="G31" i="2"/>
  <c r="S31" i="2"/>
  <c r="AE31" i="2"/>
  <c r="M31" i="2"/>
  <c r="Q31" i="2"/>
  <c r="U31" i="2"/>
  <c r="AA31" i="2"/>
  <c r="AC31" i="2"/>
  <c r="F31" i="2"/>
  <c r="H31" i="2"/>
  <c r="N31" i="2"/>
  <c r="P31" i="2"/>
  <c r="W31" i="2"/>
  <c r="R31" i="2"/>
  <c r="T31" i="2"/>
  <c r="V31" i="2"/>
  <c r="Z31" i="2"/>
  <c r="AB31" i="2"/>
  <c r="AD31" i="2"/>
  <c r="AF31" i="2"/>
  <c r="K31" i="2"/>
  <c r="X31" i="2"/>
  <c r="I31" i="2"/>
  <c r="J31" i="2"/>
  <c r="L31" i="2"/>
  <c r="H31" i="9"/>
  <c r="P31" i="9"/>
  <c r="R31" i="9"/>
  <c r="O31" i="9"/>
  <c r="G31" i="9"/>
  <c r="Q31" i="9"/>
  <c r="L31" i="9"/>
  <c r="E31" i="9"/>
  <c r="N31" i="9"/>
  <c r="I31" i="9"/>
  <c r="S31" i="9"/>
  <c r="T31" i="9"/>
  <c r="F31" i="9"/>
  <c r="K31" i="9"/>
  <c r="M31" i="9"/>
  <c r="J31" i="9"/>
  <c r="D33" i="9" l="1"/>
  <c r="C33" i="9"/>
  <c r="D33" i="2"/>
  <c r="C33" i="2"/>
  <c r="C33" i="10"/>
  <c r="D33" i="10"/>
  <c r="O32" i="10"/>
  <c r="I32" i="10"/>
  <c r="P32" i="10"/>
  <c r="J32" i="10"/>
  <c r="S32" i="10"/>
  <c r="N32" i="10"/>
  <c r="R32" i="10"/>
  <c r="Q32" i="10"/>
  <c r="G32" i="10"/>
  <c r="L32" i="10"/>
  <c r="K32" i="10"/>
  <c r="T32" i="10"/>
  <c r="M32" i="10"/>
  <c r="H32" i="10"/>
  <c r="F32" i="10"/>
  <c r="E32" i="10"/>
  <c r="E32" i="2"/>
  <c r="G32" i="2"/>
  <c r="S32" i="2"/>
  <c r="AE32" i="2"/>
  <c r="O32" i="2"/>
  <c r="Y32" i="2"/>
  <c r="M32" i="2"/>
  <c r="U32" i="2"/>
  <c r="F32" i="2"/>
  <c r="H32" i="2"/>
  <c r="N32" i="2"/>
  <c r="P32" i="2"/>
  <c r="R32" i="2"/>
  <c r="Q32" i="2"/>
  <c r="W32" i="2"/>
  <c r="AA32" i="2"/>
  <c r="AC32" i="2"/>
  <c r="T32" i="2"/>
  <c r="X32" i="2"/>
  <c r="Z32" i="2"/>
  <c r="AF32" i="2"/>
  <c r="V32" i="2"/>
  <c r="AB32" i="2"/>
  <c r="AD32" i="2"/>
  <c r="I32" i="2"/>
  <c r="J32" i="2"/>
  <c r="K32" i="2"/>
  <c r="L32" i="2"/>
  <c r="P32" i="9"/>
  <c r="F32" i="9"/>
  <c r="G32" i="9"/>
  <c r="O32" i="9"/>
  <c r="T32" i="9"/>
  <c r="N32" i="9"/>
  <c r="S32" i="9"/>
  <c r="H32" i="9"/>
  <c r="J32" i="9"/>
  <c r="K32" i="9"/>
  <c r="L32" i="9"/>
  <c r="R32" i="9"/>
  <c r="E32" i="9"/>
  <c r="M32" i="9"/>
  <c r="Q32" i="9"/>
  <c r="I32" i="9"/>
  <c r="D34" i="10" l="1"/>
  <c r="C34" i="10"/>
  <c r="D34" i="2"/>
  <c r="C34" i="2"/>
  <c r="D34" i="9"/>
  <c r="C34" i="9"/>
  <c r="T33" i="10"/>
  <c r="S33" i="10"/>
  <c r="P33" i="10"/>
  <c r="O33" i="10"/>
  <c r="L33" i="10"/>
  <c r="K33" i="10"/>
  <c r="R33" i="10"/>
  <c r="H33" i="10"/>
  <c r="N33" i="10"/>
  <c r="Q33" i="10"/>
  <c r="J33" i="10"/>
  <c r="M33" i="10"/>
  <c r="G33" i="10"/>
  <c r="I33" i="10"/>
  <c r="E33" i="10"/>
  <c r="F33" i="10"/>
  <c r="E33" i="2"/>
  <c r="G33" i="2"/>
  <c r="S33" i="2"/>
  <c r="Y33" i="2"/>
  <c r="AE33" i="2"/>
  <c r="O33" i="2"/>
  <c r="M33" i="2"/>
  <c r="Q33" i="2"/>
  <c r="U33" i="2"/>
  <c r="W33" i="2"/>
  <c r="AA33" i="2"/>
  <c r="F33" i="2"/>
  <c r="H33" i="2"/>
  <c r="P33" i="2"/>
  <c r="R33" i="2"/>
  <c r="AC33" i="2"/>
  <c r="N33" i="2"/>
  <c r="T33" i="2"/>
  <c r="V33" i="2"/>
  <c r="Z33" i="2"/>
  <c r="AB33" i="2"/>
  <c r="AD33" i="2"/>
  <c r="AF33" i="2"/>
  <c r="I33" i="2"/>
  <c r="K33" i="2"/>
  <c r="X33" i="2"/>
  <c r="L33" i="2"/>
  <c r="J33" i="2"/>
  <c r="P33" i="9"/>
  <c r="O33" i="9"/>
  <c r="T33" i="9"/>
  <c r="N33" i="9"/>
  <c r="I33" i="9"/>
  <c r="Q33" i="9"/>
  <c r="S33" i="9"/>
  <c r="F33" i="9"/>
  <c r="L33" i="9"/>
  <c r="R33" i="9"/>
  <c r="E33" i="9"/>
  <c r="M33" i="9"/>
  <c r="H33" i="9"/>
  <c r="J33" i="9"/>
  <c r="G33" i="9"/>
  <c r="K33" i="9"/>
  <c r="D35" i="9" l="1"/>
  <c r="C35" i="9"/>
  <c r="O34" i="10"/>
  <c r="I34" i="10"/>
  <c r="P34" i="10"/>
  <c r="J34" i="10"/>
  <c r="K34" i="10"/>
  <c r="Q34" i="10"/>
  <c r="H34" i="10"/>
  <c r="G34" i="10"/>
  <c r="M34" i="10"/>
  <c r="R34" i="10"/>
  <c r="T34" i="10"/>
  <c r="S34" i="10"/>
  <c r="N34" i="10"/>
  <c r="L34" i="10"/>
  <c r="E34" i="10"/>
  <c r="F34" i="10"/>
  <c r="D35" i="2"/>
  <c r="C35" i="2"/>
  <c r="C35" i="10"/>
  <c r="D35" i="10"/>
  <c r="E34" i="2"/>
  <c r="O34" i="2"/>
  <c r="Y34" i="2"/>
  <c r="G34" i="2"/>
  <c r="S34" i="2"/>
  <c r="AE34" i="2"/>
  <c r="Q34" i="2"/>
  <c r="W34" i="2"/>
  <c r="AA34" i="2"/>
  <c r="AC34" i="2"/>
  <c r="F34" i="2"/>
  <c r="M34" i="2"/>
  <c r="U34" i="2"/>
  <c r="H34" i="2"/>
  <c r="N34" i="2"/>
  <c r="P34" i="2"/>
  <c r="T34" i="2"/>
  <c r="X34" i="2"/>
  <c r="AF34" i="2"/>
  <c r="I34" i="2"/>
  <c r="R34" i="2"/>
  <c r="V34" i="2"/>
  <c r="Z34" i="2"/>
  <c r="AB34" i="2"/>
  <c r="AD34" i="2"/>
  <c r="K34" i="2"/>
  <c r="L34" i="2"/>
  <c r="J34" i="2"/>
  <c r="L34" i="9"/>
  <c r="J34" i="9"/>
  <c r="P34" i="9"/>
  <c r="F34" i="9"/>
  <c r="I34" i="9"/>
  <c r="O34" i="9"/>
  <c r="E34" i="9"/>
  <c r="K34" i="9"/>
  <c r="S34" i="9"/>
  <c r="T34" i="9"/>
  <c r="R34" i="9"/>
  <c r="H34" i="9"/>
  <c r="G34" i="9"/>
  <c r="N34" i="9"/>
  <c r="M34" i="9"/>
  <c r="Q34" i="9"/>
  <c r="D36" i="2" l="1"/>
  <c r="C36" i="2"/>
  <c r="K35" i="10"/>
  <c r="G35" i="10"/>
  <c r="N35" i="10"/>
  <c r="O35" i="10"/>
  <c r="J35" i="10"/>
  <c r="M35" i="10"/>
  <c r="P35" i="10"/>
  <c r="I35" i="10"/>
  <c r="L35" i="10"/>
  <c r="H35" i="10"/>
  <c r="T35" i="10"/>
  <c r="Q35" i="10"/>
  <c r="S35" i="10"/>
  <c r="R35" i="10"/>
  <c r="F35" i="10"/>
  <c r="E35" i="10"/>
  <c r="D36" i="9"/>
  <c r="C36" i="9"/>
  <c r="C36" i="10"/>
  <c r="D36" i="10"/>
  <c r="E35" i="2"/>
  <c r="G35" i="2"/>
  <c r="S35" i="2"/>
  <c r="AE35" i="2"/>
  <c r="O35" i="2"/>
  <c r="Y35" i="2"/>
  <c r="M35" i="2"/>
  <c r="Q35" i="2"/>
  <c r="W35" i="2"/>
  <c r="F35" i="2"/>
  <c r="N35" i="2"/>
  <c r="R35" i="2"/>
  <c r="U35" i="2"/>
  <c r="AA35" i="2"/>
  <c r="AC35" i="2"/>
  <c r="H35" i="2"/>
  <c r="P35" i="2"/>
  <c r="V35" i="2"/>
  <c r="AF35" i="2"/>
  <c r="I35" i="2"/>
  <c r="T35" i="2"/>
  <c r="X35" i="2"/>
  <c r="Z35" i="2"/>
  <c r="AB35" i="2"/>
  <c r="AD35" i="2"/>
  <c r="K35" i="2"/>
  <c r="L35" i="2"/>
  <c r="J35" i="2"/>
  <c r="L35" i="9"/>
  <c r="N35" i="9"/>
  <c r="J35" i="9"/>
  <c r="P35" i="9"/>
  <c r="H35" i="9"/>
  <c r="R35" i="9"/>
  <c r="I35" i="9"/>
  <c r="M35" i="9"/>
  <c r="Q35" i="9"/>
  <c r="G35" i="9"/>
  <c r="K35" i="9"/>
  <c r="O35" i="9"/>
  <c r="T35" i="9"/>
  <c r="E35" i="9"/>
  <c r="F35" i="9"/>
  <c r="S35" i="9"/>
  <c r="D37" i="9" l="1"/>
  <c r="C37" i="9"/>
  <c r="D37" i="2"/>
  <c r="C37" i="2"/>
  <c r="C37" i="10"/>
  <c r="D37" i="10"/>
  <c r="O36" i="10"/>
  <c r="J36" i="10"/>
  <c r="P36" i="10"/>
  <c r="L36" i="10"/>
  <c r="I36" i="10"/>
  <c r="Q36" i="10"/>
  <c r="K36" i="10"/>
  <c r="R36" i="10"/>
  <c r="S36" i="10"/>
  <c r="N36" i="10"/>
  <c r="T36" i="10"/>
  <c r="G36" i="10"/>
  <c r="H36" i="10"/>
  <c r="M36" i="10"/>
  <c r="E36" i="10"/>
  <c r="F36" i="10"/>
  <c r="P36" i="9"/>
  <c r="F36" i="9"/>
  <c r="K36" i="9"/>
  <c r="L36" i="9"/>
  <c r="R36" i="9"/>
  <c r="S36" i="9"/>
  <c r="H36" i="9"/>
  <c r="J36" i="9"/>
  <c r="G36" i="9"/>
  <c r="O36" i="9"/>
  <c r="T36" i="9"/>
  <c r="N36" i="9"/>
  <c r="E36" i="9"/>
  <c r="M36" i="9"/>
  <c r="Q36" i="9"/>
  <c r="I36" i="9"/>
  <c r="E36" i="2"/>
  <c r="G36" i="2"/>
  <c r="S36" i="2"/>
  <c r="O36" i="2"/>
  <c r="Y36" i="2"/>
  <c r="AE36" i="2"/>
  <c r="M36" i="2"/>
  <c r="U36" i="2"/>
  <c r="AA36" i="2"/>
  <c r="F36" i="2"/>
  <c r="N36" i="2"/>
  <c r="Q36" i="2"/>
  <c r="W36" i="2"/>
  <c r="AC36" i="2"/>
  <c r="H36" i="2"/>
  <c r="P36" i="2"/>
  <c r="R36" i="2"/>
  <c r="AD36" i="2"/>
  <c r="AF36" i="2"/>
  <c r="T36" i="2"/>
  <c r="V36" i="2"/>
  <c r="X36" i="2"/>
  <c r="Z36" i="2"/>
  <c r="AB36" i="2"/>
  <c r="I36" i="2"/>
  <c r="J36" i="2"/>
  <c r="K36" i="2"/>
  <c r="L36" i="2"/>
  <c r="D38" i="2" l="1"/>
  <c r="C38" i="2"/>
  <c r="D38" i="10"/>
  <c r="C38" i="10"/>
  <c r="D38" i="9"/>
  <c r="C38" i="9"/>
  <c r="S37" i="10"/>
  <c r="T37" i="10"/>
  <c r="O37" i="10"/>
  <c r="P37" i="10"/>
  <c r="M37" i="10"/>
  <c r="N37" i="10"/>
  <c r="I37" i="10"/>
  <c r="J37" i="10"/>
  <c r="L37" i="10"/>
  <c r="H37" i="10"/>
  <c r="K37" i="10"/>
  <c r="G37" i="10"/>
  <c r="Q37" i="10"/>
  <c r="R37" i="10"/>
  <c r="F37" i="10"/>
  <c r="E37" i="10"/>
  <c r="E37" i="2"/>
  <c r="O37" i="2"/>
  <c r="S37" i="2"/>
  <c r="G37" i="2"/>
  <c r="Y37" i="2"/>
  <c r="AE37" i="2"/>
  <c r="M37" i="2"/>
  <c r="U37" i="2"/>
  <c r="AC37" i="2"/>
  <c r="N37" i="2"/>
  <c r="R37" i="2"/>
  <c r="Q37" i="2"/>
  <c r="W37" i="2"/>
  <c r="AA37" i="2"/>
  <c r="F37" i="2"/>
  <c r="H37" i="2"/>
  <c r="P37" i="2"/>
  <c r="T37" i="2"/>
  <c r="AB37" i="2"/>
  <c r="V37" i="2"/>
  <c r="X37" i="2"/>
  <c r="Z37" i="2"/>
  <c r="AD37" i="2"/>
  <c r="AF37" i="2"/>
  <c r="I37" i="2"/>
  <c r="K37" i="2"/>
  <c r="J37" i="2"/>
  <c r="L37" i="2"/>
  <c r="H37" i="9"/>
  <c r="R37" i="9"/>
  <c r="P37" i="9"/>
  <c r="F37" i="9"/>
  <c r="J37" i="9"/>
  <c r="G37" i="9"/>
  <c r="O37" i="9"/>
  <c r="E37" i="9"/>
  <c r="I37" i="9"/>
  <c r="Q37" i="9"/>
  <c r="S37" i="9"/>
  <c r="T37" i="9"/>
  <c r="N37" i="9"/>
  <c r="M37" i="9"/>
  <c r="L37" i="9"/>
  <c r="K37" i="9"/>
  <c r="D39" i="9" l="1"/>
  <c r="C39" i="9"/>
  <c r="C39" i="10"/>
  <c r="D39" i="10"/>
  <c r="D39" i="2"/>
  <c r="C39" i="2"/>
  <c r="G38" i="10"/>
  <c r="H38" i="10"/>
  <c r="O38" i="10"/>
  <c r="P38" i="10"/>
  <c r="M38" i="10"/>
  <c r="N38" i="10"/>
  <c r="I38" i="10"/>
  <c r="J38" i="10"/>
  <c r="K38" i="10"/>
  <c r="S38" i="10"/>
  <c r="L38" i="10"/>
  <c r="Q38" i="10"/>
  <c r="T38" i="10"/>
  <c r="R38" i="10"/>
  <c r="F38" i="10"/>
  <c r="E38" i="10"/>
  <c r="P38" i="9"/>
  <c r="O38" i="9"/>
  <c r="S38" i="9"/>
  <c r="F38" i="9"/>
  <c r="G38" i="9"/>
  <c r="L38" i="9"/>
  <c r="R38" i="9"/>
  <c r="H38" i="9"/>
  <c r="J38" i="9"/>
  <c r="K38" i="9"/>
  <c r="T38" i="9"/>
  <c r="N38" i="9"/>
  <c r="I38" i="9"/>
  <c r="Q38" i="9"/>
  <c r="E38" i="9"/>
  <c r="M38" i="9"/>
  <c r="E38" i="2"/>
  <c r="O38" i="2"/>
  <c r="S38" i="2"/>
  <c r="G38" i="2"/>
  <c r="Y38" i="2"/>
  <c r="AE38" i="2"/>
  <c r="M38" i="2"/>
  <c r="U38" i="2"/>
  <c r="W38" i="2"/>
  <c r="AA38" i="2"/>
  <c r="AC38" i="2"/>
  <c r="H38" i="2"/>
  <c r="Q38" i="2"/>
  <c r="F38" i="2"/>
  <c r="N38" i="2"/>
  <c r="P38" i="2"/>
  <c r="T38" i="2"/>
  <c r="X38" i="2"/>
  <c r="Z38" i="2"/>
  <c r="AB38" i="2"/>
  <c r="I38" i="2"/>
  <c r="R38" i="2"/>
  <c r="V38" i="2"/>
  <c r="AD38" i="2"/>
  <c r="AF38" i="2"/>
  <c r="K38" i="2"/>
  <c r="J38" i="2"/>
  <c r="L38" i="2"/>
  <c r="D40" i="2" l="1"/>
  <c r="C40" i="2"/>
  <c r="C40" i="10"/>
  <c r="D40" i="10"/>
  <c r="D40" i="9"/>
  <c r="C40" i="9"/>
  <c r="I39" i="10"/>
  <c r="J39" i="10"/>
  <c r="L39" i="10"/>
  <c r="K39" i="10"/>
  <c r="H39" i="10"/>
  <c r="G39" i="10"/>
  <c r="P39" i="10"/>
  <c r="O39" i="10"/>
  <c r="S39" i="10"/>
  <c r="Q39" i="10"/>
  <c r="N39" i="10"/>
  <c r="R39" i="10"/>
  <c r="M39" i="10"/>
  <c r="T39" i="10"/>
  <c r="E39" i="10"/>
  <c r="F39" i="10"/>
  <c r="E39" i="2"/>
  <c r="O39" i="2"/>
  <c r="S39" i="2"/>
  <c r="Y39" i="2"/>
  <c r="AE39" i="2"/>
  <c r="G39" i="2"/>
  <c r="M39" i="2"/>
  <c r="U39" i="2"/>
  <c r="W39" i="2"/>
  <c r="AA39" i="2"/>
  <c r="F39" i="2"/>
  <c r="H39" i="2"/>
  <c r="P39" i="2"/>
  <c r="R39" i="2"/>
  <c r="Q39" i="2"/>
  <c r="AC39" i="2"/>
  <c r="N39" i="2"/>
  <c r="X39" i="2"/>
  <c r="Z39" i="2"/>
  <c r="AB39" i="2"/>
  <c r="AD39" i="2"/>
  <c r="AF39" i="2"/>
  <c r="K39" i="2"/>
  <c r="T39" i="2"/>
  <c r="V39" i="2"/>
  <c r="I39" i="2"/>
  <c r="J39" i="2"/>
  <c r="L39" i="2"/>
  <c r="L39" i="9"/>
  <c r="N39" i="9"/>
  <c r="R39" i="9"/>
  <c r="P39" i="9"/>
  <c r="H39" i="9"/>
  <c r="F39" i="9"/>
  <c r="J39" i="9"/>
  <c r="G39" i="9"/>
  <c r="K39" i="9"/>
  <c r="O39" i="9"/>
  <c r="E39" i="9"/>
  <c r="I39" i="9"/>
  <c r="M39" i="9"/>
  <c r="Q39" i="9"/>
  <c r="T39" i="9"/>
  <c r="S39" i="9"/>
  <c r="D41" i="9" l="1"/>
  <c r="C41" i="9"/>
  <c r="C41" i="10"/>
  <c r="D41" i="10"/>
  <c r="D41" i="2"/>
  <c r="C41" i="2"/>
  <c r="P40" i="10"/>
  <c r="O40" i="10"/>
  <c r="L40" i="10"/>
  <c r="K40" i="10"/>
  <c r="J40" i="10"/>
  <c r="I40" i="10"/>
  <c r="N40" i="10"/>
  <c r="T40" i="10"/>
  <c r="Q40" i="10"/>
  <c r="H40" i="10"/>
  <c r="S40" i="10"/>
  <c r="M40" i="10"/>
  <c r="R40" i="10"/>
  <c r="G40" i="10"/>
  <c r="E40" i="10"/>
  <c r="F40" i="10"/>
  <c r="P40" i="9"/>
  <c r="O40" i="9"/>
  <c r="L40" i="9"/>
  <c r="J40" i="9"/>
  <c r="G40" i="9"/>
  <c r="T40" i="9"/>
  <c r="H40" i="9"/>
  <c r="S40" i="9"/>
  <c r="N40" i="9"/>
  <c r="K40" i="9"/>
  <c r="R40" i="9"/>
  <c r="F40" i="9"/>
  <c r="I40" i="9"/>
  <c r="Q40" i="9"/>
  <c r="E40" i="9"/>
  <c r="M40" i="9"/>
  <c r="E40" i="2"/>
  <c r="G40" i="2"/>
  <c r="Y40" i="2"/>
  <c r="AE40" i="2"/>
  <c r="O40" i="2"/>
  <c r="S40" i="2"/>
  <c r="M40" i="2"/>
  <c r="Q40" i="2"/>
  <c r="AC40" i="2"/>
  <c r="H40" i="2"/>
  <c r="N40" i="2"/>
  <c r="P40" i="2"/>
  <c r="R40" i="2"/>
  <c r="U40" i="2"/>
  <c r="W40" i="2"/>
  <c r="AA40" i="2"/>
  <c r="F40" i="2"/>
  <c r="X40" i="2"/>
  <c r="AF40" i="2"/>
  <c r="T40" i="2"/>
  <c r="V40" i="2"/>
  <c r="Z40" i="2"/>
  <c r="AB40" i="2"/>
  <c r="AD40" i="2"/>
  <c r="I40" i="2"/>
  <c r="J40" i="2"/>
  <c r="K40" i="2"/>
  <c r="L40" i="2"/>
  <c r="D42" i="9" l="1"/>
  <c r="C42" i="9"/>
  <c r="D42" i="2"/>
  <c r="C42" i="2"/>
  <c r="D42" i="10"/>
  <c r="C42" i="10"/>
  <c r="O41" i="10"/>
  <c r="G41" i="10"/>
  <c r="N41" i="10"/>
  <c r="M41" i="10"/>
  <c r="T41" i="10"/>
  <c r="L41" i="10"/>
  <c r="S41" i="10"/>
  <c r="K41" i="10"/>
  <c r="R41" i="10"/>
  <c r="J41" i="10"/>
  <c r="Q41" i="10"/>
  <c r="I41" i="10"/>
  <c r="P41" i="10"/>
  <c r="H41" i="10"/>
  <c r="E41" i="10"/>
  <c r="F41" i="10"/>
  <c r="E41" i="2"/>
  <c r="G41" i="2"/>
  <c r="O41" i="2"/>
  <c r="S41" i="2"/>
  <c r="Y41" i="2"/>
  <c r="AE41" i="2"/>
  <c r="M41" i="2"/>
  <c r="Q41" i="2"/>
  <c r="AA41" i="2"/>
  <c r="AC41" i="2"/>
  <c r="N41" i="2"/>
  <c r="U41" i="2"/>
  <c r="W41" i="2"/>
  <c r="F41" i="2"/>
  <c r="H41" i="2"/>
  <c r="P41" i="2"/>
  <c r="T41" i="2"/>
  <c r="X41" i="2"/>
  <c r="I41" i="2"/>
  <c r="K41" i="2"/>
  <c r="R41" i="2"/>
  <c r="V41" i="2"/>
  <c r="Z41" i="2"/>
  <c r="AB41" i="2"/>
  <c r="AD41" i="2"/>
  <c r="AF41" i="2"/>
  <c r="J41" i="2"/>
  <c r="L41" i="2"/>
  <c r="P41" i="9"/>
  <c r="O41" i="9"/>
  <c r="R41" i="9"/>
  <c r="L41" i="9"/>
  <c r="F41" i="9"/>
  <c r="I41" i="9"/>
  <c r="Q41" i="9"/>
  <c r="K41" i="9"/>
  <c r="H41" i="9"/>
  <c r="S41" i="9"/>
  <c r="N41" i="9"/>
  <c r="T41" i="9"/>
  <c r="J41" i="9"/>
  <c r="M41" i="9"/>
  <c r="E41" i="9"/>
  <c r="G41" i="9"/>
  <c r="D43" i="2" l="1"/>
  <c r="C43" i="2"/>
  <c r="C43" i="10"/>
  <c r="D43" i="10"/>
  <c r="O42" i="10"/>
  <c r="T42" i="10"/>
  <c r="H42" i="10"/>
  <c r="K42" i="10"/>
  <c r="P42" i="10"/>
  <c r="I42" i="10"/>
  <c r="L42" i="10"/>
  <c r="S42" i="10"/>
  <c r="G42" i="10"/>
  <c r="J42" i="10"/>
  <c r="N42" i="10"/>
  <c r="Q42" i="10"/>
  <c r="M42" i="10"/>
  <c r="R42" i="10"/>
  <c r="E42" i="10"/>
  <c r="F42" i="10"/>
  <c r="D43" i="9"/>
  <c r="C43" i="9"/>
  <c r="E42" i="2"/>
  <c r="O42" i="2"/>
  <c r="AE42" i="2"/>
  <c r="G42" i="2"/>
  <c r="S42" i="2"/>
  <c r="Y42" i="2"/>
  <c r="M42" i="2"/>
  <c r="Q42" i="2"/>
  <c r="R42" i="2"/>
  <c r="U42" i="2"/>
  <c r="W42" i="2"/>
  <c r="AA42" i="2"/>
  <c r="AC42" i="2"/>
  <c r="F42" i="2"/>
  <c r="H42" i="2"/>
  <c r="N42" i="2"/>
  <c r="P42" i="2"/>
  <c r="V42" i="2"/>
  <c r="Z42" i="2"/>
  <c r="AB42" i="2"/>
  <c r="AD42" i="2"/>
  <c r="I42" i="2"/>
  <c r="T42" i="2"/>
  <c r="X42" i="2"/>
  <c r="AF42" i="2"/>
  <c r="K42" i="2"/>
  <c r="L42" i="2"/>
  <c r="J42" i="2"/>
  <c r="S42" i="9"/>
  <c r="P42" i="9"/>
  <c r="H42" i="9"/>
  <c r="J42" i="9"/>
  <c r="F42" i="9"/>
  <c r="T42" i="9"/>
  <c r="L42" i="9"/>
  <c r="R42" i="9"/>
  <c r="N42" i="9"/>
  <c r="E42" i="9"/>
  <c r="I42" i="9"/>
  <c r="M42" i="9"/>
  <c r="Q42" i="9"/>
  <c r="G42" i="9"/>
  <c r="K42" i="9"/>
  <c r="O42" i="9"/>
  <c r="C44" i="10" l="1"/>
  <c r="D44" i="10"/>
  <c r="D44" i="2"/>
  <c r="C44" i="2"/>
  <c r="D44" i="9"/>
  <c r="C44" i="9"/>
  <c r="Q43" i="10"/>
  <c r="N43" i="10"/>
  <c r="M43" i="10"/>
  <c r="J43" i="10"/>
  <c r="I43" i="10"/>
  <c r="R43" i="10"/>
  <c r="K43" i="10"/>
  <c r="G43" i="10"/>
  <c r="P43" i="10"/>
  <c r="O43" i="10"/>
  <c r="L43" i="10"/>
  <c r="H43" i="10"/>
  <c r="S43" i="10"/>
  <c r="T43" i="10"/>
  <c r="F43" i="10"/>
  <c r="E43" i="10"/>
  <c r="E43" i="2"/>
  <c r="G43" i="2"/>
  <c r="AE43" i="2"/>
  <c r="O43" i="2"/>
  <c r="S43" i="2"/>
  <c r="Y43" i="2"/>
  <c r="U43" i="2"/>
  <c r="AC43" i="2"/>
  <c r="R43" i="2"/>
  <c r="M43" i="2"/>
  <c r="Q43" i="2"/>
  <c r="W43" i="2"/>
  <c r="AA43" i="2"/>
  <c r="F43" i="2"/>
  <c r="H43" i="2"/>
  <c r="N43" i="2"/>
  <c r="P43" i="2"/>
  <c r="T43" i="2"/>
  <c r="V43" i="2"/>
  <c r="AB43" i="2"/>
  <c r="I43" i="2"/>
  <c r="X43" i="2"/>
  <c r="Z43" i="2"/>
  <c r="AD43" i="2"/>
  <c r="AF43" i="2"/>
  <c r="K43" i="2"/>
  <c r="L43" i="2"/>
  <c r="J43" i="2"/>
  <c r="H43" i="9"/>
  <c r="J43" i="9"/>
  <c r="P43" i="9"/>
  <c r="R43" i="9"/>
  <c r="I43" i="9"/>
  <c r="Q43" i="9"/>
  <c r="G43" i="9"/>
  <c r="O43" i="9"/>
  <c r="T43" i="9"/>
  <c r="N43" i="9"/>
  <c r="F43" i="9"/>
  <c r="M43" i="9"/>
  <c r="L43" i="9"/>
  <c r="S43" i="9"/>
  <c r="E43" i="9"/>
  <c r="K43" i="9"/>
  <c r="D45" i="9" l="1"/>
  <c r="C45" i="9"/>
  <c r="D45" i="2"/>
  <c r="C45" i="2"/>
  <c r="K44" i="10"/>
  <c r="P44" i="10"/>
  <c r="S44" i="10"/>
  <c r="I44" i="10"/>
  <c r="L44" i="10"/>
  <c r="Q44" i="10"/>
  <c r="T44" i="10"/>
  <c r="J44" i="10"/>
  <c r="O44" i="10"/>
  <c r="R44" i="10"/>
  <c r="M44" i="10"/>
  <c r="G44" i="10"/>
  <c r="N44" i="10"/>
  <c r="H44" i="10"/>
  <c r="E44" i="10"/>
  <c r="F44" i="10"/>
  <c r="C45" i="10"/>
  <c r="D45" i="10"/>
  <c r="T44" i="9"/>
  <c r="H44" i="9"/>
  <c r="S44" i="9"/>
  <c r="P44" i="9"/>
  <c r="F44" i="9"/>
  <c r="G44" i="9"/>
  <c r="E44" i="9"/>
  <c r="O44" i="9"/>
  <c r="K44" i="9"/>
  <c r="R44" i="9"/>
  <c r="J44" i="9"/>
  <c r="L44" i="9"/>
  <c r="N44" i="9"/>
  <c r="I44" i="9"/>
  <c r="Q44" i="9"/>
  <c r="M44" i="9"/>
  <c r="E44" i="2"/>
  <c r="O44" i="2"/>
  <c r="S44" i="2"/>
  <c r="Y44" i="2"/>
  <c r="G44" i="2"/>
  <c r="M44" i="2"/>
  <c r="U44" i="2"/>
  <c r="W44" i="2"/>
  <c r="F44" i="2"/>
  <c r="H44" i="2"/>
  <c r="AE44" i="2"/>
  <c r="Q44" i="2"/>
  <c r="AA44" i="2"/>
  <c r="AC44" i="2"/>
  <c r="N44" i="2"/>
  <c r="P44" i="2"/>
  <c r="R44" i="2"/>
  <c r="T44" i="2"/>
  <c r="V44" i="2"/>
  <c r="X44" i="2"/>
  <c r="AD44" i="2"/>
  <c r="AF44" i="2"/>
  <c r="Z44" i="2"/>
  <c r="AB44" i="2"/>
  <c r="I44" i="2"/>
  <c r="J44" i="2"/>
  <c r="K44" i="2"/>
  <c r="L44" i="2"/>
  <c r="D46" i="2" l="1"/>
  <c r="C46" i="2"/>
  <c r="D46" i="10"/>
  <c r="C46" i="10"/>
  <c r="D46" i="9"/>
  <c r="C46" i="9"/>
  <c r="O45" i="10"/>
  <c r="G45" i="10"/>
  <c r="N45" i="10"/>
  <c r="M45" i="10"/>
  <c r="T45" i="10"/>
  <c r="L45" i="10"/>
  <c r="S45" i="10"/>
  <c r="K45" i="10"/>
  <c r="R45" i="10"/>
  <c r="J45" i="10"/>
  <c r="Q45" i="10"/>
  <c r="I45" i="10"/>
  <c r="P45" i="10"/>
  <c r="H45" i="10"/>
  <c r="E45" i="10"/>
  <c r="F45" i="10"/>
  <c r="P45" i="9"/>
  <c r="O45" i="9"/>
  <c r="T45" i="9"/>
  <c r="R45" i="9"/>
  <c r="I45" i="9"/>
  <c r="Q45" i="9"/>
  <c r="S45" i="9"/>
  <c r="J45" i="9"/>
  <c r="L45" i="9"/>
  <c r="N45" i="9"/>
  <c r="E45" i="9"/>
  <c r="M45" i="9"/>
  <c r="H45" i="9"/>
  <c r="F45" i="9"/>
  <c r="K45" i="9"/>
  <c r="G45" i="9"/>
  <c r="E45" i="2"/>
  <c r="G45" i="2"/>
  <c r="S45" i="2"/>
  <c r="Y45" i="2"/>
  <c r="AE45" i="2"/>
  <c r="O45" i="2"/>
  <c r="U45" i="2"/>
  <c r="W45" i="2"/>
  <c r="AC45" i="2"/>
  <c r="F45" i="2"/>
  <c r="H45" i="2"/>
  <c r="R45" i="2"/>
  <c r="M45" i="2"/>
  <c r="Q45" i="2"/>
  <c r="AA45" i="2"/>
  <c r="N45" i="2"/>
  <c r="P45" i="2"/>
  <c r="V45" i="2"/>
  <c r="X45" i="2"/>
  <c r="Z45" i="2"/>
  <c r="AB45" i="2"/>
  <c r="AD45" i="2"/>
  <c r="T45" i="2"/>
  <c r="AF45" i="2"/>
  <c r="I45" i="2"/>
  <c r="K45" i="2"/>
  <c r="J45" i="2"/>
  <c r="L45" i="2"/>
  <c r="D47" i="2" l="1"/>
  <c r="C47" i="2"/>
  <c r="D47" i="9"/>
  <c r="C47" i="9"/>
  <c r="C47" i="10"/>
  <c r="D47" i="10"/>
  <c r="O46" i="10"/>
  <c r="I46" i="10"/>
  <c r="L46" i="10"/>
  <c r="M46" i="10"/>
  <c r="G46" i="10"/>
  <c r="J46" i="10"/>
  <c r="N46" i="10"/>
  <c r="T46" i="10"/>
  <c r="H46" i="10"/>
  <c r="S46" i="10"/>
  <c r="K46" i="10"/>
  <c r="P46" i="10"/>
  <c r="R46" i="10"/>
  <c r="Q46" i="10"/>
  <c r="E46" i="10"/>
  <c r="F46" i="10"/>
  <c r="L46" i="9"/>
  <c r="R46" i="9"/>
  <c r="N46" i="9"/>
  <c r="P46" i="9"/>
  <c r="H46" i="9"/>
  <c r="J46" i="9"/>
  <c r="F46" i="9"/>
  <c r="G46" i="9"/>
  <c r="K46" i="9"/>
  <c r="O46" i="9"/>
  <c r="E46" i="9"/>
  <c r="I46" i="9"/>
  <c r="M46" i="9"/>
  <c r="Q46" i="9"/>
  <c r="S46" i="9"/>
  <c r="T46" i="9"/>
  <c r="E46" i="2"/>
  <c r="Y46" i="2"/>
  <c r="G46" i="2"/>
  <c r="O46" i="2"/>
  <c r="S46" i="2"/>
  <c r="AE46" i="2"/>
  <c r="Q46" i="2"/>
  <c r="U46" i="2"/>
  <c r="W46" i="2"/>
  <c r="AA46" i="2"/>
  <c r="AC46" i="2"/>
  <c r="H46" i="2"/>
  <c r="N46" i="2"/>
  <c r="P46" i="2"/>
  <c r="M46" i="2"/>
  <c r="F46" i="2"/>
  <c r="R46" i="2"/>
  <c r="V46" i="2"/>
  <c r="AB46" i="2"/>
  <c r="AD46" i="2"/>
  <c r="I46" i="2"/>
  <c r="T46" i="2"/>
  <c r="X46" i="2"/>
  <c r="Z46" i="2"/>
  <c r="AF46" i="2"/>
  <c r="K46" i="2"/>
  <c r="J46" i="2"/>
  <c r="L46" i="2"/>
  <c r="D48" i="2" l="1"/>
  <c r="C48" i="2"/>
  <c r="P47" i="10"/>
  <c r="L47" i="10"/>
  <c r="M47" i="10"/>
  <c r="I47" i="10"/>
  <c r="N47" i="10"/>
  <c r="H47" i="10"/>
  <c r="K47" i="10"/>
  <c r="O47" i="10"/>
  <c r="G47" i="10"/>
  <c r="J47" i="10"/>
  <c r="Q47" i="10"/>
  <c r="R47" i="10"/>
  <c r="T47" i="10"/>
  <c r="S47" i="10"/>
  <c r="E47" i="10"/>
  <c r="F47" i="10"/>
  <c r="D48" i="9"/>
  <c r="C48" i="9"/>
  <c r="C48" i="10"/>
  <c r="D48" i="10"/>
  <c r="P47" i="9"/>
  <c r="J47" i="9"/>
  <c r="I47" i="9"/>
  <c r="O47" i="9"/>
  <c r="T47" i="9"/>
  <c r="R47" i="9"/>
  <c r="M47" i="9"/>
  <c r="S47" i="9"/>
  <c r="F47" i="9"/>
  <c r="L47" i="9"/>
  <c r="N47" i="9"/>
  <c r="E47" i="9"/>
  <c r="Q47" i="9"/>
  <c r="H47" i="9"/>
  <c r="K47" i="9"/>
  <c r="G47" i="9"/>
  <c r="E47" i="2"/>
  <c r="G47" i="2"/>
  <c r="O47" i="2"/>
  <c r="Y47" i="2"/>
  <c r="S47" i="2"/>
  <c r="AE47" i="2"/>
  <c r="M47" i="2"/>
  <c r="Q47" i="2"/>
  <c r="W47" i="2"/>
  <c r="AA47" i="2"/>
  <c r="F47" i="2"/>
  <c r="N47" i="2"/>
  <c r="P47" i="2"/>
  <c r="U47" i="2"/>
  <c r="AC47" i="2"/>
  <c r="H47" i="2"/>
  <c r="V47" i="2"/>
  <c r="X47" i="2"/>
  <c r="Z47" i="2"/>
  <c r="AD47" i="2"/>
  <c r="AF47" i="2"/>
  <c r="K47" i="2"/>
  <c r="R47" i="2"/>
  <c r="T47" i="2"/>
  <c r="AB47" i="2"/>
  <c r="I47" i="2"/>
  <c r="J47" i="2"/>
  <c r="L47" i="2"/>
  <c r="D49" i="9" l="1"/>
  <c r="C49" i="9"/>
  <c r="D49" i="2"/>
  <c r="C49" i="2"/>
  <c r="C49" i="10"/>
  <c r="D49" i="10"/>
  <c r="P48" i="10"/>
  <c r="O48" i="10"/>
  <c r="L48" i="10"/>
  <c r="K48" i="10"/>
  <c r="J48" i="10"/>
  <c r="I48" i="10"/>
  <c r="T48" i="10"/>
  <c r="S48" i="10"/>
  <c r="R48" i="10"/>
  <c r="N48" i="10"/>
  <c r="H48" i="10"/>
  <c r="G48" i="10"/>
  <c r="Q48" i="10"/>
  <c r="M48" i="10"/>
  <c r="E48" i="10"/>
  <c r="F48" i="10"/>
  <c r="S48" i="9"/>
  <c r="P48" i="9"/>
  <c r="J48" i="9"/>
  <c r="T48" i="9"/>
  <c r="L48" i="9"/>
  <c r="N48" i="9"/>
  <c r="I48" i="9"/>
  <c r="M48" i="9"/>
  <c r="K48" i="9"/>
  <c r="O48" i="9"/>
  <c r="F48" i="9"/>
  <c r="R48" i="9"/>
  <c r="Q48" i="9"/>
  <c r="H48" i="9"/>
  <c r="G48" i="9"/>
  <c r="E48" i="9"/>
  <c r="E48" i="2"/>
  <c r="G48" i="2"/>
  <c r="AE48" i="2"/>
  <c r="O48" i="2"/>
  <c r="S48" i="2"/>
  <c r="Y48" i="2"/>
  <c r="M48" i="2"/>
  <c r="W48" i="2"/>
  <c r="F48" i="2"/>
  <c r="N48" i="2"/>
  <c r="Q48" i="2"/>
  <c r="U48" i="2"/>
  <c r="AA48" i="2"/>
  <c r="AC48" i="2"/>
  <c r="H48" i="2"/>
  <c r="P48" i="2"/>
  <c r="T48" i="2"/>
  <c r="V48" i="2"/>
  <c r="Z48" i="2"/>
  <c r="AF48" i="2"/>
  <c r="R48" i="2"/>
  <c r="X48" i="2"/>
  <c r="AB48" i="2"/>
  <c r="AD48" i="2"/>
  <c r="I48" i="2"/>
  <c r="J48" i="2"/>
  <c r="K48" i="2"/>
  <c r="L48" i="2"/>
  <c r="D50" i="2" l="1"/>
  <c r="C50" i="2"/>
  <c r="D50" i="9"/>
  <c r="C50" i="9"/>
  <c r="I49" i="10"/>
  <c r="P49" i="10"/>
  <c r="J49" i="10"/>
  <c r="O49" i="10"/>
  <c r="S49" i="10"/>
  <c r="R49" i="10"/>
  <c r="T49" i="10"/>
  <c r="K49" i="10"/>
  <c r="N49" i="10"/>
  <c r="L49" i="10"/>
  <c r="G49" i="10"/>
  <c r="Q49" i="10"/>
  <c r="H49" i="10"/>
  <c r="M49" i="10"/>
  <c r="E49" i="10"/>
  <c r="F49" i="10"/>
  <c r="S49" i="9"/>
  <c r="P49" i="9"/>
  <c r="H49" i="9"/>
  <c r="F49" i="9"/>
  <c r="T49" i="9"/>
  <c r="L49" i="9"/>
  <c r="J49" i="9"/>
  <c r="E49" i="9"/>
  <c r="I49" i="9"/>
  <c r="O49" i="9"/>
  <c r="G49" i="9"/>
  <c r="K49" i="9"/>
  <c r="N49" i="9"/>
  <c r="M49" i="9"/>
  <c r="R49" i="9"/>
  <c r="Q49" i="9"/>
  <c r="E49" i="2"/>
  <c r="G49" i="2"/>
  <c r="O49" i="2"/>
  <c r="Y49" i="2"/>
  <c r="AE49" i="2"/>
  <c r="S49" i="2"/>
  <c r="Q49" i="2"/>
  <c r="AA49" i="2"/>
  <c r="N49" i="2"/>
  <c r="M49" i="2"/>
  <c r="U49" i="2"/>
  <c r="W49" i="2"/>
  <c r="AC49" i="2"/>
  <c r="F49" i="2"/>
  <c r="H49" i="2"/>
  <c r="P49" i="2"/>
  <c r="R49" i="2"/>
  <c r="X49" i="2"/>
  <c r="Z49" i="2"/>
  <c r="AB49" i="2"/>
  <c r="AD49" i="2"/>
  <c r="AF49" i="2"/>
  <c r="I49" i="2"/>
  <c r="K49" i="2"/>
  <c r="T49" i="2"/>
  <c r="V49" i="2"/>
  <c r="L49" i="2"/>
  <c r="J49" i="2"/>
  <c r="D51" i="9" l="1"/>
  <c r="C51" i="9"/>
  <c r="D51" i="2"/>
  <c r="C51" i="2"/>
  <c r="T50" i="9"/>
  <c r="H50" i="9"/>
  <c r="N50" i="9"/>
  <c r="S50" i="9"/>
  <c r="P50" i="9"/>
  <c r="R50" i="9"/>
  <c r="F50" i="9"/>
  <c r="G50" i="9"/>
  <c r="O50" i="9"/>
  <c r="E50" i="9"/>
  <c r="M50" i="9"/>
  <c r="Q50" i="9"/>
  <c r="J50" i="9"/>
  <c r="K50" i="9"/>
  <c r="L50" i="9"/>
  <c r="I50" i="9"/>
  <c r="E50" i="2"/>
  <c r="G50" i="2"/>
  <c r="O50" i="2"/>
  <c r="S50" i="2"/>
  <c r="Y50" i="2"/>
  <c r="AE50" i="2"/>
  <c r="U50" i="2"/>
  <c r="AA50" i="2"/>
  <c r="AC50" i="2"/>
  <c r="P50" i="2"/>
  <c r="R50" i="2"/>
  <c r="M50" i="2"/>
  <c r="Q50" i="2"/>
  <c r="W50" i="2"/>
  <c r="F50" i="2"/>
  <c r="H50" i="2"/>
  <c r="N50" i="2"/>
  <c r="T50" i="2"/>
  <c r="X50" i="2"/>
  <c r="Z50" i="2"/>
  <c r="AD50" i="2"/>
  <c r="I50" i="2"/>
  <c r="V50" i="2"/>
  <c r="AB50" i="2"/>
  <c r="AF50" i="2"/>
  <c r="K50" i="2"/>
  <c r="L50" i="2"/>
  <c r="J50" i="2"/>
  <c r="D52" i="2" l="1"/>
  <c r="C52" i="2"/>
  <c r="D52" i="9"/>
  <c r="C52" i="9"/>
  <c r="P51" i="9"/>
  <c r="H51" i="9"/>
  <c r="G51" i="9"/>
  <c r="O51" i="9"/>
  <c r="R51" i="9"/>
  <c r="K51" i="9"/>
  <c r="M51" i="9"/>
  <c r="T51" i="9"/>
  <c r="E51" i="9"/>
  <c r="S51" i="9"/>
  <c r="L51" i="9"/>
  <c r="N51" i="9"/>
  <c r="J51" i="9"/>
  <c r="I51" i="9"/>
  <c r="Q51" i="9"/>
  <c r="F51" i="9"/>
  <c r="E51" i="2"/>
  <c r="Y51" i="2"/>
  <c r="G51" i="2"/>
  <c r="O51" i="2"/>
  <c r="S51" i="2"/>
  <c r="AE51" i="2"/>
  <c r="M51" i="2"/>
  <c r="Q51" i="2"/>
  <c r="AC51" i="2"/>
  <c r="F51" i="2"/>
  <c r="H51" i="2"/>
  <c r="N51" i="2"/>
  <c r="P51" i="2"/>
  <c r="R51" i="2"/>
  <c r="U51" i="2"/>
  <c r="W51" i="2"/>
  <c r="AA51" i="2"/>
  <c r="T51" i="2"/>
  <c r="AD51" i="2"/>
  <c r="I51" i="2"/>
  <c r="V51" i="2"/>
  <c r="X51" i="2"/>
  <c r="Z51" i="2"/>
  <c r="AB51" i="2"/>
  <c r="AF51" i="2"/>
  <c r="K51" i="2"/>
  <c r="L51" i="2"/>
  <c r="J51" i="2"/>
  <c r="D53" i="9" l="1"/>
  <c r="C53" i="9"/>
  <c r="D53" i="2"/>
  <c r="C53" i="2"/>
  <c r="P52" i="9"/>
  <c r="J52" i="9"/>
  <c r="K52" i="9"/>
  <c r="T52" i="9"/>
  <c r="R52" i="9"/>
  <c r="S52" i="9"/>
  <c r="H52" i="9"/>
  <c r="F52" i="9"/>
  <c r="G52" i="9"/>
  <c r="O52" i="9"/>
  <c r="L52" i="9"/>
  <c r="N52" i="9"/>
  <c r="E52" i="9"/>
  <c r="M52" i="9"/>
  <c r="I52" i="9"/>
  <c r="Q52" i="9"/>
  <c r="E52" i="2"/>
  <c r="G52" i="2"/>
  <c r="O52" i="2"/>
  <c r="S52" i="2"/>
  <c r="Y52" i="2"/>
  <c r="AE52" i="2"/>
  <c r="M52" i="2"/>
  <c r="Q52" i="2"/>
  <c r="AA52" i="2"/>
  <c r="AC52" i="2"/>
  <c r="F52" i="2"/>
  <c r="H52" i="2"/>
  <c r="P52" i="2"/>
  <c r="R52" i="2"/>
  <c r="U52" i="2"/>
  <c r="W52" i="2"/>
  <c r="N52" i="2"/>
  <c r="X52" i="2"/>
  <c r="AB52" i="2"/>
  <c r="AF52" i="2"/>
  <c r="T52" i="2"/>
  <c r="V52" i="2"/>
  <c r="Z52" i="2"/>
  <c r="AD52" i="2"/>
  <c r="I52" i="2"/>
  <c r="J52" i="2"/>
  <c r="K52" i="2"/>
  <c r="L52" i="2"/>
  <c r="D54" i="2" l="1"/>
  <c r="C54" i="2"/>
  <c r="D54" i="9"/>
  <c r="C54" i="9"/>
  <c r="P53" i="9"/>
  <c r="N53" i="9"/>
  <c r="R53" i="9"/>
  <c r="F53" i="9"/>
  <c r="E53" i="9"/>
  <c r="O53" i="9"/>
  <c r="M53" i="9"/>
  <c r="Q53" i="9"/>
  <c r="T53" i="9"/>
  <c r="S53" i="9"/>
  <c r="J53" i="9"/>
  <c r="G53" i="9"/>
  <c r="L53" i="9"/>
  <c r="H53" i="9"/>
  <c r="I53" i="9"/>
  <c r="K53" i="9"/>
  <c r="E53" i="2"/>
  <c r="G53" i="2"/>
  <c r="O53" i="2"/>
  <c r="S53" i="2"/>
  <c r="Y53" i="2"/>
  <c r="AE53" i="2"/>
  <c r="M53" i="2"/>
  <c r="Q53" i="2"/>
  <c r="W53" i="2"/>
  <c r="AC53" i="2"/>
  <c r="P53" i="2"/>
  <c r="R53" i="2"/>
  <c r="U53" i="2"/>
  <c r="AA53" i="2"/>
  <c r="F53" i="2"/>
  <c r="H53" i="2"/>
  <c r="N53" i="2"/>
  <c r="T53" i="2"/>
  <c r="V53" i="2"/>
  <c r="X53" i="2"/>
  <c r="Z53" i="2"/>
  <c r="AB53" i="2"/>
  <c r="AD53" i="2"/>
  <c r="AF53" i="2"/>
  <c r="I53" i="2"/>
  <c r="K53" i="2"/>
  <c r="J53" i="2"/>
  <c r="L53" i="2"/>
  <c r="D55" i="9" l="1"/>
  <c r="C55" i="9"/>
  <c r="D55" i="2"/>
  <c r="C55" i="2"/>
  <c r="P54" i="9"/>
  <c r="O54" i="9"/>
  <c r="S54" i="9"/>
  <c r="J54" i="9"/>
  <c r="G54" i="9"/>
  <c r="T54" i="9"/>
  <c r="R54" i="9"/>
  <c r="H54" i="9"/>
  <c r="F54" i="9"/>
  <c r="K54" i="9"/>
  <c r="L54" i="9"/>
  <c r="N54" i="9"/>
  <c r="E54" i="9"/>
  <c r="M54" i="9"/>
  <c r="I54" i="9"/>
  <c r="Q54" i="9"/>
  <c r="E54" i="2"/>
  <c r="Y54" i="2"/>
  <c r="AE54" i="2"/>
  <c r="G54" i="2"/>
  <c r="O54" i="2"/>
  <c r="S54" i="2"/>
  <c r="M54" i="2"/>
  <c r="U54" i="2"/>
  <c r="W54" i="2"/>
  <c r="N54" i="2"/>
  <c r="Q54" i="2"/>
  <c r="AA54" i="2"/>
  <c r="AC54" i="2"/>
  <c r="F54" i="2"/>
  <c r="H54" i="2"/>
  <c r="P54" i="2"/>
  <c r="T54" i="2"/>
  <c r="V54" i="2"/>
  <c r="Z54" i="2"/>
  <c r="AD54" i="2"/>
  <c r="I54" i="2"/>
  <c r="R54" i="2"/>
  <c r="X54" i="2"/>
  <c r="AB54" i="2"/>
  <c r="AF54" i="2"/>
  <c r="K54" i="2"/>
  <c r="J54" i="2"/>
  <c r="L54" i="2"/>
  <c r="D56" i="2" l="1"/>
  <c r="C56" i="2"/>
  <c r="D56" i="9"/>
  <c r="C56" i="9"/>
  <c r="H55" i="9"/>
  <c r="J55" i="9"/>
  <c r="P55" i="9"/>
  <c r="R55" i="9"/>
  <c r="I55" i="9"/>
  <c r="Q55" i="9"/>
  <c r="G55" i="9"/>
  <c r="O55" i="9"/>
  <c r="T55" i="9"/>
  <c r="N55" i="9"/>
  <c r="E55" i="9"/>
  <c r="S55" i="9"/>
  <c r="L55" i="9"/>
  <c r="M55" i="9"/>
  <c r="F55" i="9"/>
  <c r="K55" i="9"/>
  <c r="E55" i="2"/>
  <c r="G55" i="2"/>
  <c r="O55" i="2"/>
  <c r="S55" i="2"/>
  <c r="AE55" i="2"/>
  <c r="Y55" i="2"/>
  <c r="M55" i="2"/>
  <c r="Q55" i="2"/>
  <c r="W55" i="2"/>
  <c r="AA55" i="2"/>
  <c r="U55" i="2"/>
  <c r="AC55" i="2"/>
  <c r="F55" i="2"/>
  <c r="H55" i="2"/>
  <c r="N55" i="2"/>
  <c r="P55" i="2"/>
  <c r="T55" i="2"/>
  <c r="X55" i="2"/>
  <c r="Z55" i="2"/>
  <c r="AF55" i="2"/>
  <c r="K55" i="2"/>
  <c r="R55" i="2"/>
  <c r="V55" i="2"/>
  <c r="AB55" i="2"/>
  <c r="AD55" i="2"/>
  <c r="I55" i="2"/>
  <c r="J55" i="2"/>
  <c r="L55" i="2"/>
  <c r="D57" i="9" l="1"/>
  <c r="C57" i="9"/>
  <c r="D57" i="2"/>
  <c r="C57" i="2"/>
  <c r="T56" i="9"/>
  <c r="L56" i="9"/>
  <c r="R56" i="9"/>
  <c r="N56" i="9"/>
  <c r="S56" i="9"/>
  <c r="P56" i="9"/>
  <c r="H56" i="9"/>
  <c r="J56" i="9"/>
  <c r="F56" i="9"/>
  <c r="G56" i="9"/>
  <c r="K56" i="9"/>
  <c r="O56" i="9"/>
  <c r="E56" i="9"/>
  <c r="I56" i="9"/>
  <c r="M56" i="9"/>
  <c r="Q56" i="9"/>
  <c r="E56" i="2"/>
  <c r="G56" i="2"/>
  <c r="Y56" i="2"/>
  <c r="AE56" i="2"/>
  <c r="O56" i="2"/>
  <c r="S56" i="2"/>
  <c r="M56" i="2"/>
  <c r="Q56" i="2"/>
  <c r="AA56" i="2"/>
  <c r="AC56" i="2"/>
  <c r="H56" i="2"/>
  <c r="N56" i="2"/>
  <c r="P56" i="2"/>
  <c r="R56" i="2"/>
  <c r="U56" i="2"/>
  <c r="W56" i="2"/>
  <c r="F56" i="2"/>
  <c r="T56" i="2"/>
  <c r="V56" i="2"/>
  <c r="X56" i="2"/>
  <c r="Z56" i="2"/>
  <c r="AB56" i="2"/>
  <c r="AD56" i="2"/>
  <c r="AF56" i="2"/>
  <c r="I56" i="2"/>
  <c r="J56" i="2"/>
  <c r="K56" i="2"/>
  <c r="L56" i="2"/>
  <c r="D58" i="2" l="1"/>
  <c r="C58" i="2"/>
  <c r="D58" i="9"/>
  <c r="C58" i="9"/>
  <c r="E57" i="2"/>
  <c r="G57" i="2"/>
  <c r="O57" i="2"/>
  <c r="Y57" i="2"/>
  <c r="S57" i="2"/>
  <c r="AE57" i="2"/>
  <c r="M57" i="2"/>
  <c r="Q57" i="2"/>
  <c r="U57" i="2"/>
  <c r="W57" i="2"/>
  <c r="AA57" i="2"/>
  <c r="F57" i="2"/>
  <c r="H57" i="2"/>
  <c r="AC57" i="2"/>
  <c r="N57" i="2"/>
  <c r="P57" i="2"/>
  <c r="V57" i="2"/>
  <c r="I57" i="2"/>
  <c r="K57" i="2"/>
  <c r="R57" i="2"/>
  <c r="T57" i="2"/>
  <c r="X57" i="2"/>
  <c r="Z57" i="2"/>
  <c r="AB57" i="2"/>
  <c r="AD57" i="2"/>
  <c r="AF57" i="2"/>
  <c r="J57" i="2"/>
  <c r="L57" i="2"/>
  <c r="S57" i="9"/>
  <c r="P57" i="9"/>
  <c r="H57" i="9"/>
  <c r="J57" i="9"/>
  <c r="F57" i="9"/>
  <c r="T57" i="9"/>
  <c r="L57" i="9"/>
  <c r="R57" i="9"/>
  <c r="N57" i="9"/>
  <c r="E57" i="9"/>
  <c r="I57" i="9"/>
  <c r="M57" i="9"/>
  <c r="Q57" i="9"/>
  <c r="G57" i="9"/>
  <c r="K57" i="9"/>
  <c r="O57" i="9"/>
  <c r="D59" i="9" l="1"/>
  <c r="C59" i="9"/>
  <c r="D59" i="2"/>
  <c r="C59" i="2"/>
  <c r="T58" i="9"/>
  <c r="L58" i="9"/>
  <c r="R58" i="9"/>
  <c r="N58" i="9"/>
  <c r="S58" i="9"/>
  <c r="P58" i="9"/>
  <c r="H58" i="9"/>
  <c r="J58" i="9"/>
  <c r="F58" i="9"/>
  <c r="G58" i="9"/>
  <c r="K58" i="9"/>
  <c r="O58" i="9"/>
  <c r="E58" i="9"/>
  <c r="I58" i="9"/>
  <c r="M58" i="9"/>
  <c r="Q58" i="9"/>
  <c r="E58" i="2"/>
  <c r="O58" i="2"/>
  <c r="S58" i="2"/>
  <c r="G58" i="2"/>
  <c r="Y58" i="2"/>
  <c r="AE58" i="2"/>
  <c r="AC58" i="2"/>
  <c r="P58" i="2"/>
  <c r="R58" i="2"/>
  <c r="M58" i="2"/>
  <c r="Q58" i="2"/>
  <c r="U58" i="2"/>
  <c r="W58" i="2"/>
  <c r="AA58" i="2"/>
  <c r="F58" i="2"/>
  <c r="H58" i="2"/>
  <c r="N58" i="2"/>
  <c r="Z58" i="2"/>
  <c r="AB58" i="2"/>
  <c r="AD58" i="2"/>
  <c r="I58" i="2"/>
  <c r="T58" i="2"/>
  <c r="V58" i="2"/>
  <c r="X58" i="2"/>
  <c r="AF58" i="2"/>
  <c r="K58" i="2"/>
  <c r="J58" i="2"/>
  <c r="L58" i="2"/>
  <c r="D60" i="2" l="1"/>
  <c r="C60" i="2"/>
  <c r="D60" i="9"/>
  <c r="C60" i="9"/>
  <c r="S59" i="9"/>
  <c r="P59" i="9"/>
  <c r="H59" i="9"/>
  <c r="J59" i="9"/>
  <c r="F59" i="9"/>
  <c r="T59" i="9"/>
  <c r="L59" i="9"/>
  <c r="R59" i="9"/>
  <c r="N59" i="9"/>
  <c r="E59" i="9"/>
  <c r="I59" i="9"/>
  <c r="M59" i="9"/>
  <c r="Q59" i="9"/>
  <c r="G59" i="9"/>
  <c r="K59" i="9"/>
  <c r="O59" i="9"/>
  <c r="E59" i="2"/>
  <c r="Y59" i="2"/>
  <c r="G59" i="2"/>
  <c r="O59" i="2"/>
  <c r="S59" i="2"/>
  <c r="AE59" i="2"/>
  <c r="M59" i="2"/>
  <c r="U59" i="2"/>
  <c r="AC59" i="2"/>
  <c r="F59" i="2"/>
  <c r="H59" i="2"/>
  <c r="N59" i="2"/>
  <c r="P59" i="2"/>
  <c r="R59" i="2"/>
  <c r="Q59" i="2"/>
  <c r="W59" i="2"/>
  <c r="AA59" i="2"/>
  <c r="V59" i="2"/>
  <c r="AB59" i="2"/>
  <c r="AD59" i="2"/>
  <c r="I59" i="2"/>
  <c r="T59" i="2"/>
  <c r="X59" i="2"/>
  <c r="Z59" i="2"/>
  <c r="AF59" i="2"/>
  <c r="K59" i="2"/>
  <c r="L59" i="2"/>
  <c r="J59" i="2"/>
  <c r="D61" i="9" l="1"/>
  <c r="C61" i="9"/>
  <c r="D61" i="2"/>
  <c r="C61" i="2"/>
  <c r="E60" i="2"/>
  <c r="G60" i="2"/>
  <c r="O60" i="2"/>
  <c r="S60" i="2"/>
  <c r="Y60" i="2"/>
  <c r="AE60" i="2"/>
  <c r="Q60" i="2"/>
  <c r="AA60" i="2"/>
  <c r="F60" i="2"/>
  <c r="N60" i="2"/>
  <c r="P60" i="2"/>
  <c r="M60" i="2"/>
  <c r="U60" i="2"/>
  <c r="W60" i="2"/>
  <c r="AC60" i="2"/>
  <c r="H60" i="2"/>
  <c r="Z60" i="2"/>
  <c r="AB60" i="2"/>
  <c r="R60" i="2"/>
  <c r="T60" i="2"/>
  <c r="V60" i="2"/>
  <c r="X60" i="2"/>
  <c r="AD60" i="2"/>
  <c r="AF60" i="2"/>
  <c r="I60" i="2"/>
  <c r="K60" i="2"/>
  <c r="J60" i="2"/>
  <c r="L60" i="2"/>
  <c r="P60" i="9"/>
  <c r="H60" i="9"/>
  <c r="J60" i="9"/>
  <c r="F60" i="9"/>
  <c r="S60" i="9"/>
  <c r="L60" i="9"/>
  <c r="R60" i="9"/>
  <c r="N60" i="9"/>
  <c r="G60" i="9"/>
  <c r="K60" i="9"/>
  <c r="O60" i="9"/>
  <c r="T60" i="9"/>
  <c r="E60" i="9"/>
  <c r="I60" i="9"/>
  <c r="M60" i="9"/>
  <c r="Q60" i="9"/>
  <c r="D62" i="2" l="1"/>
  <c r="C62" i="2"/>
  <c r="D62" i="9"/>
  <c r="C62" i="9"/>
  <c r="R61" i="9"/>
  <c r="Q61" i="9"/>
  <c r="I61" i="9"/>
  <c r="E61" i="9"/>
  <c r="F61" i="9"/>
  <c r="J61" i="9"/>
  <c r="O61" i="9"/>
  <c r="G61" i="9"/>
  <c r="P61" i="9"/>
  <c r="H61" i="9"/>
  <c r="K61" i="9"/>
  <c r="L61" i="9"/>
  <c r="M61" i="9"/>
  <c r="N61" i="9"/>
  <c r="S61" i="9"/>
  <c r="T61" i="9"/>
  <c r="E61" i="2"/>
  <c r="O61" i="2"/>
  <c r="Y61" i="2"/>
  <c r="AE61" i="2"/>
  <c r="G61" i="2"/>
  <c r="S61" i="2"/>
  <c r="M61" i="2"/>
  <c r="U61" i="2"/>
  <c r="W61" i="2"/>
  <c r="AA61" i="2"/>
  <c r="H61" i="2"/>
  <c r="N61" i="2"/>
  <c r="P61" i="2"/>
  <c r="R61" i="2"/>
  <c r="Q61" i="2"/>
  <c r="AC61" i="2"/>
  <c r="F61" i="2"/>
  <c r="V61" i="2"/>
  <c r="X61" i="2"/>
  <c r="AD61" i="2"/>
  <c r="AF61" i="2"/>
  <c r="T61" i="2"/>
  <c r="Z61" i="2"/>
  <c r="AB61" i="2"/>
  <c r="I61" i="2"/>
  <c r="K61" i="2"/>
  <c r="J61" i="2"/>
  <c r="L61" i="2"/>
  <c r="D63" i="2" l="1"/>
  <c r="C63" i="2"/>
  <c r="D63" i="9"/>
  <c r="C63" i="9"/>
  <c r="E62" i="2"/>
  <c r="O62" i="2"/>
  <c r="S62" i="2"/>
  <c r="Y62" i="2"/>
  <c r="G62" i="2"/>
  <c r="AE62" i="2"/>
  <c r="M62" i="2"/>
  <c r="U62" i="2"/>
  <c r="W62" i="2"/>
  <c r="AC62" i="2"/>
  <c r="H62" i="2"/>
  <c r="R62" i="2"/>
  <c r="Q62" i="2"/>
  <c r="AA62" i="2"/>
  <c r="F62" i="2"/>
  <c r="N62" i="2"/>
  <c r="P62" i="2"/>
  <c r="T62" i="2"/>
  <c r="V62" i="2"/>
  <c r="X62" i="2"/>
  <c r="AD62" i="2"/>
  <c r="AF62" i="2"/>
  <c r="I62" i="2"/>
  <c r="Z62" i="2"/>
  <c r="AB62" i="2"/>
  <c r="K62" i="2"/>
  <c r="J62" i="2"/>
  <c r="L62" i="2"/>
  <c r="F62" i="9"/>
  <c r="Q62" i="9"/>
  <c r="K62" i="9"/>
  <c r="G62" i="9"/>
  <c r="T62" i="9"/>
  <c r="P62" i="9"/>
  <c r="J62" i="9"/>
  <c r="S62" i="9"/>
  <c r="O62" i="9"/>
  <c r="I62" i="9"/>
  <c r="E62" i="9"/>
  <c r="R62" i="9"/>
  <c r="L62" i="9"/>
  <c r="H62" i="9"/>
  <c r="N62" i="9"/>
  <c r="M62" i="9"/>
  <c r="D64" i="9" l="1"/>
  <c r="C64" i="9"/>
  <c r="D64" i="2"/>
  <c r="C64" i="2"/>
  <c r="Q63" i="9"/>
  <c r="M63" i="9"/>
  <c r="I63" i="9"/>
  <c r="E63" i="9"/>
  <c r="R63" i="9"/>
  <c r="N63" i="9"/>
  <c r="J63" i="9"/>
  <c r="F63" i="9"/>
  <c r="S63" i="9"/>
  <c r="O63" i="9"/>
  <c r="K63" i="9"/>
  <c r="G63" i="9"/>
  <c r="T63" i="9"/>
  <c r="P63" i="9"/>
  <c r="L63" i="9"/>
  <c r="H63" i="9"/>
  <c r="E63" i="2"/>
  <c r="O63" i="2"/>
  <c r="S63" i="2"/>
  <c r="AE63" i="2"/>
  <c r="G63" i="2"/>
  <c r="Y63" i="2"/>
  <c r="Q63" i="2"/>
  <c r="U63" i="2"/>
  <c r="AA63" i="2"/>
  <c r="AC63" i="2"/>
  <c r="H63" i="2"/>
  <c r="P63" i="2"/>
  <c r="M63" i="2"/>
  <c r="W63" i="2"/>
  <c r="F63" i="2"/>
  <c r="N63" i="2"/>
  <c r="R63" i="2"/>
  <c r="T63" i="2"/>
  <c r="V63" i="2"/>
  <c r="AB63" i="2"/>
  <c r="AD63" i="2"/>
  <c r="AF63" i="2"/>
  <c r="K63" i="2"/>
  <c r="X63" i="2"/>
  <c r="Z63" i="2"/>
  <c r="I63" i="2"/>
  <c r="J63" i="2"/>
  <c r="L63" i="2"/>
  <c r="D65" i="2" l="1"/>
  <c r="C65" i="2"/>
  <c r="D65" i="9"/>
  <c r="C65" i="9"/>
  <c r="P64" i="9"/>
  <c r="O64" i="9"/>
  <c r="K64" i="9"/>
  <c r="T64" i="9"/>
  <c r="H64" i="9"/>
  <c r="M64" i="9"/>
  <c r="E64" i="9"/>
  <c r="N64" i="9"/>
  <c r="F64" i="9"/>
  <c r="S64" i="9"/>
  <c r="G64" i="9"/>
  <c r="L64" i="9"/>
  <c r="Q64" i="9"/>
  <c r="I64" i="9"/>
  <c r="R64" i="9"/>
  <c r="J64" i="9"/>
  <c r="E64" i="2"/>
  <c r="O64" i="2"/>
  <c r="G64" i="2"/>
  <c r="S64" i="2"/>
  <c r="Y64" i="2"/>
  <c r="M64" i="2"/>
  <c r="Q64" i="2"/>
  <c r="W64" i="2"/>
  <c r="F64" i="2"/>
  <c r="H64" i="2"/>
  <c r="P64" i="2"/>
  <c r="AE64" i="2"/>
  <c r="U64" i="2"/>
  <c r="AA64" i="2"/>
  <c r="AC64" i="2"/>
  <c r="N64" i="2"/>
  <c r="R64" i="2"/>
  <c r="V64" i="2"/>
  <c r="X64" i="2"/>
  <c r="AB64" i="2"/>
  <c r="T64" i="2"/>
  <c r="Z64" i="2"/>
  <c r="AD64" i="2"/>
  <c r="AF64" i="2"/>
  <c r="I64" i="2"/>
  <c r="J64" i="2"/>
  <c r="K64" i="2"/>
  <c r="L64" i="2"/>
  <c r="D66" i="2" l="1"/>
  <c r="C66" i="2"/>
  <c r="D66" i="9"/>
  <c r="C66" i="9"/>
  <c r="E65" i="2"/>
  <c r="G65" i="2"/>
  <c r="O65" i="2"/>
  <c r="S65" i="2"/>
  <c r="Y65" i="2"/>
  <c r="AE65" i="2"/>
  <c r="Q65" i="2"/>
  <c r="AC65" i="2"/>
  <c r="N65" i="2"/>
  <c r="M65" i="2"/>
  <c r="U65" i="2"/>
  <c r="W65" i="2"/>
  <c r="AA65" i="2"/>
  <c r="F65" i="2"/>
  <c r="H65" i="2"/>
  <c r="P65" i="2"/>
  <c r="R65" i="2"/>
  <c r="T65" i="2"/>
  <c r="X65" i="2"/>
  <c r="Z65" i="2"/>
  <c r="AB65" i="2"/>
  <c r="AF65" i="2"/>
  <c r="I65" i="2"/>
  <c r="K65" i="2"/>
  <c r="V65" i="2"/>
  <c r="AD65" i="2"/>
  <c r="J65" i="2"/>
  <c r="L65" i="2"/>
  <c r="P65" i="9"/>
  <c r="O65" i="9"/>
  <c r="K65" i="9"/>
  <c r="T65" i="9"/>
  <c r="H65" i="9"/>
  <c r="M65" i="9"/>
  <c r="E65" i="9"/>
  <c r="N65" i="9"/>
  <c r="F65" i="9"/>
  <c r="S65" i="9"/>
  <c r="G65" i="9"/>
  <c r="L65" i="9"/>
  <c r="Q65" i="9"/>
  <c r="I65" i="9"/>
  <c r="R65" i="9"/>
  <c r="J65" i="9"/>
  <c r="D67" i="9" l="1"/>
  <c r="C67" i="9"/>
  <c r="D67" i="2"/>
  <c r="C67" i="2"/>
  <c r="I66" i="9"/>
  <c r="P66" i="9"/>
  <c r="H66" i="9"/>
  <c r="O66" i="9"/>
  <c r="G66" i="9"/>
  <c r="J66" i="9"/>
  <c r="R66" i="9"/>
  <c r="K66" i="9"/>
  <c r="L66" i="9"/>
  <c r="E66" i="9"/>
  <c r="F66" i="9"/>
  <c r="Q66" i="9"/>
  <c r="S66" i="9"/>
  <c r="T66" i="9"/>
  <c r="M66" i="9"/>
  <c r="N66" i="9"/>
  <c r="E66" i="2"/>
  <c r="G66" i="2"/>
  <c r="S66" i="2"/>
  <c r="Y66" i="2"/>
  <c r="O66" i="2"/>
  <c r="AE66" i="2"/>
  <c r="M66" i="2"/>
  <c r="Q66" i="2"/>
  <c r="U66" i="2"/>
  <c r="W66" i="2"/>
  <c r="AA66" i="2"/>
  <c r="AC66" i="2"/>
  <c r="F66" i="2"/>
  <c r="N66" i="2"/>
  <c r="H66" i="2"/>
  <c r="P66" i="2"/>
  <c r="R66" i="2"/>
  <c r="V66" i="2"/>
  <c r="X66" i="2"/>
  <c r="AB66" i="2"/>
  <c r="AF66" i="2"/>
  <c r="I66" i="2"/>
  <c r="T66" i="2"/>
  <c r="Z66" i="2"/>
  <c r="AD66" i="2"/>
  <c r="K66" i="2"/>
  <c r="J66" i="2"/>
  <c r="L66" i="2"/>
  <c r="D68" i="2" l="1"/>
  <c r="C68" i="2"/>
  <c r="D68" i="9"/>
  <c r="C68" i="9"/>
  <c r="Q67" i="9"/>
  <c r="M67" i="9"/>
  <c r="I67" i="9"/>
  <c r="E67" i="9"/>
  <c r="R67" i="9"/>
  <c r="N67" i="9"/>
  <c r="J67" i="9"/>
  <c r="F67" i="9"/>
  <c r="S67" i="9"/>
  <c r="O67" i="9"/>
  <c r="K67" i="9"/>
  <c r="G67" i="9"/>
  <c r="T67" i="9"/>
  <c r="P67" i="9"/>
  <c r="L67" i="9"/>
  <c r="H67" i="9"/>
  <c r="E67" i="2"/>
  <c r="O67" i="2"/>
  <c r="S67" i="2"/>
  <c r="Y67" i="2"/>
  <c r="G67" i="2"/>
  <c r="AE67" i="2"/>
  <c r="U67" i="2"/>
  <c r="W67" i="2"/>
  <c r="AA67" i="2"/>
  <c r="H67" i="2"/>
  <c r="N67" i="2"/>
  <c r="P67" i="2"/>
  <c r="M67" i="2"/>
  <c r="Q67" i="2"/>
  <c r="AC67" i="2"/>
  <c r="F67" i="2"/>
  <c r="R67" i="2"/>
  <c r="X67" i="2"/>
  <c r="Z67" i="2"/>
  <c r="I67" i="2"/>
  <c r="T67" i="2"/>
  <c r="V67" i="2"/>
  <c r="AB67" i="2"/>
  <c r="AD67" i="2"/>
  <c r="AF67" i="2"/>
  <c r="K67" i="2"/>
  <c r="L67" i="2"/>
  <c r="J67" i="2"/>
  <c r="D69" i="9" l="1"/>
  <c r="C69" i="9"/>
  <c r="D69" i="2"/>
  <c r="C69" i="2"/>
  <c r="E68" i="2"/>
  <c r="G68" i="2"/>
  <c r="O68" i="2"/>
  <c r="S68" i="2"/>
  <c r="AE68" i="2"/>
  <c r="Y68" i="2"/>
  <c r="M68" i="2"/>
  <c r="R68" i="2"/>
  <c r="Q68" i="2"/>
  <c r="U68" i="2"/>
  <c r="W68" i="2"/>
  <c r="AA68" i="2"/>
  <c r="AC68" i="2"/>
  <c r="F68" i="2"/>
  <c r="H68" i="2"/>
  <c r="N68" i="2"/>
  <c r="P68" i="2"/>
  <c r="T68" i="2"/>
  <c r="X68" i="2"/>
  <c r="Z68" i="2"/>
  <c r="AD68" i="2"/>
  <c r="AF68" i="2"/>
  <c r="V68" i="2"/>
  <c r="AB68" i="2"/>
  <c r="I68" i="2"/>
  <c r="K68" i="2"/>
  <c r="L68" i="2"/>
  <c r="J68" i="2"/>
  <c r="O68" i="9"/>
  <c r="I68" i="9"/>
  <c r="T68" i="9"/>
  <c r="N68" i="9"/>
  <c r="H68" i="9"/>
  <c r="S68" i="9"/>
  <c r="M68" i="9"/>
  <c r="G68" i="9"/>
  <c r="P68" i="9"/>
  <c r="J68" i="9"/>
  <c r="R68" i="9"/>
  <c r="F68" i="9"/>
  <c r="L68" i="9"/>
  <c r="E68" i="9"/>
  <c r="Q68" i="9"/>
  <c r="K68" i="9"/>
  <c r="D70" i="2" l="1"/>
  <c r="C70" i="2"/>
  <c r="D70" i="9"/>
  <c r="C70" i="9"/>
  <c r="O69" i="9"/>
  <c r="K69" i="9"/>
  <c r="G69" i="9"/>
  <c r="R69" i="9"/>
  <c r="N69" i="9"/>
  <c r="J69" i="9"/>
  <c r="F69" i="9"/>
  <c r="Q69" i="9"/>
  <c r="M69" i="9"/>
  <c r="I69" i="9"/>
  <c r="E69" i="9"/>
  <c r="P69" i="9"/>
  <c r="L69" i="9"/>
  <c r="H69" i="9"/>
  <c r="T69" i="9"/>
  <c r="S69" i="9"/>
  <c r="E69" i="2"/>
  <c r="S69" i="2"/>
  <c r="Y69" i="2"/>
  <c r="G69" i="2"/>
  <c r="O69" i="2"/>
  <c r="AE69" i="2"/>
  <c r="U69" i="2"/>
  <c r="AA69" i="2"/>
  <c r="P69" i="2"/>
  <c r="M69" i="2"/>
  <c r="Q69" i="2"/>
  <c r="W69" i="2"/>
  <c r="AC69" i="2"/>
  <c r="F69" i="2"/>
  <c r="H69" i="2"/>
  <c r="N69" i="2"/>
  <c r="R69" i="2"/>
  <c r="V69" i="2"/>
  <c r="Z69" i="2"/>
  <c r="AB69" i="2"/>
  <c r="AD69" i="2"/>
  <c r="AF69" i="2"/>
  <c r="T69" i="2"/>
  <c r="X69" i="2"/>
  <c r="I69" i="2"/>
  <c r="K69" i="2"/>
  <c r="J69" i="2"/>
  <c r="L69" i="2"/>
  <c r="D71" i="9" l="1"/>
  <c r="C71" i="9"/>
  <c r="D71" i="2"/>
  <c r="C71" i="2"/>
  <c r="Q70" i="9"/>
  <c r="M70" i="9"/>
  <c r="I70" i="9"/>
  <c r="E70" i="9"/>
  <c r="R70" i="9"/>
  <c r="N70" i="9"/>
  <c r="J70" i="9"/>
  <c r="F70" i="9"/>
  <c r="S70" i="9"/>
  <c r="O70" i="9"/>
  <c r="K70" i="9"/>
  <c r="G70" i="9"/>
  <c r="T70" i="9"/>
  <c r="P70" i="9"/>
  <c r="L70" i="9"/>
  <c r="H70" i="9"/>
  <c r="E70" i="2"/>
  <c r="G70" i="2"/>
  <c r="O70" i="2"/>
  <c r="S70" i="2"/>
  <c r="Y70" i="2"/>
  <c r="AE70" i="2"/>
  <c r="Q70" i="2"/>
  <c r="AA70" i="2"/>
  <c r="AC70" i="2"/>
  <c r="H70" i="2"/>
  <c r="N70" i="2"/>
  <c r="P70" i="2"/>
  <c r="M70" i="2"/>
  <c r="U70" i="2"/>
  <c r="W70" i="2"/>
  <c r="F70" i="2"/>
  <c r="X70" i="2"/>
  <c r="Z70" i="2"/>
  <c r="AF70" i="2"/>
  <c r="I70" i="2"/>
  <c r="R70" i="2"/>
  <c r="T70" i="2"/>
  <c r="V70" i="2"/>
  <c r="AB70" i="2"/>
  <c r="AD70" i="2"/>
  <c r="K70" i="2"/>
  <c r="J70" i="2"/>
  <c r="L70" i="2"/>
  <c r="D72" i="2" l="1"/>
  <c r="C72" i="2"/>
  <c r="D72" i="9"/>
  <c r="C72" i="9"/>
  <c r="O71" i="9"/>
  <c r="K71" i="9"/>
  <c r="G71" i="9"/>
  <c r="P71" i="9"/>
  <c r="L71" i="9"/>
  <c r="H71" i="9"/>
  <c r="S71" i="9"/>
  <c r="M71" i="9"/>
  <c r="I71" i="9"/>
  <c r="T71" i="9"/>
  <c r="N71" i="9"/>
  <c r="J71" i="9"/>
  <c r="E71" i="9"/>
  <c r="F71" i="9"/>
  <c r="Q71" i="9"/>
  <c r="R71" i="9"/>
  <c r="E71" i="2"/>
  <c r="G71" i="2"/>
  <c r="AE71" i="2"/>
  <c r="O71" i="2"/>
  <c r="S71" i="2"/>
  <c r="Y71" i="2"/>
  <c r="M71" i="2"/>
  <c r="Q71" i="2"/>
  <c r="AC71" i="2"/>
  <c r="F71" i="2"/>
  <c r="R71" i="2"/>
  <c r="U71" i="2"/>
  <c r="W71" i="2"/>
  <c r="AA71" i="2"/>
  <c r="H71" i="2"/>
  <c r="N71" i="2"/>
  <c r="P71" i="2"/>
  <c r="T71" i="2"/>
  <c r="V71" i="2"/>
  <c r="AB71" i="2"/>
  <c r="AD71" i="2"/>
  <c r="AF71" i="2"/>
  <c r="K71" i="2"/>
  <c r="X71" i="2"/>
  <c r="Z71" i="2"/>
  <c r="I71" i="2"/>
  <c r="J71" i="2"/>
  <c r="L71" i="2"/>
  <c r="D73" i="9" l="1"/>
  <c r="C73" i="9"/>
  <c r="D73" i="2"/>
  <c r="C73" i="2"/>
  <c r="K72" i="9"/>
  <c r="G72" i="9"/>
  <c r="P72" i="9"/>
  <c r="J72" i="9"/>
  <c r="F72" i="9"/>
  <c r="O72" i="9"/>
  <c r="I72" i="9"/>
  <c r="E72" i="9"/>
  <c r="L72" i="9"/>
  <c r="H72" i="9"/>
  <c r="T72" i="9"/>
  <c r="M72" i="9"/>
  <c r="N72" i="9"/>
  <c r="S72" i="9"/>
  <c r="Q72" i="9"/>
  <c r="R72" i="9"/>
  <c r="E72" i="2"/>
  <c r="G72" i="2"/>
  <c r="Y72" i="2"/>
  <c r="O72" i="2"/>
  <c r="S72" i="2"/>
  <c r="AE72" i="2"/>
  <c r="Q72" i="2"/>
  <c r="U72" i="2"/>
  <c r="F72" i="2"/>
  <c r="N72" i="2"/>
  <c r="P72" i="2"/>
  <c r="R72" i="2"/>
  <c r="M72" i="2"/>
  <c r="W72" i="2"/>
  <c r="AA72" i="2"/>
  <c r="AC72" i="2"/>
  <c r="H72" i="2"/>
  <c r="T72" i="2"/>
  <c r="V72" i="2"/>
  <c r="AB72" i="2"/>
  <c r="AD72" i="2"/>
  <c r="AF72" i="2"/>
  <c r="X72" i="2"/>
  <c r="Z72" i="2"/>
  <c r="I72" i="2"/>
  <c r="J72" i="2"/>
  <c r="K72" i="2"/>
  <c r="L72" i="2"/>
  <c r="D74" i="2" l="1"/>
  <c r="C74" i="2"/>
  <c r="D74" i="9"/>
  <c r="C74" i="9"/>
  <c r="Q73" i="9"/>
  <c r="M73" i="9"/>
  <c r="I73" i="9"/>
  <c r="E73" i="9"/>
  <c r="R73" i="9"/>
  <c r="N73" i="9"/>
  <c r="J73" i="9"/>
  <c r="F73" i="9"/>
  <c r="S73" i="9"/>
  <c r="O73" i="9"/>
  <c r="K73" i="9"/>
  <c r="G73" i="9"/>
  <c r="T73" i="9"/>
  <c r="P73" i="9"/>
  <c r="L73" i="9"/>
  <c r="H73" i="9"/>
  <c r="E73" i="2"/>
  <c r="Y73" i="2"/>
  <c r="AE73" i="2"/>
  <c r="G73" i="2"/>
  <c r="O73" i="2"/>
  <c r="S73" i="2"/>
  <c r="M73" i="2"/>
  <c r="Q73" i="2"/>
  <c r="W73" i="2"/>
  <c r="AA73" i="2"/>
  <c r="F73" i="2"/>
  <c r="H73" i="2"/>
  <c r="P73" i="2"/>
  <c r="U73" i="2"/>
  <c r="AC73" i="2"/>
  <c r="N73" i="2"/>
  <c r="R73" i="2"/>
  <c r="V73" i="2"/>
  <c r="Z73" i="2"/>
  <c r="AD73" i="2"/>
  <c r="AF73" i="2"/>
  <c r="I73" i="2"/>
  <c r="K73" i="2"/>
  <c r="T73" i="2"/>
  <c r="X73" i="2"/>
  <c r="AB73" i="2"/>
  <c r="J73" i="2"/>
  <c r="L73" i="2"/>
  <c r="D75" i="9" l="1"/>
  <c r="C75" i="9"/>
  <c r="D75" i="2"/>
  <c r="C75" i="2"/>
  <c r="G74" i="9"/>
  <c r="P74" i="9"/>
  <c r="F74" i="9"/>
  <c r="O74" i="9"/>
  <c r="E74" i="9"/>
  <c r="H74" i="9"/>
  <c r="K74" i="9"/>
  <c r="L74" i="9"/>
  <c r="M74" i="9"/>
  <c r="R74" i="9"/>
  <c r="J74" i="9"/>
  <c r="S74" i="9"/>
  <c r="T74" i="9"/>
  <c r="Q74" i="9"/>
  <c r="I74" i="9"/>
  <c r="N74" i="9"/>
  <c r="E74" i="2"/>
  <c r="G74" i="2"/>
  <c r="O74" i="2"/>
  <c r="S74" i="2"/>
  <c r="Y74" i="2"/>
  <c r="AE74" i="2"/>
  <c r="M74" i="2"/>
  <c r="U74" i="2"/>
  <c r="W74" i="2"/>
  <c r="AA74" i="2"/>
  <c r="AC74" i="2"/>
  <c r="F74" i="2"/>
  <c r="H74" i="2"/>
  <c r="P74" i="2"/>
  <c r="R74" i="2"/>
  <c r="Q74" i="2"/>
  <c r="N74" i="2"/>
  <c r="T74" i="2"/>
  <c r="AD74" i="2"/>
  <c r="I74" i="2"/>
  <c r="V74" i="2"/>
  <c r="X74" i="2"/>
  <c r="Z74" i="2"/>
  <c r="AB74" i="2"/>
  <c r="AF74" i="2"/>
  <c r="K74" i="2"/>
  <c r="J74" i="2"/>
  <c r="L74" i="2"/>
  <c r="D76" i="2" l="1"/>
  <c r="C76" i="2"/>
  <c r="D76" i="9"/>
  <c r="C76" i="9"/>
  <c r="I75" i="9"/>
  <c r="O75" i="9"/>
  <c r="P75" i="9"/>
  <c r="J75" i="9"/>
  <c r="K75" i="9"/>
  <c r="T75" i="9"/>
  <c r="H75" i="9"/>
  <c r="M75" i="9"/>
  <c r="R75" i="9"/>
  <c r="F75" i="9"/>
  <c r="S75" i="9"/>
  <c r="G75" i="9"/>
  <c r="L75" i="9"/>
  <c r="Q75" i="9"/>
  <c r="E75" i="9"/>
  <c r="N75" i="9"/>
  <c r="E75" i="2"/>
  <c r="G75" i="2"/>
  <c r="O75" i="2"/>
  <c r="AE75" i="2"/>
  <c r="S75" i="2"/>
  <c r="Y75" i="2"/>
  <c r="M75" i="2"/>
  <c r="W75" i="2"/>
  <c r="H75" i="2"/>
  <c r="N75" i="2"/>
  <c r="R75" i="2"/>
  <c r="Q75" i="2"/>
  <c r="U75" i="2"/>
  <c r="AA75" i="2"/>
  <c r="AC75" i="2"/>
  <c r="F75" i="2"/>
  <c r="P75" i="2"/>
  <c r="X75" i="2"/>
  <c r="Z75" i="2"/>
  <c r="I75" i="2"/>
  <c r="T75" i="2"/>
  <c r="V75" i="2"/>
  <c r="AB75" i="2"/>
  <c r="AD75" i="2"/>
  <c r="AF75" i="2"/>
  <c r="K75" i="2"/>
  <c r="L75" i="2"/>
  <c r="J75" i="2"/>
  <c r="D77" i="9" l="1"/>
  <c r="C77" i="9"/>
  <c r="D77" i="2"/>
  <c r="C77" i="2"/>
  <c r="M76" i="9"/>
  <c r="N76" i="9"/>
  <c r="O76" i="9"/>
  <c r="P76" i="9"/>
  <c r="R76" i="9"/>
  <c r="F76" i="9"/>
  <c r="K76" i="9"/>
  <c r="T76" i="9"/>
  <c r="H76" i="9"/>
  <c r="J76" i="9"/>
  <c r="Q76" i="9"/>
  <c r="E76" i="9"/>
  <c r="S76" i="9"/>
  <c r="G76" i="9"/>
  <c r="L76" i="9"/>
  <c r="I76" i="9"/>
  <c r="E76" i="2"/>
  <c r="AE76" i="2"/>
  <c r="G76" i="2"/>
  <c r="O76" i="2"/>
  <c r="S76" i="2"/>
  <c r="Y76" i="2"/>
  <c r="M76" i="2"/>
  <c r="Q76" i="2"/>
  <c r="N76" i="2"/>
  <c r="U76" i="2"/>
  <c r="W76" i="2"/>
  <c r="AA76" i="2"/>
  <c r="AC76" i="2"/>
  <c r="F76" i="2"/>
  <c r="H76" i="2"/>
  <c r="P76" i="2"/>
  <c r="R76" i="2"/>
  <c r="V76" i="2"/>
  <c r="X76" i="2"/>
  <c r="Z76" i="2"/>
  <c r="AB76" i="2"/>
  <c r="AF76" i="2"/>
  <c r="T76" i="2"/>
  <c r="AD76" i="2"/>
  <c r="I76" i="2"/>
  <c r="K76" i="2"/>
  <c r="L76" i="2"/>
  <c r="J76" i="2"/>
  <c r="D78" i="2" l="1"/>
  <c r="C78" i="2"/>
  <c r="D78" i="9"/>
  <c r="C78" i="9"/>
  <c r="I77" i="9"/>
  <c r="J77" i="9"/>
  <c r="O77" i="9"/>
  <c r="P77" i="9"/>
  <c r="K77" i="9"/>
  <c r="T77" i="9"/>
  <c r="H77" i="9"/>
  <c r="M77" i="9"/>
  <c r="R77" i="9"/>
  <c r="F77" i="9"/>
  <c r="S77" i="9"/>
  <c r="G77" i="9"/>
  <c r="L77" i="9"/>
  <c r="Q77" i="9"/>
  <c r="E77" i="9"/>
  <c r="N77" i="9"/>
  <c r="E77" i="2"/>
  <c r="G77" i="2"/>
  <c r="O77" i="2"/>
  <c r="S77" i="2"/>
  <c r="AE77" i="2"/>
  <c r="Y77" i="2"/>
  <c r="M77" i="2"/>
  <c r="AA77" i="2"/>
  <c r="AC77" i="2"/>
  <c r="F77" i="2"/>
  <c r="P77" i="2"/>
  <c r="R77" i="2"/>
  <c r="Q77" i="2"/>
  <c r="U77" i="2"/>
  <c r="W77" i="2"/>
  <c r="H77" i="2"/>
  <c r="N77" i="2"/>
  <c r="T77" i="2"/>
  <c r="X77" i="2"/>
  <c r="Z77" i="2"/>
  <c r="AB77" i="2"/>
  <c r="AD77" i="2"/>
  <c r="V77" i="2"/>
  <c r="AF77" i="2"/>
  <c r="I77" i="2"/>
  <c r="K77" i="2"/>
  <c r="J77" i="2"/>
  <c r="L77" i="2"/>
  <c r="D79" i="9" l="1"/>
  <c r="C79" i="9"/>
  <c r="D79" i="2"/>
  <c r="C79" i="2"/>
  <c r="Q78" i="9"/>
  <c r="M78" i="9"/>
  <c r="I78" i="9"/>
  <c r="E78" i="9"/>
  <c r="R78" i="9"/>
  <c r="N78" i="9"/>
  <c r="J78" i="9"/>
  <c r="F78" i="9"/>
  <c r="S78" i="9"/>
  <c r="O78" i="9"/>
  <c r="K78" i="9"/>
  <c r="G78" i="9"/>
  <c r="T78" i="9"/>
  <c r="P78" i="9"/>
  <c r="L78" i="9"/>
  <c r="H78" i="9"/>
  <c r="E78" i="2"/>
  <c r="G78" i="2"/>
  <c r="O78" i="2"/>
  <c r="Y78" i="2"/>
  <c r="AE78" i="2"/>
  <c r="S78" i="2"/>
  <c r="M78" i="2"/>
  <c r="Q78" i="2"/>
  <c r="U78" i="2"/>
  <c r="W78" i="2"/>
  <c r="AA78" i="2"/>
  <c r="F78" i="2"/>
  <c r="H78" i="2"/>
  <c r="AC78" i="2"/>
  <c r="N78" i="2"/>
  <c r="P78" i="2"/>
  <c r="AB78" i="2"/>
  <c r="I78" i="2"/>
  <c r="R78" i="2"/>
  <c r="T78" i="2"/>
  <c r="V78" i="2"/>
  <c r="X78" i="2"/>
  <c r="Z78" i="2"/>
  <c r="AD78" i="2"/>
  <c r="AF78" i="2"/>
  <c r="K78" i="2"/>
  <c r="J78" i="2"/>
  <c r="L78" i="2"/>
  <c r="D80" i="2" l="1"/>
  <c r="C80" i="2"/>
  <c r="D80" i="9"/>
  <c r="C80" i="9"/>
  <c r="O79" i="9"/>
  <c r="K79" i="9"/>
  <c r="G79" i="9"/>
  <c r="R79" i="9"/>
  <c r="N79" i="9"/>
  <c r="J79" i="9"/>
  <c r="F79" i="9"/>
  <c r="Q79" i="9"/>
  <c r="M79" i="9"/>
  <c r="I79" i="9"/>
  <c r="E79" i="9"/>
  <c r="P79" i="9"/>
  <c r="L79" i="9"/>
  <c r="H79" i="9"/>
  <c r="T79" i="9"/>
  <c r="S79" i="9"/>
  <c r="E79" i="2"/>
  <c r="S79" i="2"/>
  <c r="AE79" i="2"/>
  <c r="G79" i="2"/>
  <c r="O79" i="2"/>
  <c r="Y79" i="2"/>
  <c r="M79" i="2"/>
  <c r="AA79" i="2"/>
  <c r="N79" i="2"/>
  <c r="R79" i="2"/>
  <c r="Q79" i="2"/>
  <c r="U79" i="2"/>
  <c r="W79" i="2"/>
  <c r="AC79" i="2"/>
  <c r="F79" i="2"/>
  <c r="H79" i="2"/>
  <c r="P79" i="2"/>
  <c r="T79" i="2"/>
  <c r="V79" i="2"/>
  <c r="X79" i="2"/>
  <c r="Z79" i="2"/>
  <c r="AB79" i="2"/>
  <c r="AD79" i="2"/>
  <c r="AF79" i="2"/>
  <c r="K79" i="2"/>
  <c r="I79" i="2"/>
  <c r="J79" i="2"/>
  <c r="L79" i="2"/>
  <c r="D81" i="9" l="1"/>
  <c r="C81" i="9"/>
  <c r="D81" i="2"/>
  <c r="C81" i="2"/>
  <c r="O80" i="9"/>
  <c r="K80" i="9"/>
  <c r="G80" i="9"/>
  <c r="R80" i="9"/>
  <c r="N80" i="9"/>
  <c r="J80" i="9"/>
  <c r="F80" i="9"/>
  <c r="Q80" i="9"/>
  <c r="M80" i="9"/>
  <c r="I80" i="9"/>
  <c r="E80" i="9"/>
  <c r="P80" i="9"/>
  <c r="L80" i="9"/>
  <c r="H80" i="9"/>
  <c r="T80" i="9"/>
  <c r="S80" i="9"/>
  <c r="E80" i="2"/>
  <c r="S80" i="2"/>
  <c r="Y80" i="2"/>
  <c r="G80" i="2"/>
  <c r="O80" i="2"/>
  <c r="AE80" i="2"/>
  <c r="W80" i="2"/>
  <c r="AA80" i="2"/>
  <c r="H80" i="2"/>
  <c r="N80" i="2"/>
  <c r="P80" i="2"/>
  <c r="R80" i="2"/>
  <c r="M80" i="2"/>
  <c r="Q80" i="2"/>
  <c r="U80" i="2"/>
  <c r="AC80" i="2"/>
  <c r="F80" i="2"/>
  <c r="T80" i="2"/>
  <c r="X80" i="2"/>
  <c r="Z80" i="2"/>
  <c r="AB80" i="2"/>
  <c r="AD80" i="2"/>
  <c r="V80" i="2"/>
  <c r="AF80" i="2"/>
  <c r="I80" i="2"/>
  <c r="J80" i="2"/>
  <c r="L80" i="2"/>
  <c r="K80" i="2"/>
  <c r="D82" i="9" l="1"/>
  <c r="C82" i="9"/>
  <c r="D82" i="2"/>
  <c r="C82" i="2"/>
  <c r="Q81" i="9"/>
  <c r="M81" i="9"/>
  <c r="I81" i="9"/>
  <c r="E81" i="9"/>
  <c r="R81" i="9"/>
  <c r="N81" i="9"/>
  <c r="J81" i="9"/>
  <c r="F81" i="9"/>
  <c r="S81" i="9"/>
  <c r="O81" i="9"/>
  <c r="K81" i="9"/>
  <c r="G81" i="9"/>
  <c r="T81" i="9"/>
  <c r="P81" i="9"/>
  <c r="L81" i="9"/>
  <c r="H81" i="9"/>
  <c r="E81" i="2"/>
  <c r="G81" i="2"/>
  <c r="S81" i="2"/>
  <c r="O81" i="2"/>
  <c r="Y81" i="2"/>
  <c r="AE81" i="2"/>
  <c r="M81" i="2"/>
  <c r="W81" i="2"/>
  <c r="AC81" i="2"/>
  <c r="N81" i="2"/>
  <c r="R81" i="2"/>
  <c r="Q81" i="2"/>
  <c r="U81" i="2"/>
  <c r="AA81" i="2"/>
  <c r="F81" i="2"/>
  <c r="H81" i="2"/>
  <c r="P81" i="2"/>
  <c r="T81" i="2"/>
  <c r="X81" i="2"/>
  <c r="AB81" i="2"/>
  <c r="I81" i="2"/>
  <c r="K81" i="2"/>
  <c r="V81" i="2"/>
  <c r="Z81" i="2"/>
  <c r="AD81" i="2"/>
  <c r="AF81" i="2"/>
  <c r="J81" i="2"/>
  <c r="L81" i="2"/>
  <c r="D83" i="9" l="1"/>
  <c r="C83" i="9"/>
  <c r="D83" i="2"/>
  <c r="C83" i="2"/>
  <c r="J82" i="9"/>
  <c r="I82" i="9"/>
  <c r="O82" i="9"/>
  <c r="R82" i="9"/>
  <c r="P82" i="9"/>
  <c r="M82" i="9"/>
  <c r="G82" i="9"/>
  <c r="L82" i="9"/>
  <c r="S82" i="9"/>
  <c r="K82" i="9"/>
  <c r="E82" i="9"/>
  <c r="H82" i="9"/>
  <c r="Q82" i="9"/>
  <c r="N82" i="9"/>
  <c r="T82" i="9"/>
  <c r="F82" i="9"/>
  <c r="E82" i="2"/>
  <c r="G82" i="2"/>
  <c r="S82" i="2"/>
  <c r="O82" i="2"/>
  <c r="Y82" i="2"/>
  <c r="AE82" i="2"/>
  <c r="M82" i="2"/>
  <c r="U82" i="2"/>
  <c r="W82" i="2"/>
  <c r="AA82" i="2"/>
  <c r="AC82" i="2"/>
  <c r="F82" i="2"/>
  <c r="R82" i="2"/>
  <c r="Q82" i="2"/>
  <c r="H82" i="2"/>
  <c r="N82" i="2"/>
  <c r="P82" i="2"/>
  <c r="T82" i="2"/>
  <c r="AD82" i="2"/>
  <c r="I82" i="2"/>
  <c r="V82" i="2"/>
  <c r="X82" i="2"/>
  <c r="Z82" i="2"/>
  <c r="AB82" i="2"/>
  <c r="AF82" i="2"/>
  <c r="K82" i="2"/>
  <c r="J82" i="2"/>
  <c r="L82" i="2"/>
  <c r="D84" i="2" l="1"/>
  <c r="C84" i="2"/>
  <c r="D84" i="9"/>
  <c r="C84" i="9"/>
  <c r="Q83" i="9"/>
  <c r="M83" i="9"/>
  <c r="I83" i="9"/>
  <c r="E83" i="9"/>
  <c r="N83" i="9"/>
  <c r="F83" i="9"/>
  <c r="P83" i="9"/>
  <c r="H83" i="9"/>
  <c r="S83" i="9"/>
  <c r="O83" i="9"/>
  <c r="K83" i="9"/>
  <c r="G83" i="9"/>
  <c r="R83" i="9"/>
  <c r="J83" i="9"/>
  <c r="T83" i="9"/>
  <c r="L83" i="9"/>
  <c r="E83" i="2"/>
  <c r="O83" i="2"/>
  <c r="S83" i="2"/>
  <c r="Y83" i="2"/>
  <c r="G83" i="2"/>
  <c r="AE83" i="2"/>
  <c r="M83" i="2"/>
  <c r="Q83" i="2"/>
  <c r="W83" i="2"/>
  <c r="AA83" i="2"/>
  <c r="U83" i="2"/>
  <c r="AC83" i="2"/>
  <c r="F83" i="2"/>
  <c r="H83" i="2"/>
  <c r="N83" i="2"/>
  <c r="P83" i="2"/>
  <c r="R83" i="2"/>
  <c r="T83" i="2"/>
  <c r="X83" i="2"/>
  <c r="Z83" i="2"/>
  <c r="AB83" i="2"/>
  <c r="I83" i="2"/>
  <c r="V83" i="2"/>
  <c r="AD83" i="2"/>
  <c r="AF83" i="2"/>
  <c r="K83" i="2"/>
  <c r="L83" i="2"/>
  <c r="J83" i="2"/>
  <c r="D85" i="2" l="1"/>
  <c r="C85" i="2"/>
  <c r="D85" i="9"/>
  <c r="C85" i="9"/>
  <c r="Q84" i="9"/>
  <c r="M84" i="9"/>
  <c r="I84" i="9"/>
  <c r="E84" i="9"/>
  <c r="N84" i="9"/>
  <c r="F84" i="9"/>
  <c r="P84" i="9"/>
  <c r="H84" i="9"/>
  <c r="S84" i="9"/>
  <c r="O84" i="9"/>
  <c r="K84" i="9"/>
  <c r="G84" i="9"/>
  <c r="R84" i="9"/>
  <c r="J84" i="9"/>
  <c r="T84" i="9"/>
  <c r="L84" i="9"/>
  <c r="E84" i="2"/>
  <c r="O84" i="2"/>
  <c r="Y84" i="2"/>
  <c r="AE84" i="2"/>
  <c r="G84" i="2"/>
  <c r="S84" i="2"/>
  <c r="M84" i="2"/>
  <c r="Q84" i="2"/>
  <c r="H84" i="2"/>
  <c r="N84" i="2"/>
  <c r="P84" i="2"/>
  <c r="U84" i="2"/>
  <c r="W84" i="2"/>
  <c r="AA84" i="2"/>
  <c r="AC84" i="2"/>
  <c r="F84" i="2"/>
  <c r="V84" i="2"/>
  <c r="X84" i="2"/>
  <c r="Z84" i="2"/>
  <c r="AB84" i="2"/>
  <c r="AF84" i="2"/>
  <c r="R84" i="2"/>
  <c r="T84" i="2"/>
  <c r="AD84" i="2"/>
  <c r="I84" i="2"/>
  <c r="K84" i="2"/>
  <c r="L84" i="2"/>
  <c r="J84" i="2"/>
  <c r="D86" i="2" l="1"/>
  <c r="C86" i="2"/>
  <c r="D86" i="9"/>
  <c r="C86" i="9"/>
  <c r="Q85" i="9"/>
  <c r="M85" i="9"/>
  <c r="I85" i="9"/>
  <c r="E85" i="9"/>
  <c r="N85" i="9"/>
  <c r="F85" i="9"/>
  <c r="P85" i="9"/>
  <c r="H85" i="9"/>
  <c r="S85" i="9"/>
  <c r="O85" i="9"/>
  <c r="K85" i="9"/>
  <c r="G85" i="9"/>
  <c r="R85" i="9"/>
  <c r="J85" i="9"/>
  <c r="T85" i="9"/>
  <c r="L85" i="9"/>
  <c r="E85" i="2"/>
  <c r="O85" i="2"/>
  <c r="Y85" i="2"/>
  <c r="AE85" i="2"/>
  <c r="G85" i="2"/>
  <c r="S85" i="2"/>
  <c r="M85" i="2"/>
  <c r="Q85" i="2"/>
  <c r="U85" i="2"/>
  <c r="W85" i="2"/>
  <c r="AA85" i="2"/>
  <c r="F85" i="2"/>
  <c r="H85" i="2"/>
  <c r="N85" i="2"/>
  <c r="P85" i="2"/>
  <c r="AC85" i="2"/>
  <c r="R85" i="2"/>
  <c r="T85" i="2"/>
  <c r="V85" i="2"/>
  <c r="AD85" i="2"/>
  <c r="X85" i="2"/>
  <c r="Z85" i="2"/>
  <c r="AB85" i="2"/>
  <c r="AF85" i="2"/>
  <c r="I85" i="2"/>
  <c r="K85" i="2"/>
  <c r="J85" i="2"/>
  <c r="L85" i="2"/>
  <c r="D87" i="9" l="1"/>
  <c r="C87" i="9"/>
  <c r="D87" i="2"/>
  <c r="C87" i="2"/>
  <c r="E86" i="2"/>
  <c r="G86" i="2"/>
  <c r="O86" i="2"/>
  <c r="S86" i="2"/>
  <c r="Y86" i="2"/>
  <c r="AE86" i="2"/>
  <c r="M86" i="2"/>
  <c r="U86" i="2"/>
  <c r="AC86" i="2"/>
  <c r="F86" i="2"/>
  <c r="Q86" i="2"/>
  <c r="W86" i="2"/>
  <c r="AA86" i="2"/>
  <c r="H86" i="2"/>
  <c r="N86" i="2"/>
  <c r="P86" i="2"/>
  <c r="R86" i="2"/>
  <c r="T86" i="2"/>
  <c r="V86" i="2"/>
  <c r="AD86" i="2"/>
  <c r="AF86" i="2"/>
  <c r="I86" i="2"/>
  <c r="X86" i="2"/>
  <c r="Z86" i="2"/>
  <c r="AB86" i="2"/>
  <c r="K86" i="2"/>
  <c r="J86" i="2"/>
  <c r="L86" i="2"/>
  <c r="Q86" i="9"/>
  <c r="M86" i="9"/>
  <c r="I86" i="9"/>
  <c r="E86" i="9"/>
  <c r="N86" i="9"/>
  <c r="F86" i="9"/>
  <c r="P86" i="9"/>
  <c r="H86" i="9"/>
  <c r="S86" i="9"/>
  <c r="O86" i="9"/>
  <c r="K86" i="9"/>
  <c r="G86" i="9"/>
  <c r="R86" i="9"/>
  <c r="J86" i="9"/>
  <c r="T86" i="9"/>
  <c r="L86" i="9"/>
  <c r="D88" i="2" l="1"/>
  <c r="C88" i="2"/>
  <c r="D88" i="9"/>
  <c r="C88" i="9"/>
  <c r="O87" i="9"/>
  <c r="K87" i="9"/>
  <c r="G87" i="9"/>
  <c r="R87" i="9"/>
  <c r="J87" i="9"/>
  <c r="P87" i="9"/>
  <c r="H87" i="9"/>
  <c r="Q87" i="9"/>
  <c r="M87" i="9"/>
  <c r="I87" i="9"/>
  <c r="E87" i="9"/>
  <c r="N87" i="9"/>
  <c r="F87" i="9"/>
  <c r="L87" i="9"/>
  <c r="S87" i="9"/>
  <c r="T87" i="9"/>
  <c r="E87" i="2"/>
  <c r="G87" i="2"/>
  <c r="O87" i="2"/>
  <c r="S87" i="2"/>
  <c r="Y87" i="2"/>
  <c r="AE87" i="2"/>
  <c r="M87" i="2"/>
  <c r="Q87" i="2"/>
  <c r="U87" i="2"/>
  <c r="W87" i="2"/>
  <c r="AC87" i="2"/>
  <c r="H87" i="2"/>
  <c r="N87" i="2"/>
  <c r="AA87" i="2"/>
  <c r="F87" i="2"/>
  <c r="P87" i="2"/>
  <c r="R87" i="2"/>
  <c r="T87" i="2"/>
  <c r="V87" i="2"/>
  <c r="X87" i="2"/>
  <c r="AF87" i="2"/>
  <c r="K87" i="2"/>
  <c r="Z87" i="2"/>
  <c r="AB87" i="2"/>
  <c r="AD87" i="2"/>
  <c r="I87" i="2"/>
  <c r="J87" i="2"/>
  <c r="L87" i="2"/>
  <c r="D89" i="9" l="1"/>
  <c r="C89" i="9"/>
  <c r="D89" i="2"/>
  <c r="C89" i="2"/>
  <c r="Q88" i="9"/>
  <c r="M88" i="9"/>
  <c r="I88" i="9"/>
  <c r="E88" i="9"/>
  <c r="N88" i="9"/>
  <c r="F88" i="9"/>
  <c r="P88" i="9"/>
  <c r="H88" i="9"/>
  <c r="S88" i="9"/>
  <c r="O88" i="9"/>
  <c r="K88" i="9"/>
  <c r="G88" i="9"/>
  <c r="R88" i="9"/>
  <c r="J88" i="9"/>
  <c r="T88" i="9"/>
  <c r="L88" i="9"/>
  <c r="E88" i="2"/>
  <c r="G88" i="2"/>
  <c r="Y88" i="2"/>
  <c r="AE88" i="2"/>
  <c r="O88" i="2"/>
  <c r="S88" i="2"/>
  <c r="M88" i="2"/>
  <c r="Q88" i="2"/>
  <c r="AA88" i="2"/>
  <c r="AC88" i="2"/>
  <c r="F88" i="2"/>
  <c r="H88" i="2"/>
  <c r="N88" i="2"/>
  <c r="U88" i="2"/>
  <c r="W88" i="2"/>
  <c r="P88" i="2"/>
  <c r="T88" i="2"/>
  <c r="V88" i="2"/>
  <c r="X88" i="2"/>
  <c r="Z88" i="2"/>
  <c r="AF88" i="2"/>
  <c r="R88" i="2"/>
  <c r="AB88" i="2"/>
  <c r="AD88" i="2"/>
  <c r="I88" i="2"/>
  <c r="J88" i="2"/>
  <c r="L88" i="2"/>
  <c r="K88" i="2"/>
  <c r="D90" i="2" l="1"/>
  <c r="C90" i="2"/>
  <c r="D90" i="9"/>
  <c r="C90" i="9"/>
  <c r="J89" i="9"/>
  <c r="I89" i="9"/>
  <c r="O89" i="9"/>
  <c r="G89" i="9"/>
  <c r="M89" i="9"/>
  <c r="P89" i="9"/>
  <c r="R89" i="9"/>
  <c r="E89" i="9"/>
  <c r="K89" i="9"/>
  <c r="L89" i="9"/>
  <c r="N89" i="9"/>
  <c r="H89" i="9"/>
  <c r="S89" i="9"/>
  <c r="T89" i="9"/>
  <c r="Q89" i="9"/>
  <c r="F89" i="9"/>
  <c r="E89" i="2"/>
  <c r="G89" i="2"/>
  <c r="O89" i="2"/>
  <c r="S89" i="2"/>
  <c r="Y89" i="2"/>
  <c r="AE89" i="2"/>
  <c r="AC89" i="2"/>
  <c r="F89" i="2"/>
  <c r="P89" i="2"/>
  <c r="M89" i="2"/>
  <c r="Q89" i="2"/>
  <c r="U89" i="2"/>
  <c r="W89" i="2"/>
  <c r="AA89" i="2"/>
  <c r="H89" i="2"/>
  <c r="N89" i="2"/>
  <c r="R89" i="2"/>
  <c r="Z89" i="2"/>
  <c r="AB89" i="2"/>
  <c r="I89" i="2"/>
  <c r="K89" i="2"/>
  <c r="T89" i="2"/>
  <c r="V89" i="2"/>
  <c r="X89" i="2"/>
  <c r="AD89" i="2"/>
  <c r="AF89" i="2"/>
  <c r="J89" i="2"/>
  <c r="L89" i="2"/>
  <c r="D91" i="9" l="1"/>
  <c r="C91" i="9"/>
  <c r="D91" i="2"/>
  <c r="C91" i="2"/>
  <c r="Q90" i="9"/>
  <c r="M90" i="9"/>
  <c r="I90" i="9"/>
  <c r="E90" i="9"/>
  <c r="N90" i="9"/>
  <c r="F90" i="9"/>
  <c r="P90" i="9"/>
  <c r="H90" i="9"/>
  <c r="S90" i="9"/>
  <c r="O90" i="9"/>
  <c r="K90" i="9"/>
  <c r="G90" i="9"/>
  <c r="R90" i="9"/>
  <c r="J90" i="9"/>
  <c r="T90" i="9"/>
  <c r="L90" i="9"/>
  <c r="E90" i="2"/>
  <c r="S90" i="2"/>
  <c r="G90" i="2"/>
  <c r="O90" i="2"/>
  <c r="Y90" i="2"/>
  <c r="AE90" i="2"/>
  <c r="U90" i="2"/>
  <c r="W90" i="2"/>
  <c r="AA90" i="2"/>
  <c r="AC90" i="2"/>
  <c r="P90" i="2"/>
  <c r="R90" i="2"/>
  <c r="M90" i="2"/>
  <c r="Q90" i="2"/>
  <c r="F90" i="2"/>
  <c r="H90" i="2"/>
  <c r="N90" i="2"/>
  <c r="T90" i="2"/>
  <c r="AB90" i="2"/>
  <c r="AD90" i="2"/>
  <c r="I90" i="2"/>
  <c r="V90" i="2"/>
  <c r="X90" i="2"/>
  <c r="Z90" i="2"/>
  <c r="AF90" i="2"/>
  <c r="K90" i="2"/>
  <c r="J90" i="2"/>
  <c r="L90" i="2"/>
  <c r="D92" i="2" l="1"/>
  <c r="C92" i="2"/>
  <c r="D92" i="9"/>
  <c r="C92" i="9"/>
  <c r="O91" i="9"/>
  <c r="K91" i="9"/>
  <c r="G91" i="9"/>
  <c r="J91" i="9"/>
  <c r="P91" i="9"/>
  <c r="H91" i="9"/>
  <c r="S91" i="9"/>
  <c r="M91" i="9"/>
  <c r="I91" i="9"/>
  <c r="N91" i="9"/>
  <c r="T91" i="9"/>
  <c r="L91" i="9"/>
  <c r="R91" i="9"/>
  <c r="Q91" i="9"/>
  <c r="F91" i="9"/>
  <c r="E91" i="9"/>
  <c r="E91" i="2"/>
  <c r="S91" i="2"/>
  <c r="G91" i="2"/>
  <c r="O91" i="2"/>
  <c r="Y91" i="2"/>
  <c r="AE91" i="2"/>
  <c r="M91" i="2"/>
  <c r="U91" i="2"/>
  <c r="AC91" i="2"/>
  <c r="H91" i="2"/>
  <c r="N91" i="2"/>
  <c r="P91" i="2"/>
  <c r="Q91" i="2"/>
  <c r="W91" i="2"/>
  <c r="AA91" i="2"/>
  <c r="F91" i="2"/>
  <c r="Z91" i="2"/>
  <c r="AD91" i="2"/>
  <c r="AF91" i="2"/>
  <c r="I91" i="2"/>
  <c r="R91" i="2"/>
  <c r="T91" i="2"/>
  <c r="V91" i="2"/>
  <c r="X91" i="2"/>
  <c r="AB91" i="2"/>
  <c r="K91" i="2"/>
  <c r="L91" i="2"/>
  <c r="J91" i="2"/>
  <c r="D93" i="2" l="1"/>
  <c r="C93" i="2"/>
  <c r="D93" i="9"/>
  <c r="C93" i="9"/>
  <c r="Q92" i="9"/>
  <c r="M92" i="9"/>
  <c r="I92" i="9"/>
  <c r="E92" i="9"/>
  <c r="N92" i="9"/>
  <c r="F92" i="9"/>
  <c r="P92" i="9"/>
  <c r="H92" i="9"/>
  <c r="S92" i="9"/>
  <c r="O92" i="9"/>
  <c r="K92" i="9"/>
  <c r="G92" i="9"/>
  <c r="R92" i="9"/>
  <c r="J92" i="9"/>
  <c r="T92" i="9"/>
  <c r="L92" i="9"/>
  <c r="E92" i="2"/>
  <c r="O92" i="2"/>
  <c r="S92" i="2"/>
  <c r="Y92" i="2"/>
  <c r="G92" i="2"/>
  <c r="M92" i="2"/>
  <c r="AE92" i="2"/>
  <c r="U92" i="2"/>
  <c r="W92" i="2"/>
  <c r="H92" i="2"/>
  <c r="N92" i="2"/>
  <c r="P92" i="2"/>
  <c r="Q92" i="2"/>
  <c r="AA92" i="2"/>
  <c r="AC92" i="2"/>
  <c r="F92" i="2"/>
  <c r="Z92" i="2"/>
  <c r="AB92" i="2"/>
  <c r="AD92" i="2"/>
  <c r="R92" i="2"/>
  <c r="T92" i="2"/>
  <c r="V92" i="2"/>
  <c r="X92" i="2"/>
  <c r="AF92" i="2"/>
  <c r="I92" i="2"/>
  <c r="K92" i="2"/>
  <c r="L92" i="2"/>
  <c r="J92" i="2"/>
  <c r="D94" i="2" l="1"/>
  <c r="C94" i="2"/>
  <c r="D94" i="9"/>
  <c r="C94" i="9"/>
  <c r="E93" i="2"/>
  <c r="G93" i="2"/>
  <c r="S93" i="2"/>
  <c r="AE93" i="2"/>
  <c r="O93" i="2"/>
  <c r="Y93" i="2"/>
  <c r="M93" i="2"/>
  <c r="AA93" i="2"/>
  <c r="F93" i="2"/>
  <c r="H93" i="2"/>
  <c r="P93" i="2"/>
  <c r="R93" i="2"/>
  <c r="Q93" i="2"/>
  <c r="U93" i="2"/>
  <c r="W93" i="2"/>
  <c r="AC93" i="2"/>
  <c r="N93" i="2"/>
  <c r="T93" i="2"/>
  <c r="V93" i="2"/>
  <c r="AF93" i="2"/>
  <c r="X93" i="2"/>
  <c r="Z93" i="2"/>
  <c r="AB93" i="2"/>
  <c r="AD93" i="2"/>
  <c r="I93" i="2"/>
  <c r="K93" i="2"/>
  <c r="J93" i="2"/>
  <c r="L93" i="2"/>
  <c r="Q93" i="9"/>
  <c r="M93" i="9"/>
  <c r="I93" i="9"/>
  <c r="E93" i="9"/>
  <c r="N93" i="9"/>
  <c r="F93" i="9"/>
  <c r="P93" i="9"/>
  <c r="H93" i="9"/>
  <c r="S93" i="9"/>
  <c r="O93" i="9"/>
  <c r="K93" i="9"/>
  <c r="G93" i="9"/>
  <c r="R93" i="9"/>
  <c r="J93" i="9"/>
  <c r="T93" i="9"/>
  <c r="L93" i="9"/>
  <c r="D95" i="9" l="1"/>
  <c r="C95" i="9"/>
  <c r="D95" i="2"/>
  <c r="C95" i="2"/>
  <c r="E94" i="2"/>
  <c r="G94" i="2"/>
  <c r="Y94" i="2"/>
  <c r="O94" i="2"/>
  <c r="S94" i="2"/>
  <c r="AE94" i="2"/>
  <c r="M94" i="2"/>
  <c r="Q94" i="2"/>
  <c r="AC94" i="2"/>
  <c r="F94" i="2"/>
  <c r="H94" i="2"/>
  <c r="R94" i="2"/>
  <c r="U94" i="2"/>
  <c r="W94" i="2"/>
  <c r="AA94" i="2"/>
  <c r="N94" i="2"/>
  <c r="P94" i="2"/>
  <c r="V94" i="2"/>
  <c r="X94" i="2"/>
  <c r="I94" i="2"/>
  <c r="T94" i="2"/>
  <c r="Z94" i="2"/>
  <c r="AB94" i="2"/>
  <c r="AD94" i="2"/>
  <c r="AF94" i="2"/>
  <c r="K94" i="2"/>
  <c r="J94" i="2"/>
  <c r="L94" i="2"/>
  <c r="Q94" i="9"/>
  <c r="M94" i="9"/>
  <c r="I94" i="9"/>
  <c r="E94" i="9"/>
  <c r="N94" i="9"/>
  <c r="F94" i="9"/>
  <c r="P94" i="9"/>
  <c r="H94" i="9"/>
  <c r="S94" i="9"/>
  <c r="O94" i="9"/>
  <c r="K94" i="9"/>
  <c r="G94" i="9"/>
  <c r="R94" i="9"/>
  <c r="J94" i="9"/>
  <c r="T94" i="9"/>
  <c r="L94" i="9"/>
  <c r="D96" i="2" l="1"/>
  <c r="C96" i="2"/>
  <c r="D96" i="9"/>
  <c r="C96" i="9"/>
  <c r="O95" i="9"/>
  <c r="K95" i="9"/>
  <c r="G95" i="9"/>
  <c r="R95" i="9"/>
  <c r="J95" i="9"/>
  <c r="P95" i="9"/>
  <c r="H95" i="9"/>
  <c r="Q95" i="9"/>
  <c r="M95" i="9"/>
  <c r="I95" i="9"/>
  <c r="E95" i="9"/>
  <c r="N95" i="9"/>
  <c r="F95" i="9"/>
  <c r="L95" i="9"/>
  <c r="T95" i="9"/>
  <c r="S95" i="9"/>
  <c r="E95" i="2"/>
  <c r="G95" i="2"/>
  <c r="O95" i="2"/>
  <c r="Y95" i="2"/>
  <c r="S95" i="2"/>
  <c r="AE95" i="2"/>
  <c r="U95" i="2"/>
  <c r="AC95" i="2"/>
  <c r="H95" i="2"/>
  <c r="P95" i="2"/>
  <c r="R95" i="2"/>
  <c r="M95" i="2"/>
  <c r="Q95" i="2"/>
  <c r="W95" i="2"/>
  <c r="AA95" i="2"/>
  <c r="F95" i="2"/>
  <c r="N95" i="2"/>
  <c r="V95" i="2"/>
  <c r="Z95" i="2"/>
  <c r="AD95" i="2"/>
  <c r="AF95" i="2"/>
  <c r="K95" i="2"/>
  <c r="T95" i="2"/>
  <c r="X95" i="2"/>
  <c r="AB95" i="2"/>
  <c r="I95" i="2"/>
  <c r="J95" i="2"/>
  <c r="L95" i="2"/>
  <c r="D97" i="9" l="1"/>
  <c r="C97" i="9"/>
  <c r="D97" i="2"/>
  <c r="C97" i="2"/>
  <c r="Q96" i="9"/>
  <c r="M96" i="9"/>
  <c r="I96" i="9"/>
  <c r="E96" i="9"/>
  <c r="N96" i="9"/>
  <c r="F96" i="9"/>
  <c r="P96" i="9"/>
  <c r="H96" i="9"/>
  <c r="S96" i="9"/>
  <c r="O96" i="9"/>
  <c r="K96" i="9"/>
  <c r="G96" i="9"/>
  <c r="R96" i="9"/>
  <c r="J96" i="9"/>
  <c r="T96" i="9"/>
  <c r="L96" i="9"/>
  <c r="E96" i="2"/>
  <c r="O96" i="2"/>
  <c r="G96" i="2"/>
  <c r="S96" i="2"/>
  <c r="Y96" i="2"/>
  <c r="AE96" i="2"/>
  <c r="M96" i="2"/>
  <c r="Q96" i="2"/>
  <c r="U96" i="2"/>
  <c r="W96" i="2"/>
  <c r="AA96" i="2"/>
  <c r="N96" i="2"/>
  <c r="P96" i="2"/>
  <c r="R96" i="2"/>
  <c r="AC96" i="2"/>
  <c r="F96" i="2"/>
  <c r="H96" i="2"/>
  <c r="Z96" i="2"/>
  <c r="AB96" i="2"/>
  <c r="AD96" i="2"/>
  <c r="T96" i="2"/>
  <c r="V96" i="2"/>
  <c r="X96" i="2"/>
  <c r="AF96" i="2"/>
  <c r="I96" i="2"/>
  <c r="J96" i="2"/>
  <c r="K96" i="2"/>
  <c r="L96" i="2"/>
  <c r="D98" i="2" l="1"/>
  <c r="C98" i="2"/>
  <c r="D98" i="9"/>
  <c r="C98" i="9"/>
  <c r="O97" i="9"/>
  <c r="K97" i="9"/>
  <c r="G97" i="9"/>
  <c r="N97" i="9"/>
  <c r="F97" i="9"/>
  <c r="P97" i="9"/>
  <c r="H97" i="9"/>
  <c r="S97" i="9"/>
  <c r="M97" i="9"/>
  <c r="I97" i="9"/>
  <c r="E97" i="9"/>
  <c r="J97" i="9"/>
  <c r="T97" i="9"/>
  <c r="L97" i="9"/>
  <c r="R97" i="9"/>
  <c r="Q97" i="9"/>
  <c r="E97" i="2"/>
  <c r="Y97" i="2"/>
  <c r="AE97" i="2"/>
  <c r="G97" i="2"/>
  <c r="O97" i="2"/>
  <c r="S97" i="2"/>
  <c r="M97" i="2"/>
  <c r="U97" i="2"/>
  <c r="W97" i="2"/>
  <c r="AA97" i="2"/>
  <c r="H97" i="2"/>
  <c r="Q97" i="2"/>
  <c r="AC97" i="2"/>
  <c r="F97" i="2"/>
  <c r="N97" i="2"/>
  <c r="P97" i="2"/>
  <c r="V97" i="2"/>
  <c r="AF97" i="2"/>
  <c r="I97" i="2"/>
  <c r="K97" i="2"/>
  <c r="R97" i="2"/>
  <c r="T97" i="2"/>
  <c r="X97" i="2"/>
  <c r="Z97" i="2"/>
  <c r="AB97" i="2"/>
  <c r="AD97" i="2"/>
  <c r="J97" i="2"/>
  <c r="L97" i="2"/>
  <c r="D99" i="9" l="1"/>
  <c r="C99" i="9"/>
  <c r="D99" i="2"/>
  <c r="C99" i="2"/>
  <c r="Q98" i="9"/>
  <c r="M98" i="9"/>
  <c r="I98" i="9"/>
  <c r="E98" i="9"/>
  <c r="N98" i="9"/>
  <c r="F98" i="9"/>
  <c r="P98" i="9"/>
  <c r="H98" i="9"/>
  <c r="S98" i="9"/>
  <c r="O98" i="9"/>
  <c r="K98" i="9"/>
  <c r="G98" i="9"/>
  <c r="R98" i="9"/>
  <c r="J98" i="9"/>
  <c r="T98" i="9"/>
  <c r="L98" i="9"/>
  <c r="E98" i="2"/>
  <c r="AE98" i="2"/>
  <c r="G98" i="2"/>
  <c r="O98" i="2"/>
  <c r="S98" i="2"/>
  <c r="Y98" i="2"/>
  <c r="Q98" i="2"/>
  <c r="AC98" i="2"/>
  <c r="F98" i="2"/>
  <c r="N98" i="2"/>
  <c r="R98" i="2"/>
  <c r="M98" i="2"/>
  <c r="U98" i="2"/>
  <c r="W98" i="2"/>
  <c r="AA98" i="2"/>
  <c r="H98" i="2"/>
  <c r="P98" i="2"/>
  <c r="T98" i="2"/>
  <c r="Z98" i="2"/>
  <c r="AF98" i="2"/>
  <c r="I98" i="2"/>
  <c r="V98" i="2"/>
  <c r="X98" i="2"/>
  <c r="AB98" i="2"/>
  <c r="AD98" i="2"/>
  <c r="K98" i="2"/>
  <c r="J98" i="2"/>
  <c r="L98" i="2"/>
  <c r="D100" i="2" l="1"/>
  <c r="C100" i="2"/>
  <c r="D100" i="9"/>
  <c r="C100" i="9"/>
  <c r="M99" i="9"/>
  <c r="I99" i="9"/>
  <c r="N99" i="9"/>
  <c r="P99" i="9"/>
  <c r="H99" i="9"/>
  <c r="O99" i="9"/>
  <c r="K99" i="9"/>
  <c r="G99" i="9"/>
  <c r="J99" i="9"/>
  <c r="L99" i="9"/>
  <c r="S99" i="9"/>
  <c r="T99" i="9"/>
  <c r="Q99" i="9"/>
  <c r="F99" i="9"/>
  <c r="R99" i="9"/>
  <c r="E99" i="9"/>
  <c r="E99" i="2"/>
  <c r="O99" i="2"/>
  <c r="G99" i="2"/>
  <c r="S99" i="2"/>
  <c r="Y99" i="2"/>
  <c r="AE99" i="2"/>
  <c r="W99" i="2"/>
  <c r="AA99" i="2"/>
  <c r="F99" i="2"/>
  <c r="H99" i="2"/>
  <c r="N99" i="2"/>
  <c r="R99" i="2"/>
  <c r="M99" i="2"/>
  <c r="Q99" i="2"/>
  <c r="U99" i="2"/>
  <c r="AC99" i="2"/>
  <c r="P99" i="2"/>
  <c r="T99" i="2"/>
  <c r="V99" i="2"/>
  <c r="X99" i="2"/>
  <c r="AD99" i="2"/>
  <c r="AF99" i="2"/>
  <c r="Z99" i="2"/>
  <c r="AB99" i="2"/>
  <c r="I99" i="2"/>
  <c r="K99" i="2"/>
  <c r="J99" i="2"/>
  <c r="L99" i="2"/>
  <c r="D101" i="9" l="1"/>
  <c r="C101" i="9"/>
  <c r="D101" i="2"/>
  <c r="C101" i="2"/>
  <c r="O100" i="9"/>
  <c r="K100" i="9"/>
  <c r="E100" i="9"/>
  <c r="N100" i="9"/>
  <c r="F100" i="9"/>
  <c r="L100" i="9"/>
  <c r="Q100" i="9"/>
  <c r="M100" i="9"/>
  <c r="I100" i="9"/>
  <c r="R100" i="9"/>
  <c r="J100" i="9"/>
  <c r="P100" i="9"/>
  <c r="G100" i="9"/>
  <c r="S100" i="9"/>
  <c r="T100" i="9"/>
  <c r="H100" i="9"/>
  <c r="E100" i="2"/>
  <c r="O100" i="2"/>
  <c r="Y100" i="2"/>
  <c r="G100" i="2"/>
  <c r="S100" i="2"/>
  <c r="M100" i="2"/>
  <c r="W100" i="2"/>
  <c r="F100" i="2"/>
  <c r="AE100" i="2"/>
  <c r="Q100" i="2"/>
  <c r="U100" i="2"/>
  <c r="AA100" i="2"/>
  <c r="AC100" i="2"/>
  <c r="H100" i="2"/>
  <c r="N100" i="2"/>
  <c r="P100" i="2"/>
  <c r="R100" i="2"/>
  <c r="V100" i="2"/>
  <c r="Z100" i="2"/>
  <c r="AD100" i="2"/>
  <c r="AF100" i="2"/>
  <c r="T100" i="2"/>
  <c r="X100" i="2"/>
  <c r="AB100" i="2"/>
  <c r="I100" i="2"/>
  <c r="K100" i="2"/>
  <c r="J100" i="2"/>
  <c r="L100" i="2"/>
  <c r="D102" i="2" l="1"/>
  <c r="C102" i="2"/>
  <c r="D102" i="9"/>
  <c r="C102" i="9"/>
  <c r="O101" i="9"/>
  <c r="K101" i="9"/>
  <c r="G101" i="9"/>
  <c r="R101" i="9"/>
  <c r="J101" i="9"/>
  <c r="P101" i="9"/>
  <c r="H101" i="9"/>
  <c r="Q101" i="9"/>
  <c r="M101" i="9"/>
  <c r="I101" i="9"/>
  <c r="E101" i="9"/>
  <c r="N101" i="9"/>
  <c r="F101" i="9"/>
  <c r="L101" i="9"/>
  <c r="S101" i="9"/>
  <c r="T101" i="9"/>
  <c r="E101" i="2"/>
  <c r="G101" i="2"/>
  <c r="Y101" i="2"/>
  <c r="AE101" i="2"/>
  <c r="O101" i="2"/>
  <c r="S101" i="2"/>
  <c r="Q101" i="2"/>
  <c r="AC101" i="2"/>
  <c r="F101" i="2"/>
  <c r="H101" i="2"/>
  <c r="P101" i="2"/>
  <c r="M101" i="2"/>
  <c r="U101" i="2"/>
  <c r="W101" i="2"/>
  <c r="AA101" i="2"/>
  <c r="N101" i="2"/>
  <c r="R101" i="2"/>
  <c r="V101" i="2"/>
  <c r="X101" i="2"/>
  <c r="AB101" i="2"/>
  <c r="AD101" i="2"/>
  <c r="I101" i="2"/>
  <c r="T101" i="2"/>
  <c r="Z101" i="2"/>
  <c r="AF101" i="2"/>
  <c r="L101" i="2"/>
  <c r="K101" i="2"/>
  <c r="J101" i="2"/>
  <c r="D103" i="9" l="1"/>
  <c r="C103" i="9"/>
  <c r="D103" i="2"/>
  <c r="C103" i="2"/>
  <c r="E102" i="2"/>
  <c r="S102" i="2"/>
  <c r="Y102" i="2"/>
  <c r="AE102" i="2"/>
  <c r="G102" i="2"/>
  <c r="O102" i="2"/>
  <c r="Q102" i="2"/>
  <c r="AC102" i="2"/>
  <c r="H102" i="2"/>
  <c r="R102" i="2"/>
  <c r="M102" i="2"/>
  <c r="U102" i="2"/>
  <c r="W102" i="2"/>
  <c r="AA102" i="2"/>
  <c r="F102" i="2"/>
  <c r="N102" i="2"/>
  <c r="P102" i="2"/>
  <c r="T102" i="2"/>
  <c r="AB102" i="2"/>
  <c r="AD102" i="2"/>
  <c r="AF102" i="2"/>
  <c r="I102" i="2"/>
  <c r="V102" i="2"/>
  <c r="X102" i="2"/>
  <c r="Z102" i="2"/>
  <c r="J102" i="2"/>
  <c r="L102" i="2"/>
  <c r="K102" i="2"/>
  <c r="Q102" i="9"/>
  <c r="S102" i="9"/>
  <c r="O102" i="9"/>
  <c r="K102" i="9"/>
  <c r="G102" i="9"/>
  <c r="R102" i="9"/>
  <c r="J102" i="9"/>
  <c r="T102" i="9"/>
  <c r="L102" i="9"/>
  <c r="M102" i="9"/>
  <c r="I102" i="9"/>
  <c r="E102" i="9"/>
  <c r="N102" i="9"/>
  <c r="F102" i="9"/>
  <c r="P102" i="9"/>
  <c r="H102" i="9"/>
  <c r="D104" i="2" l="1"/>
  <c r="C104" i="2"/>
  <c r="D104" i="9"/>
  <c r="C104" i="9"/>
  <c r="Q103" i="9"/>
  <c r="M103" i="9"/>
  <c r="I103" i="9"/>
  <c r="E103" i="9"/>
  <c r="N103" i="9"/>
  <c r="F103" i="9"/>
  <c r="L103" i="9"/>
  <c r="O103" i="9"/>
  <c r="K103" i="9"/>
  <c r="G103" i="9"/>
  <c r="R103" i="9"/>
  <c r="J103" i="9"/>
  <c r="P103" i="9"/>
  <c r="H103" i="9"/>
  <c r="S103" i="9"/>
  <c r="T103" i="9"/>
  <c r="E103" i="2"/>
  <c r="G103" i="2"/>
  <c r="O103" i="2"/>
  <c r="S103" i="2"/>
  <c r="Y103" i="2"/>
  <c r="AE103" i="2"/>
  <c r="Q103" i="2"/>
  <c r="U103" i="2"/>
  <c r="AC103" i="2"/>
  <c r="F103" i="2"/>
  <c r="R103" i="2"/>
  <c r="M103" i="2"/>
  <c r="W103" i="2"/>
  <c r="AA103" i="2"/>
  <c r="H103" i="2"/>
  <c r="N103" i="2"/>
  <c r="P103" i="2"/>
  <c r="T103" i="2"/>
  <c r="Z103" i="2"/>
  <c r="AB103" i="2"/>
  <c r="AD103" i="2"/>
  <c r="I103" i="2"/>
  <c r="V103" i="2"/>
  <c r="X103" i="2"/>
  <c r="AF103" i="2"/>
  <c r="K103" i="2"/>
  <c r="J103" i="2"/>
  <c r="L103" i="2"/>
  <c r="D105" i="9" l="1"/>
  <c r="C105" i="9"/>
  <c r="D105" i="2"/>
  <c r="C105" i="2"/>
  <c r="I104" i="9"/>
  <c r="J104" i="9"/>
  <c r="S104" i="9"/>
  <c r="K104" i="9"/>
  <c r="R104" i="9"/>
  <c r="L104" i="9"/>
  <c r="Q104" i="9"/>
  <c r="E104" i="9"/>
  <c r="F104" i="9"/>
  <c r="H104" i="9"/>
  <c r="O104" i="9"/>
  <c r="G104" i="9"/>
  <c r="T104" i="9"/>
  <c r="M104" i="9"/>
  <c r="N104" i="9"/>
  <c r="P104" i="9"/>
  <c r="E104" i="2"/>
  <c r="G104" i="2"/>
  <c r="S104" i="2"/>
  <c r="O104" i="2"/>
  <c r="Y104" i="2"/>
  <c r="AE104" i="2"/>
  <c r="M104" i="2"/>
  <c r="U104" i="2"/>
  <c r="W104" i="2"/>
  <c r="AA104" i="2"/>
  <c r="N104" i="2"/>
  <c r="P104" i="2"/>
  <c r="R104" i="2"/>
  <c r="Q104" i="2"/>
  <c r="AC104" i="2"/>
  <c r="F104" i="2"/>
  <c r="H104" i="2"/>
  <c r="X104" i="2"/>
  <c r="AF104" i="2"/>
  <c r="T104" i="2"/>
  <c r="V104" i="2"/>
  <c r="Z104" i="2"/>
  <c r="AB104" i="2"/>
  <c r="AD104" i="2"/>
  <c r="I104" i="2"/>
  <c r="K104" i="2"/>
  <c r="J104" i="2"/>
  <c r="L104" i="2"/>
  <c r="D106" i="2" l="1"/>
  <c r="C106" i="2"/>
  <c r="D106" i="9"/>
  <c r="C106" i="9"/>
  <c r="S105" i="9"/>
  <c r="O105" i="9"/>
  <c r="K105" i="9"/>
  <c r="G105" i="9"/>
  <c r="R105" i="9"/>
  <c r="J105" i="9"/>
  <c r="T105" i="9"/>
  <c r="L105" i="9"/>
  <c r="Q105" i="9"/>
  <c r="M105" i="9"/>
  <c r="I105" i="9"/>
  <c r="E105" i="9"/>
  <c r="N105" i="9"/>
  <c r="F105" i="9"/>
  <c r="P105" i="9"/>
  <c r="H105" i="9"/>
  <c r="E105" i="2"/>
  <c r="S105" i="2"/>
  <c r="AE105" i="2"/>
  <c r="G105" i="2"/>
  <c r="O105" i="2"/>
  <c r="Y105" i="2"/>
  <c r="Q105" i="2"/>
  <c r="W105" i="2"/>
  <c r="F105" i="2"/>
  <c r="R105" i="2"/>
  <c r="M105" i="2"/>
  <c r="U105" i="2"/>
  <c r="AA105" i="2"/>
  <c r="AC105" i="2"/>
  <c r="H105" i="2"/>
  <c r="N105" i="2"/>
  <c r="P105" i="2"/>
  <c r="AD105" i="2"/>
  <c r="T105" i="2"/>
  <c r="V105" i="2"/>
  <c r="X105" i="2"/>
  <c r="Z105" i="2"/>
  <c r="AB105" i="2"/>
  <c r="AF105" i="2"/>
  <c r="I105" i="2"/>
  <c r="K105" i="2"/>
  <c r="J105" i="2"/>
  <c r="L105" i="2"/>
  <c r="D107" i="9" l="1"/>
  <c r="C107" i="9"/>
  <c r="D107" i="2"/>
  <c r="C107" i="2"/>
  <c r="S106" i="9"/>
  <c r="O106" i="9"/>
  <c r="K106" i="9"/>
  <c r="G106" i="9"/>
  <c r="R106" i="9"/>
  <c r="J106" i="9"/>
  <c r="T106" i="9"/>
  <c r="L106" i="9"/>
  <c r="Q106" i="9"/>
  <c r="M106" i="9"/>
  <c r="I106" i="9"/>
  <c r="E106" i="9"/>
  <c r="N106" i="9"/>
  <c r="F106" i="9"/>
  <c r="P106" i="9"/>
  <c r="H106" i="9"/>
  <c r="E106" i="2"/>
  <c r="O106" i="2"/>
  <c r="Y106" i="2"/>
  <c r="G106" i="2"/>
  <c r="S106" i="2"/>
  <c r="AE106" i="2"/>
  <c r="Q106" i="2"/>
  <c r="U106" i="2"/>
  <c r="W106" i="2"/>
  <c r="AA106" i="2"/>
  <c r="F106" i="2"/>
  <c r="P106" i="2"/>
  <c r="M106" i="2"/>
  <c r="AC106" i="2"/>
  <c r="H106" i="2"/>
  <c r="N106" i="2"/>
  <c r="R106" i="2"/>
  <c r="T106" i="2"/>
  <c r="Z106" i="2"/>
  <c r="AB106" i="2"/>
  <c r="I106" i="2"/>
  <c r="V106" i="2"/>
  <c r="X106" i="2"/>
  <c r="AD106" i="2"/>
  <c r="AF106" i="2"/>
  <c r="J106" i="2"/>
  <c r="K106" i="2"/>
  <c r="L106" i="2"/>
  <c r="D108" i="2" l="1"/>
  <c r="C108" i="2"/>
  <c r="D108" i="9"/>
  <c r="C108" i="9"/>
  <c r="S107" i="9"/>
  <c r="O107" i="9"/>
  <c r="K107" i="9"/>
  <c r="G107" i="9"/>
  <c r="R107" i="9"/>
  <c r="J107" i="9"/>
  <c r="T107" i="9"/>
  <c r="L107" i="9"/>
  <c r="Q107" i="9"/>
  <c r="M107" i="9"/>
  <c r="I107" i="9"/>
  <c r="E107" i="9"/>
  <c r="N107" i="9"/>
  <c r="F107" i="9"/>
  <c r="P107" i="9"/>
  <c r="H107" i="9"/>
  <c r="E107" i="2"/>
  <c r="O107" i="2"/>
  <c r="S107" i="2"/>
  <c r="Y107" i="2"/>
  <c r="AE107" i="2"/>
  <c r="G107" i="2"/>
  <c r="Q107" i="2"/>
  <c r="U107" i="2"/>
  <c r="W107" i="2"/>
  <c r="AA107" i="2"/>
  <c r="AC107" i="2"/>
  <c r="H107" i="2"/>
  <c r="P107" i="2"/>
  <c r="R107" i="2"/>
  <c r="M107" i="2"/>
  <c r="F107" i="2"/>
  <c r="N107" i="2"/>
  <c r="Z107" i="2"/>
  <c r="AB107" i="2"/>
  <c r="K107" i="2"/>
  <c r="T107" i="2"/>
  <c r="V107" i="2"/>
  <c r="X107" i="2"/>
  <c r="AD107" i="2"/>
  <c r="AF107" i="2"/>
  <c r="I107" i="2"/>
  <c r="J107" i="2"/>
  <c r="L107" i="2"/>
  <c r="D109" i="9" l="1"/>
  <c r="C109" i="9"/>
  <c r="D109" i="2"/>
  <c r="C109" i="2"/>
  <c r="E108" i="2"/>
  <c r="G108" i="2"/>
  <c r="O108" i="2"/>
  <c r="AE108" i="2"/>
  <c r="S108" i="2"/>
  <c r="Y108" i="2"/>
  <c r="M108" i="2"/>
  <c r="Q108" i="2"/>
  <c r="U108" i="2"/>
  <c r="W108" i="2"/>
  <c r="AA108" i="2"/>
  <c r="AC108" i="2"/>
  <c r="F108" i="2"/>
  <c r="H108" i="2"/>
  <c r="N108" i="2"/>
  <c r="P108" i="2"/>
  <c r="R108" i="2"/>
  <c r="V108" i="2"/>
  <c r="X108" i="2"/>
  <c r="AB108" i="2"/>
  <c r="AD108" i="2"/>
  <c r="T108" i="2"/>
  <c r="Z108" i="2"/>
  <c r="AF108" i="2"/>
  <c r="I108" i="2"/>
  <c r="K108" i="2"/>
  <c r="J108" i="2"/>
  <c r="L108" i="2"/>
  <c r="Q108" i="9"/>
  <c r="M108" i="9"/>
  <c r="I108" i="9"/>
  <c r="E108" i="9"/>
  <c r="N108" i="9"/>
  <c r="F108" i="9"/>
  <c r="L108" i="9"/>
  <c r="O108" i="9"/>
  <c r="K108" i="9"/>
  <c r="G108" i="9"/>
  <c r="R108" i="9"/>
  <c r="J108" i="9"/>
  <c r="P108" i="9"/>
  <c r="H108" i="9"/>
  <c r="S108" i="9"/>
  <c r="T108" i="9"/>
  <c r="D110" i="2" l="1"/>
  <c r="C110" i="2"/>
  <c r="D110" i="9"/>
  <c r="C110" i="9"/>
  <c r="I109" i="9"/>
  <c r="J109" i="9"/>
  <c r="S109" i="9"/>
  <c r="K109" i="9"/>
  <c r="R109" i="9"/>
  <c r="L109" i="9"/>
  <c r="Q109" i="9"/>
  <c r="E109" i="9"/>
  <c r="F109" i="9"/>
  <c r="H109" i="9"/>
  <c r="O109" i="9"/>
  <c r="G109" i="9"/>
  <c r="T109" i="9"/>
  <c r="M109" i="9"/>
  <c r="N109" i="9"/>
  <c r="P109" i="9"/>
  <c r="E109" i="2"/>
  <c r="S109" i="2"/>
  <c r="G109" i="2"/>
  <c r="O109" i="2"/>
  <c r="Y109" i="2"/>
  <c r="AE109" i="2"/>
  <c r="M109" i="2"/>
  <c r="U109" i="2"/>
  <c r="W109" i="2"/>
  <c r="AC109" i="2"/>
  <c r="F109" i="2"/>
  <c r="H109" i="2"/>
  <c r="P109" i="2"/>
  <c r="Q109" i="2"/>
  <c r="AA109" i="2"/>
  <c r="N109" i="2"/>
  <c r="T109" i="2"/>
  <c r="X109" i="2"/>
  <c r="AB109" i="2"/>
  <c r="AF109" i="2"/>
  <c r="I109" i="2"/>
  <c r="R109" i="2"/>
  <c r="V109" i="2"/>
  <c r="Z109" i="2"/>
  <c r="AD109" i="2"/>
  <c r="K109" i="2"/>
  <c r="J109" i="2"/>
  <c r="L109" i="2"/>
  <c r="D111" i="9" l="1"/>
  <c r="C111" i="9"/>
  <c r="Q110" i="9"/>
  <c r="M110" i="9"/>
  <c r="I110" i="9"/>
  <c r="E110" i="9"/>
  <c r="N110" i="9"/>
  <c r="F110" i="9"/>
  <c r="L110" i="9"/>
  <c r="O110" i="9"/>
  <c r="K110" i="9"/>
  <c r="G110" i="9"/>
  <c r="R110" i="9"/>
  <c r="J110" i="9"/>
  <c r="P110" i="9"/>
  <c r="H110" i="9"/>
  <c r="T110" i="9"/>
  <c r="S110" i="9"/>
  <c r="E110" i="2"/>
  <c r="S110" i="2"/>
  <c r="AE110" i="2"/>
  <c r="G110" i="2"/>
  <c r="O110" i="2"/>
  <c r="Y110" i="2"/>
  <c r="U110" i="2"/>
  <c r="AC110" i="2"/>
  <c r="F110" i="2"/>
  <c r="H110" i="2"/>
  <c r="N110" i="2"/>
  <c r="P110" i="2"/>
  <c r="M110" i="2"/>
  <c r="Q110" i="2"/>
  <c r="W110" i="2"/>
  <c r="AA110" i="2"/>
  <c r="V110" i="2"/>
  <c r="X110" i="2"/>
  <c r="Z110" i="2"/>
  <c r="AD110" i="2"/>
  <c r="AF110" i="2"/>
  <c r="I110" i="2"/>
  <c r="R110" i="2"/>
  <c r="T110" i="2"/>
  <c r="AB110" i="2"/>
  <c r="J110" i="2"/>
  <c r="L110" i="2"/>
  <c r="K110" i="2"/>
  <c r="D112" i="9" l="1"/>
  <c r="C112" i="9"/>
  <c r="I111" i="9"/>
  <c r="J111" i="9"/>
  <c r="O111" i="9"/>
  <c r="G111" i="9"/>
  <c r="T111" i="9"/>
  <c r="M111" i="9"/>
  <c r="N111" i="9"/>
  <c r="P111" i="9"/>
  <c r="S111" i="9"/>
  <c r="K111" i="9"/>
  <c r="R111" i="9"/>
  <c r="L111" i="9"/>
  <c r="Q111" i="9"/>
  <c r="E111" i="9"/>
  <c r="F111" i="9"/>
  <c r="H111" i="9"/>
  <c r="D113" i="9" l="1"/>
  <c r="C113" i="9"/>
  <c r="S112" i="9"/>
  <c r="O112" i="9"/>
  <c r="K112" i="9"/>
  <c r="G112" i="9"/>
  <c r="R112" i="9"/>
  <c r="J112" i="9"/>
  <c r="T112" i="9"/>
  <c r="L112" i="9"/>
  <c r="Q112" i="9"/>
  <c r="M112" i="9"/>
  <c r="I112" i="9"/>
  <c r="E112" i="9"/>
  <c r="N112" i="9"/>
  <c r="F112" i="9"/>
  <c r="P112" i="9"/>
  <c r="H112" i="9"/>
  <c r="D114" i="9" l="1"/>
  <c r="C114" i="9"/>
  <c r="S113" i="9"/>
  <c r="O113" i="9"/>
  <c r="K113" i="9"/>
  <c r="G113" i="9"/>
  <c r="R113" i="9"/>
  <c r="J113" i="9"/>
  <c r="T113" i="9"/>
  <c r="L113" i="9"/>
  <c r="Q113" i="9"/>
  <c r="M113" i="9"/>
  <c r="I113" i="9"/>
  <c r="E113" i="9"/>
  <c r="N113" i="9"/>
  <c r="F113" i="9"/>
  <c r="P113" i="9"/>
  <c r="H113" i="9"/>
  <c r="D115" i="9" l="1"/>
  <c r="C115" i="9"/>
  <c r="S114" i="9"/>
  <c r="O114" i="9"/>
  <c r="K114" i="9"/>
  <c r="G114" i="9"/>
  <c r="R114" i="9"/>
  <c r="J114" i="9"/>
  <c r="T114" i="9"/>
  <c r="L114" i="9"/>
  <c r="Q114" i="9"/>
  <c r="M114" i="9"/>
  <c r="I114" i="9"/>
  <c r="E114" i="9"/>
  <c r="N114" i="9"/>
  <c r="F114" i="9"/>
  <c r="P114" i="9"/>
  <c r="H114" i="9"/>
  <c r="D116" i="9" l="1"/>
  <c r="C116" i="9"/>
  <c r="S115" i="9"/>
  <c r="O115" i="9"/>
  <c r="K115" i="9"/>
  <c r="G115" i="9"/>
  <c r="R115" i="9"/>
  <c r="J115" i="9"/>
  <c r="T115" i="9"/>
  <c r="L115" i="9"/>
  <c r="Q115" i="9"/>
  <c r="M115" i="9"/>
  <c r="I115" i="9"/>
  <c r="E115" i="9"/>
  <c r="N115" i="9"/>
  <c r="F115" i="9"/>
  <c r="P115" i="9"/>
  <c r="H115" i="9"/>
  <c r="D117" i="9" l="1"/>
  <c r="C117" i="9"/>
  <c r="S116" i="9"/>
  <c r="O116" i="9"/>
  <c r="K116" i="9"/>
  <c r="G116" i="9"/>
  <c r="R116" i="9"/>
  <c r="J116" i="9"/>
  <c r="T116" i="9"/>
  <c r="L116" i="9"/>
  <c r="Q116" i="9"/>
  <c r="M116" i="9"/>
  <c r="I116" i="9"/>
  <c r="E116" i="9"/>
  <c r="N116" i="9"/>
  <c r="F116" i="9"/>
  <c r="P116" i="9"/>
  <c r="H116" i="9"/>
  <c r="D118" i="9" l="1"/>
  <c r="C118" i="9"/>
  <c r="S117" i="9"/>
  <c r="O117" i="9"/>
  <c r="K117" i="9"/>
  <c r="G117" i="9"/>
  <c r="R117" i="9"/>
  <c r="J117" i="9"/>
  <c r="T117" i="9"/>
  <c r="L117" i="9"/>
  <c r="Q117" i="9"/>
  <c r="M117" i="9"/>
  <c r="I117" i="9"/>
  <c r="E117" i="9"/>
  <c r="N117" i="9"/>
  <c r="F117" i="9"/>
  <c r="P117" i="9"/>
  <c r="H117" i="9"/>
  <c r="D119" i="9" l="1"/>
  <c r="C119" i="9"/>
  <c r="S118" i="9"/>
  <c r="O118" i="9"/>
  <c r="K118" i="9"/>
  <c r="G118" i="9"/>
  <c r="R118" i="9"/>
  <c r="J118" i="9"/>
  <c r="T118" i="9"/>
  <c r="L118" i="9"/>
  <c r="Q118" i="9"/>
  <c r="M118" i="9"/>
  <c r="I118" i="9"/>
  <c r="E118" i="9"/>
  <c r="N118" i="9"/>
  <c r="F118" i="9"/>
  <c r="P118" i="9"/>
  <c r="H118" i="9"/>
  <c r="D120" i="9" l="1"/>
  <c r="C120" i="9"/>
  <c r="S119" i="9"/>
  <c r="O119" i="9"/>
  <c r="K119" i="9"/>
  <c r="G119" i="9"/>
  <c r="R119" i="9"/>
  <c r="J119" i="9"/>
  <c r="T119" i="9"/>
  <c r="L119" i="9"/>
  <c r="Q119" i="9"/>
  <c r="M119" i="9"/>
  <c r="I119" i="9"/>
  <c r="E119" i="9"/>
  <c r="N119" i="9"/>
  <c r="F119" i="9"/>
  <c r="P119" i="9"/>
  <c r="H119" i="9"/>
  <c r="D121" i="9" l="1"/>
  <c r="C121" i="9"/>
  <c r="S120" i="9"/>
  <c r="O120" i="9"/>
  <c r="K120" i="9"/>
  <c r="G120" i="9"/>
  <c r="R120" i="9"/>
  <c r="J120" i="9"/>
  <c r="T120" i="9"/>
  <c r="L120" i="9"/>
  <c r="Q120" i="9"/>
  <c r="M120" i="9"/>
  <c r="I120" i="9"/>
  <c r="E120" i="9"/>
  <c r="N120" i="9"/>
  <c r="F120" i="9"/>
  <c r="P120" i="9"/>
  <c r="H120" i="9"/>
  <c r="D122" i="9" l="1"/>
  <c r="C122" i="9"/>
  <c r="S121" i="9"/>
  <c r="O121" i="9"/>
  <c r="K121" i="9"/>
  <c r="G121" i="9"/>
  <c r="R121" i="9"/>
  <c r="J121" i="9"/>
  <c r="T121" i="9"/>
  <c r="L121" i="9"/>
  <c r="Q121" i="9"/>
  <c r="M121" i="9"/>
  <c r="I121" i="9"/>
  <c r="E121" i="9"/>
  <c r="N121" i="9"/>
  <c r="F121" i="9"/>
  <c r="P121" i="9"/>
  <c r="H121" i="9"/>
  <c r="D123" i="9" l="1"/>
  <c r="C123" i="9"/>
  <c r="S122" i="9"/>
  <c r="O122" i="9"/>
  <c r="K122" i="9"/>
  <c r="G122" i="9"/>
  <c r="R122" i="9"/>
  <c r="J122" i="9"/>
  <c r="T122" i="9"/>
  <c r="L122" i="9"/>
  <c r="Q122" i="9"/>
  <c r="M122" i="9"/>
  <c r="I122" i="9"/>
  <c r="E122" i="9"/>
  <c r="N122" i="9"/>
  <c r="F122" i="9"/>
  <c r="P122" i="9"/>
  <c r="H122" i="9"/>
  <c r="D124" i="9" l="1"/>
  <c r="C124" i="9"/>
  <c r="S123" i="9"/>
  <c r="O123" i="9"/>
  <c r="K123" i="9"/>
  <c r="G123" i="9"/>
  <c r="R123" i="9"/>
  <c r="J123" i="9"/>
  <c r="T123" i="9"/>
  <c r="L123" i="9"/>
  <c r="Q123" i="9"/>
  <c r="M123" i="9"/>
  <c r="I123" i="9"/>
  <c r="E123" i="9"/>
  <c r="N123" i="9"/>
  <c r="F123" i="9"/>
  <c r="P123" i="9"/>
  <c r="H123" i="9"/>
  <c r="D125" i="9" l="1"/>
  <c r="C125" i="9"/>
  <c r="S124" i="9"/>
  <c r="R124" i="9"/>
  <c r="Q124" i="9"/>
  <c r="M124" i="9"/>
  <c r="I124" i="9"/>
  <c r="E124" i="9"/>
  <c r="J124" i="9"/>
  <c r="L124" i="9"/>
  <c r="T124" i="9"/>
  <c r="P124" i="9"/>
  <c r="O124" i="9"/>
  <c r="K124" i="9"/>
  <c r="G124" i="9"/>
  <c r="N124" i="9"/>
  <c r="F124" i="9"/>
  <c r="H124" i="9"/>
  <c r="D126" i="9" l="1"/>
  <c r="C126" i="9"/>
  <c r="S125" i="9"/>
  <c r="O125" i="9"/>
  <c r="K125" i="9"/>
  <c r="G125" i="9"/>
  <c r="T125" i="9"/>
  <c r="P125" i="9"/>
  <c r="L125" i="9"/>
  <c r="H125" i="9"/>
  <c r="Q125" i="9"/>
  <c r="M125" i="9"/>
  <c r="I125" i="9"/>
  <c r="E125" i="9"/>
  <c r="R125" i="9"/>
  <c r="N125" i="9"/>
  <c r="J125" i="9"/>
  <c r="F125" i="9"/>
  <c r="C127" i="9" l="1"/>
  <c r="D127" i="9"/>
  <c r="S126" i="9"/>
  <c r="O126" i="9"/>
  <c r="K126" i="9"/>
  <c r="G126" i="9"/>
  <c r="T126" i="9"/>
  <c r="P126" i="9"/>
  <c r="L126" i="9"/>
  <c r="H126" i="9"/>
  <c r="Q126" i="9"/>
  <c r="M126" i="9"/>
  <c r="I126" i="9"/>
  <c r="E126" i="9"/>
  <c r="R126" i="9"/>
  <c r="N126" i="9"/>
  <c r="J126" i="9"/>
  <c r="F126" i="9"/>
  <c r="C128" i="9" l="1"/>
  <c r="D128" i="9"/>
  <c r="S127" i="9"/>
  <c r="O127" i="9"/>
  <c r="K127" i="9"/>
  <c r="G127" i="9"/>
  <c r="T127" i="9"/>
  <c r="P127" i="9"/>
  <c r="L127" i="9"/>
  <c r="H127" i="9"/>
  <c r="Q127" i="9"/>
  <c r="M127" i="9"/>
  <c r="I127" i="9"/>
  <c r="E127" i="9"/>
  <c r="R127" i="9"/>
  <c r="N127" i="9"/>
  <c r="J127" i="9"/>
  <c r="F127" i="9"/>
  <c r="D129" i="9" l="1"/>
  <c r="C129" i="9"/>
  <c r="S128" i="9"/>
  <c r="O128" i="9"/>
  <c r="K128" i="9"/>
  <c r="G128" i="9"/>
  <c r="T128" i="9"/>
  <c r="P128" i="9"/>
  <c r="L128" i="9"/>
  <c r="H128" i="9"/>
  <c r="Q128" i="9"/>
  <c r="M128" i="9"/>
  <c r="I128" i="9"/>
  <c r="E128" i="9"/>
  <c r="R128" i="9"/>
  <c r="N128" i="9"/>
  <c r="J128" i="9"/>
  <c r="F128" i="9"/>
  <c r="D130" i="9" l="1"/>
  <c r="C130" i="9"/>
  <c r="S129" i="9"/>
  <c r="O129" i="9"/>
  <c r="K129" i="9"/>
  <c r="G129" i="9"/>
  <c r="T129" i="9"/>
  <c r="P129" i="9"/>
  <c r="L129" i="9"/>
  <c r="H129" i="9"/>
  <c r="Q129" i="9"/>
  <c r="M129" i="9"/>
  <c r="I129" i="9"/>
  <c r="E129" i="9"/>
  <c r="R129" i="9"/>
  <c r="N129" i="9"/>
  <c r="J129" i="9"/>
  <c r="F129" i="9"/>
  <c r="D131" i="9" l="1"/>
  <c r="C131" i="9"/>
  <c r="S130" i="9"/>
  <c r="O130" i="9"/>
  <c r="K130" i="9"/>
  <c r="G130" i="9"/>
  <c r="T130" i="9"/>
  <c r="P130" i="9"/>
  <c r="L130" i="9"/>
  <c r="H130" i="9"/>
  <c r="Q130" i="9"/>
  <c r="M130" i="9"/>
  <c r="I130" i="9"/>
  <c r="E130" i="9"/>
  <c r="R130" i="9"/>
  <c r="N130" i="9"/>
  <c r="J130" i="9"/>
  <c r="F130" i="9"/>
  <c r="C132" i="9" l="1"/>
  <c r="D132" i="9"/>
  <c r="Q131" i="9"/>
  <c r="M131" i="9"/>
  <c r="I131" i="9"/>
  <c r="E131" i="9"/>
  <c r="P131" i="9"/>
  <c r="L131" i="9"/>
  <c r="H131" i="9"/>
  <c r="O131" i="9"/>
  <c r="K131" i="9"/>
  <c r="G131" i="9"/>
  <c r="R131" i="9"/>
  <c r="N131" i="9"/>
  <c r="J131" i="9"/>
  <c r="F131" i="9"/>
  <c r="S131" i="9"/>
  <c r="T131" i="9"/>
  <c r="C134" i="9" l="1"/>
  <c r="D134" i="9"/>
  <c r="D133" i="9"/>
  <c r="C133" i="9"/>
  <c r="F133" i="9" s="1"/>
  <c r="I132" i="9"/>
  <c r="J132" i="9"/>
  <c r="S132" i="9"/>
  <c r="K132" i="9"/>
  <c r="T132" i="9"/>
  <c r="L132" i="9"/>
  <c r="Q132" i="9"/>
  <c r="E132" i="9"/>
  <c r="N132" i="9"/>
  <c r="O132" i="9"/>
  <c r="G132" i="9"/>
  <c r="P132" i="9"/>
  <c r="H132" i="9"/>
  <c r="M132" i="9"/>
  <c r="R132" i="9"/>
  <c r="F132" i="9"/>
  <c r="J133" i="9" l="1"/>
  <c r="P133" i="9"/>
  <c r="M133" i="9"/>
  <c r="I133" i="9"/>
  <c r="N133" i="9"/>
  <c r="K133" i="9"/>
  <c r="L133" i="9"/>
  <c r="O133" i="9"/>
  <c r="R133" i="9"/>
  <c r="T133" i="9"/>
  <c r="E133" i="9"/>
  <c r="G133" i="9"/>
  <c r="D135" i="9"/>
  <c r="C135" i="9"/>
  <c r="H133" i="9"/>
  <c r="Q133" i="9"/>
  <c r="S133" i="9"/>
  <c r="E134" i="9"/>
  <c r="F134" i="9"/>
  <c r="I134" i="9"/>
  <c r="J134" i="9"/>
  <c r="M134" i="9"/>
  <c r="N134" i="9"/>
  <c r="Q134" i="9"/>
  <c r="R134" i="9"/>
  <c r="G134" i="9"/>
  <c r="H134" i="9"/>
  <c r="K134" i="9"/>
  <c r="L134" i="9"/>
  <c r="O134" i="9"/>
  <c r="P134" i="9"/>
  <c r="S134" i="9"/>
  <c r="T134" i="9"/>
  <c r="D136" i="9" l="1"/>
  <c r="C136" i="9"/>
  <c r="F135" i="9"/>
  <c r="G135" i="9"/>
  <c r="K135" i="9"/>
  <c r="O135" i="9"/>
  <c r="S135" i="9"/>
  <c r="E135" i="9"/>
  <c r="I135" i="9"/>
  <c r="M135" i="9"/>
  <c r="Q135" i="9"/>
  <c r="R135" i="9"/>
  <c r="N135" i="9"/>
  <c r="J135" i="9"/>
  <c r="T135" i="9"/>
  <c r="P135" i="9"/>
  <c r="L135" i="9"/>
  <c r="H135" i="9"/>
  <c r="D137" i="9" l="1"/>
  <c r="C137" i="9"/>
  <c r="E136" i="9"/>
  <c r="H136" i="9"/>
  <c r="I136" i="9"/>
  <c r="L136" i="9"/>
  <c r="M136" i="9"/>
  <c r="P136" i="9"/>
  <c r="Q136" i="9"/>
  <c r="T136" i="9"/>
  <c r="F136" i="9"/>
  <c r="G136" i="9"/>
  <c r="J136" i="9"/>
  <c r="K136" i="9"/>
  <c r="N136" i="9"/>
  <c r="O136" i="9"/>
  <c r="R136" i="9"/>
  <c r="S136" i="9"/>
  <c r="F137" i="9" l="1"/>
  <c r="G137" i="9"/>
  <c r="K137" i="9"/>
  <c r="O137" i="9"/>
  <c r="S137" i="9"/>
  <c r="E137" i="9"/>
  <c r="I137" i="9"/>
  <c r="M137" i="9"/>
  <c r="Q137" i="9"/>
  <c r="T137" i="9"/>
  <c r="P137" i="9"/>
  <c r="L137" i="9"/>
  <c r="H137" i="9"/>
  <c r="R137" i="9"/>
  <c r="N137" i="9"/>
  <c r="J137" i="9"/>
</calcChain>
</file>

<file path=xl/comments1.xml><?xml version="1.0" encoding="utf-8"?>
<comments xmlns="http://schemas.openxmlformats.org/spreadsheetml/2006/main">
  <authors>
    <author>Milan Grahovac</author>
  </authors>
  <commentList>
    <comment ref="D3" authorId="0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Izabrati stavku iz padajućeg menija ili unijeti trocifrenu oznaku AOP-a.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
Select an item from the drop-down menu or enter a three-figure AOP.</t>
        </r>
      </text>
    </comment>
  </commentList>
</comments>
</file>

<file path=xl/sharedStrings.xml><?xml version="1.0" encoding="utf-8"?>
<sst xmlns="http://schemas.openxmlformats.org/spreadsheetml/2006/main" count="3244" uniqueCount="2551">
  <si>
    <t>AOP</t>
  </si>
  <si>
    <t>Pozicija</t>
  </si>
  <si>
    <t>Item</t>
  </si>
  <si>
    <t>Simbol</t>
  </si>
  <si>
    <t>Naziv</t>
  </si>
  <si>
    <t>Nerevidirani finansijski izvještaji se preuzimaju od APIF-a.</t>
  </si>
  <si>
    <t>Data is collected from the APIF.</t>
  </si>
  <si>
    <t>Banjalučka berza ne odgovara za tačnost podataka.</t>
  </si>
  <si>
    <t>Exchange cannot be held responsible for the accuracy of the data.</t>
  </si>
  <si>
    <t>Jezik</t>
  </si>
  <si>
    <t>Srpski</t>
  </si>
  <si>
    <t>EUR</t>
  </si>
  <si>
    <t>000 EUR</t>
  </si>
  <si>
    <t>Bruto tekuća</t>
  </si>
  <si>
    <t>Gross Current</t>
  </si>
  <si>
    <t>Ispravka</t>
  </si>
  <si>
    <t>Allowance</t>
  </si>
  <si>
    <t>Neto tekuća</t>
  </si>
  <si>
    <t>Net Current</t>
  </si>
  <si>
    <t>Neto prethodna</t>
  </si>
  <si>
    <t>Net Previous</t>
  </si>
  <si>
    <t xml:space="preserve">
</t>
  </si>
  <si>
    <t>Simbol - Naziv (formula)</t>
  </si>
  <si>
    <t>Prikaz vrijednosti</t>
  </si>
  <si>
    <t>Redni broj</t>
  </si>
  <si>
    <t>Padajuci meni</t>
  </si>
  <si>
    <t>Godina</t>
  </si>
  <si>
    <t>Polugodišnji</t>
  </si>
  <si>
    <t>Banke</t>
  </si>
  <si>
    <t>Vrsta kompanija</t>
  </si>
  <si>
    <t>Vrsta izvjestaja</t>
  </si>
  <si>
    <t>Godišnji</t>
  </si>
  <si>
    <t>Preduzeća</t>
  </si>
  <si>
    <t>Osiguravajuće kuće</t>
  </si>
  <si>
    <t>Vrsta izvjestaja sr</t>
  </si>
  <si>
    <t>Vrsta izvjestaja en</t>
  </si>
  <si>
    <t>Annual</t>
  </si>
  <si>
    <t>Semi-Annual</t>
  </si>
  <si>
    <t>Companies</t>
  </si>
  <si>
    <t>Banks</t>
  </si>
  <si>
    <t>Insurance Companies</t>
  </si>
  <si>
    <t>Vrsta kompanija sr</t>
  </si>
  <si>
    <t>Vrsta kompanija en</t>
  </si>
  <si>
    <t>Engleski</t>
  </si>
  <si>
    <t>Naziv izvjestaja sr</t>
  </si>
  <si>
    <t>Naziv izvjestaja en</t>
  </si>
  <si>
    <t>Prikaz</t>
  </si>
  <si>
    <t>Oznaka</t>
  </si>
  <si>
    <t>Code</t>
  </si>
  <si>
    <t>Emitent</t>
  </si>
  <si>
    <t>Issuer</t>
  </si>
  <si>
    <t>IssuerAop</t>
  </si>
  <si>
    <t>Gross_Current</t>
  </si>
  <si>
    <t>Net_Current</t>
  </si>
  <si>
    <t>Net_Previous</t>
  </si>
  <si>
    <t>(G)</t>
  </si>
  <si>
    <t>(A)</t>
  </si>
  <si>
    <t>(PG)</t>
  </si>
  <si>
    <t>(SA)</t>
  </si>
  <si>
    <t>Vrsta izvjestaja1 sr</t>
  </si>
  <si>
    <t>Vrsta izvjestaja1 en</t>
  </si>
  <si>
    <t>Broj emitenata</t>
  </si>
  <si>
    <t>Aop_Level</t>
  </si>
  <si>
    <t>AOP_Text</t>
  </si>
  <si>
    <t>Drop_Down_Menu</t>
  </si>
  <si>
    <t>No</t>
  </si>
  <si>
    <t>Item_sr</t>
  </si>
  <si>
    <t>Item_en</t>
  </si>
  <si>
    <t>Izabrati</t>
  </si>
  <si>
    <t>Potrebno je:</t>
  </si>
  <si>
    <t>Popuniti tabelu Data (Finansijski podaci).</t>
  </si>
  <si>
    <t>Popuniti tabelu Issuer (Emitenti).</t>
  </si>
  <si>
    <t>Balance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</si>
  <si>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</si>
  <si>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</si>
  <si>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</si>
  <si>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</si>
  <si>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</si>
  <si>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</si>
  <si>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</si>
  <si>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</si>
  <si>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</si>
  <si>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</si>
  <si>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</si>
  <si>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</si>
  <si>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</si>
  <si>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</si>
  <si>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</si>
  <si>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</si>
  <si>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</si>
  <si>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</si>
  <si>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</si>
  <si>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</si>
  <si>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</si>
  <si>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</si>
  <si>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</si>
  <si>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</si>
  <si>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</si>
  <si>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</si>
  <si>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</si>
  <si>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</si>
  <si>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</si>
  <si>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Level</t>
  </si>
  <si>
    <t>BS Start</t>
  </si>
  <si>
    <t>BS End</t>
  </si>
  <si>
    <t>BU Start</t>
  </si>
  <si>
    <t>BU End</t>
  </si>
  <si>
    <t>BTG Start</t>
  </si>
  <si>
    <t>BTG End</t>
  </si>
  <si>
    <t>Kontrola</t>
  </si>
  <si>
    <t>Aop</t>
  </si>
  <si>
    <t>A. TEKUĆA SREDSTVA (002+008+011+014+018+022+030+031+032+033+034)</t>
  </si>
  <si>
    <t>1. Gotovina, gotovinski ekvivalenti, zlato i potraživanja iz operativnog poslovanja (003 do 007)</t>
  </si>
  <si>
    <t>a) Gotovina i gotovinski ekvivalenti u domaćoj valuti</t>
  </si>
  <si>
    <t>b) Ostala potraživanja u domaćoj valuti</t>
  </si>
  <si>
    <t>v) Gotovina i gotovinski ekvivalenti u stranoj valuti</t>
  </si>
  <si>
    <t>g) Zlato i ostali plemeniti metali</t>
  </si>
  <si>
    <t>d) Ostala potraživanja u stranoj valuti</t>
  </si>
  <si>
    <t>2. Depoziti i krediti u domaćoj i stranoj valuti (009 + 010)</t>
  </si>
  <si>
    <t>3. Potraživanja za kamatu i naknadu, potraživanja po osnovu prodaje i druga potraživanja (012 + 013)</t>
  </si>
  <si>
    <t>a) Potraživanja za kamatu i naknadu, potraživanja po osnovu prodaje i druga potraživanja u domaćoj valuti</t>
  </si>
  <si>
    <t>b) Potraživanja za kamatu i naknadu, potraživanja po osnovu prodaje i druga potraživanja u stranoj valuti</t>
  </si>
  <si>
    <t>4. Dati krediti i depoziti (015 do 017)</t>
  </si>
  <si>
    <t>a) Dati krediti i depoziti u domaćoj valuti</t>
  </si>
  <si>
    <t>b) Dati krediti i depoziti sa ugovorenom zaštitom od rizika u domaćoj valuti</t>
  </si>
  <si>
    <t>v) Dati krediti i depoziti u stranoj valuti</t>
  </si>
  <si>
    <t>5. Hartije od vrijednosti (019 do 021)</t>
  </si>
  <si>
    <t>a) HOV u domaćoj valuti</t>
  </si>
  <si>
    <t>b) HOV sa ugovorenom zaštitom od rizika u domaćoj valuti</t>
  </si>
  <si>
    <t>v) HOV u stranoj valuti</t>
  </si>
  <si>
    <t>6. Ostali plasmani i AVR (023 do 029)</t>
  </si>
  <si>
    <t>a) Ostali plasmani u domaćoj valuti</t>
  </si>
  <si>
    <t>b) Ostali plasmani sa ugovorenom zaštitom od rizika u domaćoj valuti</t>
  </si>
  <si>
    <t>v) Dospjeli plasmani i tekuća dospijeća dugoročnih plasmana u domaćoj valuti</t>
  </si>
  <si>
    <t>g) AVR u domaćoj valuti</t>
  </si>
  <si>
    <t>d) Ostali plasmani u stranoj valuti</t>
  </si>
  <si>
    <t>đ) Dospjeli plasmani i tekuća dospijeća dugoročnih plasmana u stranoj valuti</t>
  </si>
  <si>
    <t>e) AVR u stranoj valuti</t>
  </si>
  <si>
    <t>7. Zalihe</t>
  </si>
  <si>
    <t>8. Stalna sredstva namijenjena prodaji</t>
  </si>
  <si>
    <t>9. Sredstva poslovanja koje se obustavlja</t>
  </si>
  <si>
    <t>10. Ostala sredstva</t>
  </si>
  <si>
    <t>11. Akontacioni porez na dodatu vrijednost</t>
  </si>
  <si>
    <t>1. Osnovna sredstva i ulaganja u nekretnine (037 do 040)</t>
  </si>
  <si>
    <t>a) Osnovna sredstva u vlasništvu banke</t>
  </si>
  <si>
    <t>b) Ulaganja u nekretnine</t>
  </si>
  <si>
    <t>g) Avansi i osnovna sredstva u pripremi</t>
  </si>
  <si>
    <t>2. Nematerijalna sredstva (042 do 046)</t>
  </si>
  <si>
    <t>a) Goodwill</t>
  </si>
  <si>
    <t>b) Ulaganja u razvoj</t>
  </si>
  <si>
    <t>v) Nematerijalna sredstva uzeta u finansijski lizing</t>
  </si>
  <si>
    <t>g) Ostala nematerijalna sredstva</t>
  </si>
  <si>
    <t>d) Avansi i nematerijalna sredstva u pripremi</t>
  </si>
  <si>
    <t>3. Odložena poreska sredstva</t>
  </si>
  <si>
    <t>V. POSLOVNA AKTIVA (001+035)</t>
  </si>
  <si>
    <t>G. VANBILANSNA AKTIVA</t>
  </si>
  <si>
    <t>D. UKUPNA AKTIVA (048+049)</t>
  </si>
  <si>
    <t>A. OBAVEZE (102+106+109+113)</t>
  </si>
  <si>
    <t>1. Obaveze po osnovu depozita i kredita (103 do 105)</t>
  </si>
  <si>
    <t>a) Obaveze po osnovu kredita i depozita u domaćoj valuti</t>
  </si>
  <si>
    <t>b) Obaveze po osnovu kredita i depozita sa ugovorenom zaštitom od rizika u domaćoj valuti</t>
  </si>
  <si>
    <t>v) Obaveze po osnovu kredita i depozita u stranoj valuti</t>
  </si>
  <si>
    <t>2. Obaveze za kamatu i naknadu (107+108)</t>
  </si>
  <si>
    <t>a) Obaveze za kamatu i naknadu u domaćoj valuti</t>
  </si>
  <si>
    <t>b) Obaveze za kamatu i naknadu u stranoj valuti</t>
  </si>
  <si>
    <t>3. Obaveze po osnovu HOV (110 do 112)</t>
  </si>
  <si>
    <t>a) Obaveze po osnovu HOV u domaćoj valuti</t>
  </si>
  <si>
    <t>b) Obaveze po osnovu HOV sa ugovorenom zaštitom od rizika u domaćoj valuti</t>
  </si>
  <si>
    <t>4. Ostale obaveze i PVR (114 do 124)</t>
  </si>
  <si>
    <t>a) Obaveze po osnovu zarada i naknada zarada</t>
  </si>
  <si>
    <t>g) Obaveze za porez na dobit</t>
  </si>
  <si>
    <t>d) Odložene poreske obaveze</t>
  </si>
  <si>
    <t>e) PVR u domaćoj valuti</t>
  </si>
  <si>
    <t>ž) Obaveze po osnovu komisionih poslova, sredstava namijenjenih prodaji, sredstava poslovanja koje se obustavlja, subordiniranih obaveza i tekuća dospijeća obaveza</t>
  </si>
  <si>
    <t>z) Ostale obaveze u stranoj valuti</t>
  </si>
  <si>
    <t>i) PVR u stranoj valuti</t>
  </si>
  <si>
    <t>j) Obaveze po osnovu komisionih poslova, dospjelih i subordiniranih obaveza i tekuća dospijeća u stranoj valuti</t>
  </si>
  <si>
    <t>B. KAPITAL (126+132+138+142-148)</t>
  </si>
  <si>
    <t>a) Akcijski kapital</t>
  </si>
  <si>
    <t>b) Ostali oblici kapitala</t>
  </si>
  <si>
    <t>v) Emisiona premija</t>
  </si>
  <si>
    <t>g) Upisani a neuplaćeni akcijski kapital</t>
  </si>
  <si>
    <t>d) Otkupljene sopstvene akcije</t>
  </si>
  <si>
    <t>2. Rezerve iz dobiti i prenesene rezerve (133 do 137)</t>
  </si>
  <si>
    <t>a) Rezerve iz dobiti</t>
  </si>
  <si>
    <t>b) Ostale rezerve</t>
  </si>
  <si>
    <t>v) Posebne rezerve za procijenjene gubitke</t>
  </si>
  <si>
    <t>g) Rezerve za opšte bankarske rizike</t>
  </si>
  <si>
    <t>3. Revalorizacione rezerve (139 do 141)</t>
  </si>
  <si>
    <t>a) Revalorizacione rezerve po osnovu promjene vrijednosti osnovnih sredstava i nematerijalnih ulaganja</t>
  </si>
  <si>
    <t>b) Revalorizacione rezerve po osnovu promjene vrijednosti hartija od vrijednosti</t>
  </si>
  <si>
    <t>v) Revalorizacione rezerve po ostalim osnovama</t>
  </si>
  <si>
    <t>4. Dobitak (143 do 147)</t>
  </si>
  <si>
    <t>a) Dobitak tekuće godine</t>
  </si>
  <si>
    <t>b) Neraspoređeni dobitak iz ranijih godina</t>
  </si>
  <si>
    <t>v) Višak prihoda nad rashodima tekuće godine</t>
  </si>
  <si>
    <t>g) Neraspoređeni višak prihoda nad rashodima iz prethodnih godina</t>
  </si>
  <si>
    <t>d) Zadržana zarada</t>
  </si>
  <si>
    <t>5. Gubitak (149 + 150)</t>
  </si>
  <si>
    <t>a) Gubitak tekuće godine</t>
  </si>
  <si>
    <t>b) Gubitak iz ranijih godina</t>
  </si>
  <si>
    <t>V. POSLOVNA PASIVA (101+125)</t>
  </si>
  <si>
    <t>G. VANBILANSNA PASIVA</t>
  </si>
  <si>
    <t>D. UKUPNA PASIVA (152 + 152)</t>
  </si>
  <si>
    <t>1. Prihodi od kamata (202 do 204)</t>
  </si>
  <si>
    <t>v) Prihodi od kamata po osnovu kredita, depozita i HOV u stranoj valuti</t>
  </si>
  <si>
    <t>2. Rashodi kamata (206 do 208)</t>
  </si>
  <si>
    <t>v) Rashodi kamata po osnovu kredita, depozita i HOV u stranoj valuti</t>
  </si>
  <si>
    <t>3. Neto prihodi od kamata (201-205)</t>
  </si>
  <si>
    <t>4. Neto rashodi kamata (205-201)</t>
  </si>
  <si>
    <t>5. Prihodi od naknada i provizija (212 do 214)</t>
  </si>
  <si>
    <t>a) Prihodi od usluga platnog prometa</t>
  </si>
  <si>
    <t>b) Prihodi od provizija</t>
  </si>
  <si>
    <t>6. Rashodi od naknada i provizija (216-218)</t>
  </si>
  <si>
    <t>a) Rashodi naknada i provizija u domaćoj valuti</t>
  </si>
  <si>
    <t>b) Rashodi naknada i provizija u stranoj valuti</t>
  </si>
  <si>
    <t>v) Rashodi ostalih naknada i provizija</t>
  </si>
  <si>
    <t>7. Neto prihodi po osnovu naknada i provizija (211-215)</t>
  </si>
  <si>
    <t>8. Neto rashodi po osnovu naknada i provizija (215-211)</t>
  </si>
  <si>
    <t>9. Dobici po osnovu prodaje HOV i udjela (222 do 225)</t>
  </si>
  <si>
    <t>a) Dobici po osnovu prodaje HOV po fer vrijednosti kroz bilans uspjeha</t>
  </si>
  <si>
    <t>b) Dobici po osnovu prodaje HOV koje su raspoložive za prodaju</t>
  </si>
  <si>
    <t>v) Dobici po osnovu prodaje HOV koje se drže do roka dospijeća</t>
  </si>
  <si>
    <t>g) Dobici po osnovu prodaje udjela (učešća)</t>
  </si>
  <si>
    <t>10. Gubici po osnovu prodaje HOV i udjela (227 do 230)</t>
  </si>
  <si>
    <t>a) Gubici po osnovu prodaje HOV po fer vrijednosti kroz bilans uspjeha</t>
  </si>
  <si>
    <t>b) Gubici po osnovu prodaje HOV koje su raspoložive za prodaju</t>
  </si>
  <si>
    <t>v) Gubici po osnovu prodaje HOV koje se drže do roka dospijeća</t>
  </si>
  <si>
    <t>g) Gubici po osnovu prodaje udjela (učešća)</t>
  </si>
  <si>
    <t>11. Neto dobici po osnovu prodaje HOV i udjela (učešća) (221-226)</t>
  </si>
  <si>
    <t>12. Neto gubici po osnovu prodaje HOV i udjela (učešća) (226-221)</t>
  </si>
  <si>
    <t>13. DOBITAK IZ POSLOVA FINANSIRANJA (201+211+221-205-215-226)</t>
  </si>
  <si>
    <t>14. GUBITAK IZ POSLOVA FINANSIRANJA (205+215+226-201-211-221)</t>
  </si>
  <si>
    <t>B. OPERATIVNI PRIHODI I RASHODI</t>
  </si>
  <si>
    <t>1. Prihodi iz operativnog poslovanja (236 do 240)</t>
  </si>
  <si>
    <t>a) Prihodi od ukidanja indirektnih otpisa plasmana</t>
  </si>
  <si>
    <t>b) Prihodi od ukidanja rezervisanja za vanbilansne pozicije</t>
  </si>
  <si>
    <t>v) Prihodi od ukidanja rezervisanja za obaveze</t>
  </si>
  <si>
    <t>g) Prihodi od ukidanja ostalih rezervisanja</t>
  </si>
  <si>
    <t>d) Prihodi po osnovu lizinga</t>
  </si>
  <si>
    <t>đ) Ostali prihodi iz operativnog poslovanja</t>
  </si>
  <si>
    <t>2. Rashodi iz operativnog poslovanja (242 do 255)</t>
  </si>
  <si>
    <t>v) Rashodi po osnovu rezervisanja za obaveze</t>
  </si>
  <si>
    <t>g) Rashodi ostalih rezervisanja</t>
  </si>
  <si>
    <t>d) Troškovi bruto zarada i bruto naknada zarada</t>
  </si>
  <si>
    <t>đ) Troškovi naknada za privremene i povremene poslove</t>
  </si>
  <si>
    <t>e) Ostali lični rashodi</t>
  </si>
  <si>
    <t>ž) Troškovi materijala</t>
  </si>
  <si>
    <t>z) Troškovi proizvodnih usluga</t>
  </si>
  <si>
    <t>i) Troškovi amortizacije</t>
  </si>
  <si>
    <t>j) Rashodi po osnovu lizinga</t>
  </si>
  <si>
    <t>k) Nematerijalni troškovi (bez poreza i doprinosa)</t>
  </si>
  <si>
    <t>l) Troškovi po osnovu poreza i doprinosa</t>
  </si>
  <si>
    <t>lj) Ostali troškovi</t>
  </si>
  <si>
    <t>3. DOBITAK IZ OPERATIVNOG POSLOVANJA (235-241)</t>
  </si>
  <si>
    <t>4. GUBITAK IZ OPERATIVNOG POSLOVANJA (241-235)</t>
  </si>
  <si>
    <t>1. Ostali prihodi (259 do 265)</t>
  </si>
  <si>
    <t>a) Prihodi od naplaćenih otpisanih potraživanja</t>
  </si>
  <si>
    <t>b) Dobici od prodaje osnovnih sredstava i nematerijalnih ulaganja</t>
  </si>
  <si>
    <t>v) Prihodi od smanjenja obaveza</t>
  </si>
  <si>
    <t>g) Prihodi od dividendi i učešća</t>
  </si>
  <si>
    <t>d) Viškovi</t>
  </si>
  <si>
    <t>đ) Ostali prihodi</t>
  </si>
  <si>
    <t>e) Dobici od obustavljenog poslovanja</t>
  </si>
  <si>
    <t>2. Ostali rashodi (267 do 273)</t>
  </si>
  <si>
    <t>a) Rashodi po osnovu direktnog otpisa potraživanja</t>
  </si>
  <si>
    <t>b) Gubici od prodaje osnovnih sredstava i nematerijalnih ulaganja</t>
  </si>
  <si>
    <t>g) Manjkovi</t>
  </si>
  <si>
    <t>d) Otpis zaliha</t>
  </si>
  <si>
    <t>đ) Ostali rashodi</t>
  </si>
  <si>
    <t>e) Gubici od obustavljenog poslovanja</t>
  </si>
  <si>
    <t>3. DOBITAK PO OSNOVU OSTALIH PRIHODA I RASHODA (258-266)</t>
  </si>
  <si>
    <t>4. GUBITAK PO OSNOVU OSTALIH PRIHODA I RASHODA (266-258)</t>
  </si>
  <si>
    <t>G. POSLOVNI DOBITAK (233+256+274-234-257-275)</t>
  </si>
  <si>
    <t>D. POSLOVNI GUBITAK (234+257+275-233-256-274)</t>
  </si>
  <si>
    <t>Đ. PRIHODI I RASHODI OD PROMJENE VRIJEDNOSTI IMOVINE I OBAVEZA</t>
  </si>
  <si>
    <t>1. Prihodi od promjene vrijednosti imovine i obaveza (279 do 283)</t>
  </si>
  <si>
    <t>a) Prihodi po osnovu promjene vrijednosti plasmana i potraživanja</t>
  </si>
  <si>
    <t>b) Prihodi po osnovu promjene vrijednosti HOV</t>
  </si>
  <si>
    <t>v) Prihodi po osnovu promjene vrijednosti obaveza</t>
  </si>
  <si>
    <t>g) Prihodi od promjene vrijednosti osnovnih sredstava, ulaganja u nekretnine i nematerijalnih ulaganja</t>
  </si>
  <si>
    <t>d) Prihodi od pozitivnih kursnih razlika</t>
  </si>
  <si>
    <t>2. Rashodi od promjene vrijednosti imovine i obaveza (285 do 289)</t>
  </si>
  <si>
    <t>a) Rashodi po osnovu promjene vrijednosti plasmana i potraživanja</t>
  </si>
  <si>
    <t>b) Rashodi po osnovu promjene vrijednosti HOV</t>
  </si>
  <si>
    <t>v) Rashodi po osnovu promjene vrijednosti obaveza</t>
  </si>
  <si>
    <t>g) Rashodi po osnovu promjene vrijednosti osnovnih sredstava, ulaganja u nekretnine i nematerijalnih ulaganja</t>
  </si>
  <si>
    <t>d) Rashodi po osnovu negativnih kursnih razlika</t>
  </si>
  <si>
    <t>E. DOBITAK PO OSNOVU PROMJENE VRIJEDNOSTI IMOVINE I OBAVEZA (278-284)</t>
  </si>
  <si>
    <t>Ž. GUBITAK PO OSNOVU PROMJENE VRIJEDNOSTI IMOVINE I OBAVEZA (284-278)</t>
  </si>
  <si>
    <t>I. DOBITAK I GUBITAK PRIJE OPOREZIVANJA</t>
  </si>
  <si>
    <t>2. Gubitak prije oporezivanja (277+291–276–290)</t>
  </si>
  <si>
    <t>1. Porez na dobit</t>
  </si>
  <si>
    <t>2. Dobitak po osnovu povećanja odloženih poreskih sredstava i smanjenja odloženih poreskih obaveza</t>
  </si>
  <si>
    <t>3. Gubitak po osnovu smanjenja odloženih poreskih sredstava i povećanja odloženih poreskih obaveza</t>
  </si>
  <si>
    <t>1. Neto dobitak tekuće godine (292+295–294–296) ili (295–293–294–296)</t>
  </si>
  <si>
    <t>2. Neto gubitak tekuće godine (293+294+296–295) ili (294+296–292–295)</t>
  </si>
  <si>
    <t>L. OSTALI DOBICI I GUBICI U PERIODU</t>
  </si>
  <si>
    <t>1. Dobici utvrđeni direktno u kapitalu (300 do 305)</t>
  </si>
  <si>
    <t>a) Dobici po osnovu smanjenja revalorizacionih rezervi na osnovnim sredstvima i nematerijalnim ulaganjima</t>
  </si>
  <si>
    <t>b) Dobici po osnovu promjene fer vrijednosti HOV raspoloživih za prodaju</t>
  </si>
  <si>
    <t>v) Dobici po osnovu prevođenja finansijskih izvještaja inostranog poslovanja</t>
  </si>
  <si>
    <t>g) Aktuarski dobici od planova definisanih primanja</t>
  </si>
  <si>
    <t>đ) Ostali dobici utvrđeni direktno u kapitalu</t>
  </si>
  <si>
    <t>2. Gubici utvrđeni direktno u kapitalu (307 do 311)</t>
  </si>
  <si>
    <t>a) Gubici po osnovu promjene fer vrijednosti HOV raspoloživih za prodaju</t>
  </si>
  <si>
    <t>b) Gubici po osnovu prevođenja finansijskih izvještaja inostranog poslovanja</t>
  </si>
  <si>
    <t>v) Aktuarski gubici od planova definisanih primanja</t>
  </si>
  <si>
    <t>d) Ostali gubici utvrđeni direktno u kapitalu</t>
  </si>
  <si>
    <t>NJ. OSTALI UKUPAN REZULTAT U PERIODU (312 ± 313)</t>
  </si>
  <si>
    <t>O. UKUPAN REZULTAT ZA OBRAČUNSKI PERIOD</t>
  </si>
  <si>
    <t>1. Ukupan neto dobitak u obračunskom periodu (297 ± 314)</t>
  </si>
  <si>
    <t>2. Ukupan neto gubitak u obračunskom periodu (298 ± 314)</t>
  </si>
  <si>
    <t>Dio neto dobiti/gubitka koji pripada većinskim vlasnicima</t>
  </si>
  <si>
    <t>Dio neto dobiti/gubitka koji pripada manjinskim vlasnicima</t>
  </si>
  <si>
    <t>Obična zarada po akciji</t>
  </si>
  <si>
    <t>Razrijeđena zarada po akciji</t>
  </si>
  <si>
    <t>Prosječan broj zaposlenih na osnovu časova rada</t>
  </si>
  <si>
    <t>Prosječan broj zaposlenih na osnovu stanja na kraju perioda</t>
  </si>
  <si>
    <t>Redni broj iz Aop Tabele</t>
  </si>
  <si>
    <t>Osiguranja</t>
  </si>
  <si>
    <t>AKTIVA</t>
  </si>
  <si>
    <t>a) Depoziti i krediti u domaćoj valuti</t>
  </si>
  <si>
    <t>b) Depoziti i krediti u stranoj valuti</t>
  </si>
  <si>
    <t>B. STALNA SREDSTVA (036+041+047)</t>
  </si>
  <si>
    <t>v) Osnovna sredstva uzeta u finansijski lizing</t>
  </si>
  <si>
    <t>PASIVA</t>
  </si>
  <si>
    <t>v) Obaveze po osnovu HOV u stranoj valuti</t>
  </si>
  <si>
    <t>b) Ostale obaveze u domaćoj valuti, osim obaveza za poreze i doprinose</t>
  </si>
  <si>
    <t>v) Obaveze za poreze i doprinose, osim tekućih i odloženih obaveza za porez na dobit</t>
  </si>
  <si>
    <t>đ) Rezervisanja</t>
  </si>
  <si>
    <t>1. Osnovni kapital (127+128+129-130-131)</t>
  </si>
  <si>
    <t>d) Prenesene rezerve (kursne razlike)</t>
  </si>
  <si>
    <t>A. PRIHODI I RASHODI IZ POSLOVA FINANSIRANJA</t>
  </si>
  <si>
    <t>a) Prihodi od kamata po osnovu kredita, depozita i HOV u domaćoj valuti</t>
  </si>
  <si>
    <t>b) Prihodi od kamata po osnovu kredita, depozita i HOV sa ugovorenom zaštitom od rizika</t>
  </si>
  <si>
    <t>a) Rashodi kamata po osnovu kredita, depozita i HOV u domaćoj valuti</t>
  </si>
  <si>
    <t>b) Rashodi kamata po osnovu kredita, depozita i HOV sa ugovorenom zaštitom od rizika</t>
  </si>
  <si>
    <t>v) Prihodi od ostalih naknada</t>
  </si>
  <si>
    <t>a) Rashodi indirektnih otpisa plasmana</t>
  </si>
  <si>
    <t>b) Rashodi rezervisanja za vanbilansne pozicije</t>
  </si>
  <si>
    <t>V. OSTALI PRIHODI I RASHODI</t>
  </si>
  <si>
    <t>v) Gubici po osnovu rashodovanja i otpisa osnovnih sredstava i nematerijalnih ulaganja</t>
  </si>
  <si>
    <t>1. Dobitak prije oporezivanja (276+290–277–291)</t>
  </si>
  <si>
    <t>J. TEKUĆI I ODLOŽENI POREZ NA DOBIT</t>
  </si>
  <si>
    <t>K. NETO DOBITAK I GUBITAK</t>
  </si>
  <si>
    <t>d) Efektivni dio dobitaka po osnovu zaštite od rizika gotovinskih tokova</t>
  </si>
  <si>
    <t>g) Efektivni dio gubitaka po osnovu zaštite od rizika gotovinskih tokova</t>
  </si>
  <si>
    <t>LJ. NETO DOBICI ILI NETO GUBICI PO OSNOVU OSTALOG UKUPNOG REZULTATA U PERIODU (299 – 306) ili (306 – 299)</t>
  </si>
  <si>
    <t>N. POREZ NA DOBIT KOJI SE ODNOSI NA OSTALI UKUPAN REZULTAT</t>
  </si>
  <si>
    <t>NOVČANI TOKOVI IZ POSLOVNIH AKTIVNOSTI</t>
  </si>
  <si>
    <t>Primici kamata, naknada i provizija po kreditima i poslovima lizinga</t>
  </si>
  <si>
    <t>Isplate kamata</t>
  </si>
  <si>
    <t>Naplate po kreditima koji su ranije bili otpisani (glavnica i kamata)</t>
  </si>
  <si>
    <t>Novčane isplate zaposlenim i dobavljačima</t>
  </si>
  <si>
    <t>Isplate po vanbilansnim ugovorima</t>
  </si>
  <si>
    <t>Primici i isplate po vanrednim stavkama</t>
  </si>
  <si>
    <t>(Povećanje) smanjenje u operativnoj aktivi</t>
  </si>
  <si>
    <t>Novčane pozajmice i krediti dati klijentima i naplate istih</t>
  </si>
  <si>
    <t>Računi depozita kod državnih institucija -propisi i monetarni zahtjevi-</t>
  </si>
  <si>
    <t>Depoziti klijenata</t>
  </si>
  <si>
    <t>Plaćeni porez na dobit</t>
  </si>
  <si>
    <t>Neto novčana sredstva iz poslovnih aktivnosti</t>
  </si>
  <si>
    <t>NOVČANI TOKOVI IZ AKTIVNOSTI INVESTIRANJA</t>
  </si>
  <si>
    <t>Kratkoročni plasmani finansijskim insitucijama</t>
  </si>
  <si>
    <t>Primici kamata</t>
  </si>
  <si>
    <t>Primici dividendi</t>
  </si>
  <si>
    <t>Ulaganja u vrijednosne papire koji se drže do dospijeća</t>
  </si>
  <si>
    <t>Naplativi dospjeli vrijednosni papiri koji se drže do roka dospijeća</t>
  </si>
  <si>
    <t>Kupovina (prodaja) nematerijalne aktive</t>
  </si>
  <si>
    <t>Kupovina (prodaja) materijalne aktive</t>
  </si>
  <si>
    <t>Sticanje (prodaja) učešća u supsidijarnim licima</t>
  </si>
  <si>
    <t>Sticanje (prodaja) učešća u drugim povezanim preduzećima</t>
  </si>
  <si>
    <t>Krediti (povrat kredita) supsidijarnim licima</t>
  </si>
  <si>
    <t>Krediti (povrat kredita) drugim povezanim preduzećima</t>
  </si>
  <si>
    <t>Kupovina (prodja) drugih ulaganja</t>
  </si>
  <si>
    <t>Neto novčana sredstva iz ulagačkih aktivnosti</t>
  </si>
  <si>
    <t>NOVČANI TOKOVI OD AKTIVNOSTI FINANSIRANJA</t>
  </si>
  <si>
    <t>Primici od izdavanja akcija</t>
  </si>
  <si>
    <t>Reotkup akcija</t>
  </si>
  <si>
    <t>Kupovina vlastitih akcija</t>
  </si>
  <si>
    <t>Kamata plaćena na pozajmice</t>
  </si>
  <si>
    <t>Uzete pozajmice</t>
  </si>
  <si>
    <t>Povrat pozajmica</t>
  </si>
  <si>
    <t>Isplata dividendi</t>
  </si>
  <si>
    <t>Isplata po vanbilansnim ugovorima</t>
  </si>
  <si>
    <t>Neto novčana sredstva od finansijskih aktivnosti</t>
  </si>
  <si>
    <t>NETO PORAST NS i NE ** (A+B+V)</t>
  </si>
  <si>
    <t>NS i NE NA POČETKU PERIODA</t>
  </si>
  <si>
    <t>EFEKTI PROMJENE DEVIZNIH KURSEVA NS i NE</t>
  </si>
  <si>
    <t>NS i NE NA KRAJU PERIODA (4+5+6)</t>
  </si>
  <si>
    <t>Promjeniti Aop_Drop_Down name range.</t>
  </si>
  <si>
    <t>English</t>
  </si>
  <si>
    <t>KM</t>
  </si>
  <si>
    <t>000 KM</t>
  </si>
  <si>
    <t>Popraviti sirinu redova u svim bilansima.</t>
  </si>
  <si>
    <t>Namjestiti kolonu No u bilansima i obrisati formule, osim opisa.</t>
  </si>
  <si>
    <t>BBRB</t>
  </si>
  <si>
    <t>BOBAR BANKA AD BIJELJINA</t>
  </si>
  <si>
    <t>BLKB</t>
  </si>
  <si>
    <t>BALKAN INVESTMENT BANK AD BANJA LUKA</t>
  </si>
  <si>
    <t>IEFB</t>
  </si>
  <si>
    <t>MF BANKA AD BANJA LUKA</t>
  </si>
  <si>
    <t>KMCB</t>
  </si>
  <si>
    <t>KOMERCIJALNA BANKA AD BANJA LUKA</t>
  </si>
  <si>
    <t>KRLB</t>
  </si>
  <si>
    <t>HYPO ALPE- ADRIA- BANK A.D. BANJA LUKA</t>
  </si>
  <si>
    <t>NBLB</t>
  </si>
  <si>
    <t>UNICREDIT BANK AD BANJA LUKA</t>
  </si>
  <si>
    <t>NOVB</t>
  </si>
  <si>
    <t>NOVA BANKA  AD BANJA LUKA</t>
  </si>
  <si>
    <t>PIBB</t>
  </si>
  <si>
    <t>PAVLOVIĆ INTERNATIONAL BANK AD BIJELJINA</t>
  </si>
  <si>
    <t>VBBB</t>
  </si>
  <si>
    <t>NLB RAZVOJNA BANKA AD BANJA LUKA</t>
  </si>
  <si>
    <t>ZPKB</t>
  </si>
  <si>
    <t>BBRB001</t>
  </si>
  <si>
    <t>BBRB002</t>
  </si>
  <si>
    <t>BBRB003</t>
  </si>
  <si>
    <t>BBRB004</t>
  </si>
  <si>
    <t>BBRB005</t>
  </si>
  <si>
    <t>BBRB007</t>
  </si>
  <si>
    <t>BBRB008</t>
  </si>
  <si>
    <t>BBRB009</t>
  </si>
  <si>
    <t>BBRB011</t>
  </si>
  <si>
    <t>BBRB012</t>
  </si>
  <si>
    <t>BBRB013</t>
  </si>
  <si>
    <t>BBRB014</t>
  </si>
  <si>
    <t>BBRB015</t>
  </si>
  <si>
    <t>BBRB016</t>
  </si>
  <si>
    <t>BBRB017</t>
  </si>
  <si>
    <t>BBRB018</t>
  </si>
  <si>
    <t>BBRB019</t>
  </si>
  <si>
    <t>BBRB022</t>
  </si>
  <si>
    <t>BBRB023</t>
  </si>
  <si>
    <t>BBRB025</t>
  </si>
  <si>
    <t>BBRB026</t>
  </si>
  <si>
    <t>BBRB028</t>
  </si>
  <si>
    <t>BBRB029</t>
  </si>
  <si>
    <t>BBRB030</t>
  </si>
  <si>
    <t>BBRB031</t>
  </si>
  <si>
    <t>BBRB035</t>
  </si>
  <si>
    <t>BBRB036</t>
  </si>
  <si>
    <t>BBRB037</t>
  </si>
  <si>
    <t>BBRB038</t>
  </si>
  <si>
    <t>BBRB040</t>
  </si>
  <si>
    <t>BBRB041</t>
  </si>
  <si>
    <t>BBRB045</t>
  </si>
  <si>
    <t>BBRB048</t>
  </si>
  <si>
    <t>BBRB049</t>
  </si>
  <si>
    <t>BBRB050</t>
  </si>
  <si>
    <t>BBRB101</t>
  </si>
  <si>
    <t>BBRB102</t>
  </si>
  <si>
    <t>BBRB103</t>
  </si>
  <si>
    <t>BBRB105</t>
  </si>
  <si>
    <t>BBRB106</t>
  </si>
  <si>
    <t>BBRB107</t>
  </si>
  <si>
    <t>BBRB108</t>
  </si>
  <si>
    <t>BBRB113</t>
  </si>
  <si>
    <t>BBRB114</t>
  </si>
  <si>
    <t>BBRB115</t>
  </si>
  <si>
    <t>BBRB116</t>
  </si>
  <si>
    <t>BBRB117</t>
  </si>
  <si>
    <t>BBRB119</t>
  </si>
  <si>
    <t>BBRB120</t>
  </si>
  <si>
    <t>BBRB121</t>
  </si>
  <si>
    <t>BBRB122</t>
  </si>
  <si>
    <t>BBRB123</t>
  </si>
  <si>
    <t>BBRB124</t>
  </si>
  <si>
    <t>BBRB125</t>
  </si>
  <si>
    <t>BBRB126</t>
  </si>
  <si>
    <t>BBRB127</t>
  </si>
  <si>
    <t>BBRB132</t>
  </si>
  <si>
    <t>BBRB133</t>
  </si>
  <si>
    <t>BBRB135</t>
  </si>
  <si>
    <t>BBRB142</t>
  </si>
  <si>
    <t>BBRB143</t>
  </si>
  <si>
    <t>BBRB144</t>
  </si>
  <si>
    <t>BBRB151</t>
  </si>
  <si>
    <t>BBRB152</t>
  </si>
  <si>
    <t>BBRB153</t>
  </si>
  <si>
    <t>BBRB201</t>
  </si>
  <si>
    <t>BBRB202</t>
  </si>
  <si>
    <t>BBRB204</t>
  </si>
  <si>
    <t>BBRB205</t>
  </si>
  <si>
    <t>BBRB206</t>
  </si>
  <si>
    <t>BBRB208</t>
  </si>
  <si>
    <t>BBRB209</t>
  </si>
  <si>
    <t>BBRB211</t>
  </si>
  <si>
    <t>BBRB212</t>
  </si>
  <si>
    <t>BBRB213</t>
  </si>
  <si>
    <t>BBRB214</t>
  </si>
  <si>
    <t>BBRB215</t>
  </si>
  <si>
    <t>BBRB216</t>
  </si>
  <si>
    <t>BBRB217</t>
  </si>
  <si>
    <t>BBRB218</t>
  </si>
  <si>
    <t>BBRB219</t>
  </si>
  <si>
    <t>BBRB221</t>
  </si>
  <si>
    <t>BBRB231</t>
  </si>
  <si>
    <t>BBRB233</t>
  </si>
  <si>
    <t>BBRB235</t>
  </si>
  <si>
    <t>BBRB236</t>
  </si>
  <si>
    <t>BBRB237</t>
  </si>
  <si>
    <t>BBRB240</t>
  </si>
  <si>
    <t>BBRB241</t>
  </si>
  <si>
    <t>BBRB242</t>
  </si>
  <si>
    <t>BBRB243</t>
  </si>
  <si>
    <t>BBRB246</t>
  </si>
  <si>
    <t>BBRB248</t>
  </si>
  <si>
    <t>BBRB249</t>
  </si>
  <si>
    <t>BBRB250</t>
  </si>
  <si>
    <t>BBRB251</t>
  </si>
  <si>
    <t>BBRB253</t>
  </si>
  <si>
    <t>BBRB254</t>
  </si>
  <si>
    <t>BBRB255</t>
  </si>
  <si>
    <t>BBRB257</t>
  </si>
  <si>
    <t>BBRB258</t>
  </si>
  <si>
    <t>BBRB259</t>
  </si>
  <si>
    <t>BBRB262</t>
  </si>
  <si>
    <t>BBRB264</t>
  </si>
  <si>
    <t>BBRB266</t>
  </si>
  <si>
    <t>BBRB267</t>
  </si>
  <si>
    <t>BBRB270</t>
  </si>
  <si>
    <t>BBRB272</t>
  </si>
  <si>
    <t>BBRB274</t>
  </si>
  <si>
    <t>BBRB276</t>
  </si>
  <si>
    <t>BBRB278</t>
  </si>
  <si>
    <t>BBRB280</t>
  </si>
  <si>
    <t>BBRB283</t>
  </si>
  <si>
    <t>BBRB284</t>
  </si>
  <si>
    <t>BBRB286</t>
  </si>
  <si>
    <t>BBRB289</t>
  </si>
  <si>
    <t>BBRB291</t>
  </si>
  <si>
    <t>BBRB292</t>
  </si>
  <si>
    <t>BBRB294</t>
  </si>
  <si>
    <t>BBRB297</t>
  </si>
  <si>
    <t>BBRB315</t>
  </si>
  <si>
    <t>BBRB317</t>
  </si>
  <si>
    <t>BBRB318</t>
  </si>
  <si>
    <t>BBRB319</t>
  </si>
  <si>
    <t>BBRB321</t>
  </si>
  <si>
    <t>BBRB322</t>
  </si>
  <si>
    <t>BBRB501</t>
  </si>
  <si>
    <t>BBRB502</t>
  </si>
  <si>
    <t>BBRB503</t>
  </si>
  <si>
    <t>BBRB504</t>
  </si>
  <si>
    <t>BBRB506</t>
  </si>
  <si>
    <t>BBRB508</t>
  </si>
  <si>
    <t>BBRB510</t>
  </si>
  <si>
    <t>BBRB511</t>
  </si>
  <si>
    <t>BBRB512</t>
  </si>
  <si>
    <t>BBRB515</t>
  </si>
  <si>
    <t>BBRB518</t>
  </si>
  <si>
    <t>BBRB519</t>
  </si>
  <si>
    <t>BBRB523</t>
  </si>
  <si>
    <t>BBRB527</t>
  </si>
  <si>
    <t>BBRB532</t>
  </si>
  <si>
    <t>BBRB533</t>
  </si>
  <si>
    <t>BBRB534</t>
  </si>
  <si>
    <t>BBRB537</t>
  </si>
  <si>
    <t>BBRB538</t>
  </si>
  <si>
    <t>BBRB539</t>
  </si>
  <si>
    <t>BBRB540</t>
  </si>
  <si>
    <t>BBRB541</t>
  </si>
  <si>
    <t>BLKB001</t>
  </si>
  <si>
    <t>BLKB002</t>
  </si>
  <si>
    <t>BLKB003</t>
  </si>
  <si>
    <t>BLKB004</t>
  </si>
  <si>
    <t>BLKB005</t>
  </si>
  <si>
    <t>BLKB007</t>
  </si>
  <si>
    <t>BLKB008</t>
  </si>
  <si>
    <t>BLKB009</t>
  </si>
  <si>
    <t>BLKB011</t>
  </si>
  <si>
    <t>BLKB012</t>
  </si>
  <si>
    <t>BLKB013</t>
  </si>
  <si>
    <t>BLKB014</t>
  </si>
  <si>
    <t>BLKB015</t>
  </si>
  <si>
    <t>BLKB016</t>
  </si>
  <si>
    <t>BLKB017</t>
  </si>
  <si>
    <t>BLKB018</t>
  </si>
  <si>
    <t>BLKB019</t>
  </si>
  <si>
    <t>BLKB021</t>
  </si>
  <si>
    <t>BLKB022</t>
  </si>
  <si>
    <t>BLKB025</t>
  </si>
  <si>
    <t>BLKB026</t>
  </si>
  <si>
    <t>BLKB028</t>
  </si>
  <si>
    <t>BLKB029</t>
  </si>
  <si>
    <t>BLKB030</t>
  </si>
  <si>
    <t>BLKB031</t>
  </si>
  <si>
    <t>BLKB035</t>
  </si>
  <si>
    <t>BLKB036</t>
  </si>
  <si>
    <t>BLKB040</t>
  </si>
  <si>
    <t>BLKB041</t>
  </si>
  <si>
    <t>BLKB045</t>
  </si>
  <si>
    <t>BLKB046</t>
  </si>
  <si>
    <t>BLKB047</t>
  </si>
  <si>
    <t>BLKB048</t>
  </si>
  <si>
    <t>BLKB049</t>
  </si>
  <si>
    <t>BLKB050</t>
  </si>
  <si>
    <t>BLKB101</t>
  </si>
  <si>
    <t>BLKB102</t>
  </si>
  <si>
    <t>BLKB103</t>
  </si>
  <si>
    <t>BLKB104</t>
  </si>
  <si>
    <t>BLKB105</t>
  </si>
  <si>
    <t>BLKB106</t>
  </si>
  <si>
    <t>BLKB107</t>
  </si>
  <si>
    <t>BLKB108</t>
  </si>
  <si>
    <t>BLKB113</t>
  </si>
  <si>
    <t>BLKB114</t>
  </si>
  <si>
    <t>BLKB115</t>
  </si>
  <si>
    <t>BLKB116</t>
  </si>
  <si>
    <t>BLKB119</t>
  </si>
  <si>
    <t>BLKB120</t>
  </si>
  <si>
    <t>BLKB121</t>
  </si>
  <si>
    <t>BLKB122</t>
  </si>
  <si>
    <t>BLKB123</t>
  </si>
  <si>
    <t>BLKB125</t>
  </si>
  <si>
    <t>BLKB126</t>
  </si>
  <si>
    <t>BLKB127</t>
  </si>
  <si>
    <t>BLKB132</t>
  </si>
  <si>
    <t>BLKB133</t>
  </si>
  <si>
    <t>BLKB135</t>
  </si>
  <si>
    <t>BLKB138</t>
  </si>
  <si>
    <t>BLKB139</t>
  </si>
  <si>
    <t>BLKB142</t>
  </si>
  <si>
    <t>BLKB144</t>
  </si>
  <si>
    <t>BLKB151</t>
  </si>
  <si>
    <t>BLKB152</t>
  </si>
  <si>
    <t>BLKB153</t>
  </si>
  <si>
    <t>BLKB201</t>
  </si>
  <si>
    <t>BLKB202</t>
  </si>
  <si>
    <t>BLKB203</t>
  </si>
  <si>
    <t>BLKB204</t>
  </si>
  <si>
    <t>BLKB205</t>
  </si>
  <si>
    <t>BLKB206</t>
  </si>
  <si>
    <t>BLKB207</t>
  </si>
  <si>
    <t>BLKB208</t>
  </si>
  <si>
    <t>BLKB209</t>
  </si>
  <si>
    <t>BLKB211</t>
  </si>
  <si>
    <t>BLKB212</t>
  </si>
  <si>
    <t>BLKB213</t>
  </si>
  <si>
    <t>BLKB214</t>
  </si>
  <si>
    <t>BLKB215</t>
  </si>
  <si>
    <t>BLKB216</t>
  </si>
  <si>
    <t>BLKB217</t>
  </si>
  <si>
    <t>BLKB218</t>
  </si>
  <si>
    <t>BLKB219</t>
  </si>
  <si>
    <t>BLKB233</t>
  </si>
  <si>
    <t>BLKB235</t>
  </si>
  <si>
    <t>BLKB236</t>
  </si>
  <si>
    <t>BLKB237</t>
  </si>
  <si>
    <t>BLKB239</t>
  </si>
  <si>
    <t>BLKB240</t>
  </si>
  <si>
    <t>BLKB241</t>
  </si>
  <si>
    <t>BLKB242</t>
  </si>
  <si>
    <t>BLKB243</t>
  </si>
  <si>
    <t>BLKB246</t>
  </si>
  <si>
    <t>BLKB247</t>
  </si>
  <si>
    <t>BLKB248</t>
  </si>
  <si>
    <t>BLKB249</t>
  </si>
  <si>
    <t>BLKB250</t>
  </si>
  <si>
    <t>BLKB251</t>
  </si>
  <si>
    <t>BLKB253</t>
  </si>
  <si>
    <t>BLKB254</t>
  </si>
  <si>
    <t>BLKB255</t>
  </si>
  <si>
    <t>BLKB257</t>
  </si>
  <si>
    <t>BLKB258</t>
  </si>
  <si>
    <t>BLKB260</t>
  </si>
  <si>
    <t>BLKB261</t>
  </si>
  <si>
    <t>BLKB262</t>
  </si>
  <si>
    <t>BLKB263</t>
  </si>
  <si>
    <t>BLKB264</t>
  </si>
  <si>
    <t>BLKB265</t>
  </si>
  <si>
    <t>BLKB266</t>
  </si>
  <si>
    <t>BLKB267</t>
  </si>
  <si>
    <t>BLKB268</t>
  </si>
  <si>
    <t>BLKB271</t>
  </si>
  <si>
    <t>BLKB272</t>
  </si>
  <si>
    <t>BLKB274</t>
  </si>
  <si>
    <t>BLKB276</t>
  </si>
  <si>
    <t>BLKB278</t>
  </si>
  <si>
    <t>BLKB280</t>
  </si>
  <si>
    <t>BLKB283</t>
  </si>
  <si>
    <t>BLKB284</t>
  </si>
  <si>
    <t>BLKB286</t>
  </si>
  <si>
    <t>BLKB289</t>
  </si>
  <si>
    <t>BLKB291</t>
  </si>
  <si>
    <t>BLKB292</t>
  </si>
  <si>
    <t>BLKB297</t>
  </si>
  <si>
    <t>BLKB315</t>
  </si>
  <si>
    <t>BLKB321</t>
  </si>
  <si>
    <t>IEFB001</t>
  </si>
  <si>
    <t>IEFB002</t>
  </si>
  <si>
    <t>IEFB003</t>
  </si>
  <si>
    <t>IEFB004</t>
  </si>
  <si>
    <t>IEFB005</t>
  </si>
  <si>
    <t>IEFB007</t>
  </si>
  <si>
    <t>IEFB008</t>
  </si>
  <si>
    <t>IEFB009</t>
  </si>
  <si>
    <t>IEFB011</t>
  </si>
  <si>
    <t>IEFB012</t>
  </si>
  <si>
    <t>IEFB013</t>
  </si>
  <si>
    <t>IEFB014</t>
  </si>
  <si>
    <t>IEFB015</t>
  </si>
  <si>
    <t>IEFB016</t>
  </si>
  <si>
    <t>IEFB022</t>
  </si>
  <si>
    <t>IEFB023</t>
  </si>
  <si>
    <t>IEFB025</t>
  </si>
  <si>
    <t>IEFB026</t>
  </si>
  <si>
    <t>IEFB030</t>
  </si>
  <si>
    <t>IEFB035</t>
  </si>
  <si>
    <t>IEFB036</t>
  </si>
  <si>
    <t>IEFB037</t>
  </si>
  <si>
    <t>IEFB038</t>
  </si>
  <si>
    <t>IEFB040</t>
  </si>
  <si>
    <t>IEFB041</t>
  </si>
  <si>
    <t>IEFB045</t>
  </si>
  <si>
    <t>IEFB048</t>
  </si>
  <si>
    <t>IEFB049</t>
  </si>
  <si>
    <t>IEFB050</t>
  </si>
  <si>
    <t>IEFB101</t>
  </si>
  <si>
    <t>IEFB102</t>
  </si>
  <si>
    <t>IEFB103</t>
  </si>
  <si>
    <t>IEFB104</t>
  </si>
  <si>
    <t>IEFB105</t>
  </si>
  <si>
    <t>IEFB106</t>
  </si>
  <si>
    <t>IEFB107</t>
  </si>
  <si>
    <t>IEFB108</t>
  </si>
  <si>
    <t>IEFB113</t>
  </si>
  <si>
    <t>IEFB115</t>
  </si>
  <si>
    <t>IEFB116</t>
  </si>
  <si>
    <t>IEFB119</t>
  </si>
  <si>
    <t>IEFB120</t>
  </si>
  <si>
    <t>IEFB122</t>
  </si>
  <si>
    <t>IEFB123</t>
  </si>
  <si>
    <t>IEFB125</t>
  </si>
  <si>
    <t>IEFB126</t>
  </si>
  <si>
    <t>IEFB127</t>
  </si>
  <si>
    <t>IEFB132</t>
  </si>
  <si>
    <t>IEFB135</t>
  </si>
  <si>
    <t>IEFB142</t>
  </si>
  <si>
    <t>IEFB148</t>
  </si>
  <si>
    <t>IEFB150</t>
  </si>
  <si>
    <t>IEFB151</t>
  </si>
  <si>
    <t>IEFB152</t>
  </si>
  <si>
    <t>IEFB153</t>
  </si>
  <si>
    <t>IEFB201</t>
  </si>
  <si>
    <t>IEFB202</t>
  </si>
  <si>
    <t>IEFB203</t>
  </si>
  <si>
    <t>IEFB204</t>
  </si>
  <si>
    <t>IEFB205</t>
  </si>
  <si>
    <t>IEFB206</t>
  </si>
  <si>
    <t>IEFB207</t>
  </si>
  <si>
    <t>IEFB208</t>
  </si>
  <si>
    <t>IEFB209</t>
  </si>
  <si>
    <t>IEFB211</t>
  </si>
  <si>
    <t>IEFB212</t>
  </si>
  <si>
    <t>IEFB213</t>
  </si>
  <si>
    <t>IEFB214</t>
  </si>
  <si>
    <t>IEFB215</t>
  </si>
  <si>
    <t>IEFB217</t>
  </si>
  <si>
    <t>IEFB218</t>
  </si>
  <si>
    <t>IEFB219</t>
  </si>
  <si>
    <t>IEFB233</t>
  </si>
  <si>
    <t>IEFB235</t>
  </si>
  <si>
    <t>IEFB236</t>
  </si>
  <si>
    <t>IEFB237</t>
  </si>
  <si>
    <t>IEFB241</t>
  </si>
  <si>
    <t>IEFB242</t>
  </si>
  <si>
    <t>IEFB243</t>
  </si>
  <si>
    <t>IEFB246</t>
  </si>
  <si>
    <t>IEFB248</t>
  </si>
  <si>
    <t>IEFB249</t>
  </si>
  <si>
    <t>IEFB250</t>
  </si>
  <si>
    <t>IEFB251</t>
  </si>
  <si>
    <t>IEFB253</t>
  </si>
  <si>
    <t>IEFB254</t>
  </si>
  <si>
    <t>IEFB257</t>
  </si>
  <si>
    <t>IEFB258</t>
  </si>
  <si>
    <t>IEFB259</t>
  </si>
  <si>
    <t>IEFB261</t>
  </si>
  <si>
    <t>IEFB264</t>
  </si>
  <si>
    <t>IEFB266</t>
  </si>
  <si>
    <t>IEFB272</t>
  </si>
  <si>
    <t>IEFB274</t>
  </si>
  <si>
    <t>IEFB276</t>
  </si>
  <si>
    <t>IEFB278</t>
  </si>
  <si>
    <t>IEFB283</t>
  </si>
  <si>
    <t>IEFB284</t>
  </si>
  <si>
    <t>IEFB289</t>
  </si>
  <si>
    <t>IEFB290</t>
  </si>
  <si>
    <t>IEFB292</t>
  </si>
  <si>
    <t>IEFB297</t>
  </si>
  <si>
    <t>IEFB315</t>
  </si>
  <si>
    <t>IEFB321</t>
  </si>
  <si>
    <t>IEFB501</t>
  </si>
  <si>
    <t>IEFB502</t>
  </si>
  <si>
    <t>IEFB503</t>
  </si>
  <si>
    <t>IEFB504</t>
  </si>
  <si>
    <t>IEFB508</t>
  </si>
  <si>
    <t>IEFB510</t>
  </si>
  <si>
    <t>IEFB512</t>
  </si>
  <si>
    <t>IEFB514</t>
  </si>
  <si>
    <t>IEFB518</t>
  </si>
  <si>
    <t>IEFB519</t>
  </si>
  <si>
    <t>IEFB527</t>
  </si>
  <si>
    <t>IEFB537</t>
  </si>
  <si>
    <t>IEFB538</t>
  </si>
  <si>
    <t>IEFB539</t>
  </si>
  <si>
    <t>IEFB540</t>
  </si>
  <si>
    <t>IEFB541</t>
  </si>
  <si>
    <t>KMCB001</t>
  </si>
  <si>
    <t>KMCB002</t>
  </si>
  <si>
    <t>KMCB003</t>
  </si>
  <si>
    <t>KMCB004</t>
  </si>
  <si>
    <t>KMCB005</t>
  </si>
  <si>
    <t>KMCB007</t>
  </si>
  <si>
    <t>KMCB008</t>
  </si>
  <si>
    <t>KMCB009</t>
  </si>
  <si>
    <t>KMCB011</t>
  </si>
  <si>
    <t>KMCB012</t>
  </si>
  <si>
    <t>KMCB013</t>
  </si>
  <si>
    <t>KMCB014</t>
  </si>
  <si>
    <t>KMCB015</t>
  </si>
  <si>
    <t>KMCB016</t>
  </si>
  <si>
    <t>KMCB017</t>
  </si>
  <si>
    <t>KMCB018</t>
  </si>
  <si>
    <t>KMCB021</t>
  </si>
  <si>
    <t>KMCB022</t>
  </si>
  <si>
    <t>KMCB023</t>
  </si>
  <si>
    <t>KMCB025</t>
  </si>
  <si>
    <t>KMCB026</t>
  </si>
  <si>
    <t>KMCB027</t>
  </si>
  <si>
    <t>KMCB029</t>
  </si>
  <si>
    <t>KMCB030</t>
  </si>
  <si>
    <t>KMCB031</t>
  </si>
  <si>
    <t>KMCB035</t>
  </si>
  <si>
    <t>KMCB036</t>
  </si>
  <si>
    <t>KMCB037</t>
  </si>
  <si>
    <t>KMCB038</t>
  </si>
  <si>
    <t>KMCB040</t>
  </si>
  <si>
    <t>KMCB041</t>
  </si>
  <si>
    <t>KMCB045</t>
  </si>
  <si>
    <t>KMCB048</t>
  </si>
  <si>
    <t>KMCB049</t>
  </si>
  <si>
    <t>KMCB050</t>
  </si>
  <si>
    <t>KMCB101</t>
  </si>
  <si>
    <t>KMCB102</t>
  </si>
  <si>
    <t>KMCB103</t>
  </si>
  <si>
    <t>KMCB104</t>
  </si>
  <si>
    <t>KMCB105</t>
  </si>
  <si>
    <t>KMCB106</t>
  </si>
  <si>
    <t>KMCB107</t>
  </si>
  <si>
    <t>KMCB113</t>
  </si>
  <si>
    <t>KMCB115</t>
  </si>
  <si>
    <t>KMCB116</t>
  </si>
  <si>
    <t>KMCB117</t>
  </si>
  <si>
    <t>KMCB119</t>
  </si>
  <si>
    <t>KMCB120</t>
  </si>
  <si>
    <t>KMCB122</t>
  </si>
  <si>
    <t>KMCB123</t>
  </si>
  <si>
    <t>KMCB125</t>
  </si>
  <si>
    <t>KMCB126</t>
  </si>
  <si>
    <t>KMCB127</t>
  </si>
  <si>
    <t>KMCB132</t>
  </si>
  <si>
    <t>KMCB135</t>
  </si>
  <si>
    <t>KMCB142</t>
  </si>
  <si>
    <t>KMCB143</t>
  </si>
  <si>
    <t>KMCB151</t>
  </si>
  <si>
    <t>KMCB152</t>
  </si>
  <si>
    <t>KMCB153</t>
  </si>
  <si>
    <t>KMCB201</t>
  </si>
  <si>
    <t>KMCB202</t>
  </si>
  <si>
    <t>KMCB203</t>
  </si>
  <si>
    <t>KMCB204</t>
  </si>
  <si>
    <t>KMCB205</t>
  </si>
  <si>
    <t>KMCB206</t>
  </si>
  <si>
    <t>KMCB207</t>
  </si>
  <si>
    <t>KMCB208</t>
  </si>
  <si>
    <t>KMCB209</t>
  </si>
  <si>
    <t>KMCB211</t>
  </si>
  <si>
    <t>KMCB212</t>
  </si>
  <si>
    <t>KMCB213</t>
  </si>
  <si>
    <t>KMCB214</t>
  </si>
  <si>
    <t>KMCB215</t>
  </si>
  <si>
    <t>KMCB216</t>
  </si>
  <si>
    <t>KMCB217</t>
  </si>
  <si>
    <t>KMCB218</t>
  </si>
  <si>
    <t>KMCB219</t>
  </si>
  <si>
    <t>KMCB233</t>
  </si>
  <si>
    <t>KMCB235</t>
  </si>
  <si>
    <t>KMCB236</t>
  </si>
  <si>
    <t>KMCB237</t>
  </si>
  <si>
    <t>KMCB241</t>
  </si>
  <si>
    <t>KMCB242</t>
  </si>
  <si>
    <t>KMCB243</t>
  </si>
  <si>
    <t>KMCB246</t>
  </si>
  <si>
    <t>KMCB247</t>
  </si>
  <si>
    <t>KMCB248</t>
  </si>
  <si>
    <t>KMCB249</t>
  </si>
  <si>
    <t>KMCB250</t>
  </si>
  <si>
    <t>KMCB251</t>
  </si>
  <si>
    <t>KMCB253</t>
  </si>
  <si>
    <t>KMCB254</t>
  </si>
  <si>
    <t>KMCB257</t>
  </si>
  <si>
    <t>KMCB258</t>
  </si>
  <si>
    <t>KMCB264</t>
  </si>
  <si>
    <t>KMCB266</t>
  </si>
  <si>
    <t>KMCB267</t>
  </si>
  <si>
    <t>KMCB268</t>
  </si>
  <si>
    <t>KMCB272</t>
  </si>
  <si>
    <t>KMCB275</t>
  </si>
  <si>
    <t>KMCB276</t>
  </si>
  <si>
    <t>KMCB278</t>
  </si>
  <si>
    <t>KMCB283</t>
  </si>
  <si>
    <t>KMCB284</t>
  </si>
  <si>
    <t>KMCB289</t>
  </si>
  <si>
    <t>KMCB290</t>
  </si>
  <si>
    <t>KMCB292</t>
  </si>
  <si>
    <t>KMCB297</t>
  </si>
  <si>
    <t>KMCB315</t>
  </si>
  <si>
    <t>KMCB317</t>
  </si>
  <si>
    <t>KMCB321</t>
  </si>
  <si>
    <t>KMCB322</t>
  </si>
  <si>
    <t>KMCB501</t>
  </si>
  <si>
    <t>KMCB502</t>
  </si>
  <si>
    <t>KMCB504</t>
  </si>
  <si>
    <t>KMCB508</t>
  </si>
  <si>
    <t>KMCB509</t>
  </si>
  <si>
    <t>KMCB510</t>
  </si>
  <si>
    <t>KMCB511</t>
  </si>
  <si>
    <t>KMCB512</t>
  </si>
  <si>
    <t>KMCB518</t>
  </si>
  <si>
    <t>KMCB519</t>
  </si>
  <si>
    <t>KMCB527</t>
  </si>
  <si>
    <t>KMCB532</t>
  </si>
  <si>
    <t>KMCB537</t>
  </si>
  <si>
    <t>KMCB538</t>
  </si>
  <si>
    <t>KMCB539</t>
  </si>
  <si>
    <t>KMCB540</t>
  </si>
  <si>
    <t>KMCB541</t>
  </si>
  <si>
    <t>KRLB001</t>
  </si>
  <si>
    <t>KRLB002</t>
  </si>
  <si>
    <t>KRLB003</t>
  </si>
  <si>
    <t>KRLB004</t>
  </si>
  <si>
    <t>KRLB005</t>
  </si>
  <si>
    <t>KRLB007</t>
  </si>
  <si>
    <t>KRLB008</t>
  </si>
  <si>
    <t>KRLB009</t>
  </si>
  <si>
    <t>KRLB011</t>
  </si>
  <si>
    <t>KRLB012</t>
  </si>
  <si>
    <t>KRLB013</t>
  </si>
  <si>
    <t>KRLB014</t>
  </si>
  <si>
    <t>KRLB015</t>
  </si>
  <si>
    <t>KRLB016</t>
  </si>
  <si>
    <t>KRLB017</t>
  </si>
  <si>
    <t>KRLB018</t>
  </si>
  <si>
    <t>KRLB019</t>
  </si>
  <si>
    <t>KRLB021</t>
  </si>
  <si>
    <t>KRLB022</t>
  </si>
  <si>
    <t>KRLB023</t>
  </si>
  <si>
    <t>KRLB025</t>
  </si>
  <si>
    <t>KRLB026</t>
  </si>
  <si>
    <t>KRLB028</t>
  </si>
  <si>
    <t>KRLB029</t>
  </si>
  <si>
    <t>KRLB030</t>
  </si>
  <si>
    <t>KRLB035</t>
  </si>
  <si>
    <t>KRLB036</t>
  </si>
  <si>
    <t>KRLB037</t>
  </si>
  <si>
    <t>KRLB038</t>
  </si>
  <si>
    <t>KRLB040</t>
  </si>
  <si>
    <t>KRLB041</t>
  </si>
  <si>
    <t>KRLB045</t>
  </si>
  <si>
    <t>KRLB046</t>
  </si>
  <si>
    <t>KRLB047</t>
  </si>
  <si>
    <t>KRLB048</t>
  </si>
  <si>
    <t>KRLB049</t>
  </si>
  <si>
    <t>KRLB050</t>
  </si>
  <si>
    <t>KRLB101</t>
  </si>
  <si>
    <t>KRLB102</t>
  </si>
  <si>
    <t>KRLB103</t>
  </si>
  <si>
    <t>KRLB104</t>
  </si>
  <si>
    <t>KRLB105</t>
  </si>
  <si>
    <t>KRLB106</t>
  </si>
  <si>
    <t>KRLB107</t>
  </si>
  <si>
    <t>KRLB108</t>
  </si>
  <si>
    <t>KRLB113</t>
  </si>
  <si>
    <t>KRLB114</t>
  </si>
  <si>
    <t>KRLB115</t>
  </si>
  <si>
    <t>KRLB116</t>
  </si>
  <si>
    <t>KRLB118</t>
  </si>
  <si>
    <t>KRLB119</t>
  </si>
  <si>
    <t>KRLB120</t>
  </si>
  <si>
    <t>KRLB121</t>
  </si>
  <si>
    <t>KRLB122</t>
  </si>
  <si>
    <t>KRLB123</t>
  </si>
  <si>
    <t>KRLB124</t>
  </si>
  <si>
    <t>KRLB125</t>
  </si>
  <si>
    <t>KRLB126</t>
  </si>
  <si>
    <t>KRLB127</t>
  </si>
  <si>
    <t>KRLB132</t>
  </si>
  <si>
    <t>KRLB133</t>
  </si>
  <si>
    <t>KRLB135</t>
  </si>
  <si>
    <t>KRLB138</t>
  </si>
  <si>
    <t>KRLB139</t>
  </si>
  <si>
    <t>KRLB140</t>
  </si>
  <si>
    <t>KRLB142</t>
  </si>
  <si>
    <t>KRLB143</t>
  </si>
  <si>
    <t>KRLB144</t>
  </si>
  <si>
    <t>KRLB151</t>
  </si>
  <si>
    <t>KRLB152</t>
  </si>
  <si>
    <t>KRLB153</t>
  </si>
  <si>
    <t>KRLB201</t>
  </si>
  <si>
    <t>KRLB202</t>
  </si>
  <si>
    <t>KRLB203</t>
  </si>
  <si>
    <t>KRLB204</t>
  </si>
  <si>
    <t>KRLB205</t>
  </si>
  <si>
    <t>KRLB206</t>
  </si>
  <si>
    <t>KRLB207</t>
  </si>
  <si>
    <t>KRLB208</t>
  </si>
  <si>
    <t>KRLB209</t>
  </si>
  <si>
    <t>KRLB211</t>
  </si>
  <si>
    <t>KRLB212</t>
  </si>
  <si>
    <t>KRLB213</t>
  </si>
  <si>
    <t>KRLB214</t>
  </si>
  <si>
    <t>KRLB215</t>
  </si>
  <si>
    <t>KRLB216</t>
  </si>
  <si>
    <t>KRLB217</t>
  </si>
  <si>
    <t>KRLB218</t>
  </si>
  <si>
    <t>KRLB219</t>
  </si>
  <si>
    <t>KRLB233</t>
  </si>
  <si>
    <t>KRLB235</t>
  </si>
  <si>
    <t>KRLB236</t>
  </si>
  <si>
    <t>KRLB237</t>
  </si>
  <si>
    <t>KRLB238</t>
  </si>
  <si>
    <t>KRLB239</t>
  </si>
  <si>
    <t>KRLB240</t>
  </si>
  <si>
    <t>KRLB241</t>
  </si>
  <si>
    <t>KRLB242</t>
  </si>
  <si>
    <t>KRLB243</t>
  </si>
  <si>
    <t>KRLB246</t>
  </si>
  <si>
    <t>KRLB247</t>
  </si>
  <si>
    <t>KRLB248</t>
  </si>
  <si>
    <t>KRLB249</t>
  </si>
  <si>
    <t>KRLB250</t>
  </si>
  <si>
    <t>KRLB251</t>
  </si>
  <si>
    <t>KRLB252</t>
  </si>
  <si>
    <t>KRLB253</t>
  </si>
  <si>
    <t>KRLB254</t>
  </si>
  <si>
    <t>KRLB255</t>
  </si>
  <si>
    <t>KRLB257</t>
  </si>
  <si>
    <t>KRLB258</t>
  </si>
  <si>
    <t>KRLB259</t>
  </si>
  <si>
    <t>KRLB260</t>
  </si>
  <si>
    <t>KRLB261</t>
  </si>
  <si>
    <t>KRLB263</t>
  </si>
  <si>
    <t>KRLB264</t>
  </si>
  <si>
    <t>KRLB266</t>
  </si>
  <si>
    <t>KRLB267</t>
  </si>
  <si>
    <t>KRLB269</t>
  </si>
  <si>
    <t>KRLB270</t>
  </si>
  <si>
    <t>KRLB272</t>
  </si>
  <si>
    <t>KRLB274</t>
  </si>
  <si>
    <t>KRLB276</t>
  </si>
  <si>
    <t>KRLB278</t>
  </si>
  <si>
    <t>KRLB283</t>
  </si>
  <si>
    <t>KRLB284</t>
  </si>
  <si>
    <t>KRLB289</t>
  </si>
  <si>
    <t>KRLB290</t>
  </si>
  <si>
    <t>KRLB292</t>
  </si>
  <si>
    <t>KRLB294</t>
  </si>
  <si>
    <t>KRLB295</t>
  </si>
  <si>
    <t>KRLB296</t>
  </si>
  <si>
    <t>KRLB297</t>
  </si>
  <si>
    <t>KRLB299</t>
  </si>
  <si>
    <t>KRLB305</t>
  </si>
  <si>
    <t>KRLB306</t>
  </si>
  <si>
    <t>KRLB307</t>
  </si>
  <si>
    <t>KRLB312</t>
  </si>
  <si>
    <t>KRLB314</t>
  </si>
  <si>
    <t>KRLB315</t>
  </si>
  <si>
    <t>KRLB317</t>
  </si>
  <si>
    <t>KRLB318</t>
  </si>
  <si>
    <t>KRLB321</t>
  </si>
  <si>
    <t>KRLB322</t>
  </si>
  <si>
    <t>KRLB501</t>
  </si>
  <si>
    <t>KRLB502</t>
  </si>
  <si>
    <t>KRLB503</t>
  </si>
  <si>
    <t>KRLB504</t>
  </si>
  <si>
    <t>KRLB505</t>
  </si>
  <si>
    <t>KRLB506</t>
  </si>
  <si>
    <t>KRLB508</t>
  </si>
  <si>
    <t>KRLB510</t>
  </si>
  <si>
    <t>KRLB511</t>
  </si>
  <si>
    <t>KRLB512</t>
  </si>
  <si>
    <t>KRLB514</t>
  </si>
  <si>
    <t>KRLB515</t>
  </si>
  <si>
    <t>KRLB516</t>
  </si>
  <si>
    <t>KRLB517</t>
  </si>
  <si>
    <t>KRLB518</t>
  </si>
  <si>
    <t>KRLB519</t>
  </si>
  <si>
    <t>KRLB520</t>
  </si>
  <si>
    <t>KRLB521</t>
  </si>
  <si>
    <t>KRLB524</t>
  </si>
  <si>
    <t>KRLB527</t>
  </si>
  <si>
    <t>KRLB531</t>
  </si>
  <si>
    <t>KRLB532</t>
  </si>
  <si>
    <t>KRLB533</t>
  </si>
  <si>
    <t>KRLB534</t>
  </si>
  <si>
    <t>KRLB537</t>
  </si>
  <si>
    <t>KRLB538</t>
  </si>
  <si>
    <t>KRLB539</t>
  </si>
  <si>
    <t>KRLB540</t>
  </si>
  <si>
    <t>KRLB541</t>
  </si>
  <si>
    <t>NBLB001</t>
  </si>
  <si>
    <t>NBLB002</t>
  </si>
  <si>
    <t>NBLB003</t>
  </si>
  <si>
    <t>NBLB004</t>
  </si>
  <si>
    <t>NBLB005</t>
  </si>
  <si>
    <t>NBLB006</t>
  </si>
  <si>
    <t>NBLB007</t>
  </si>
  <si>
    <t>NBLB008</t>
  </si>
  <si>
    <t>NBLB009</t>
  </si>
  <si>
    <t>NBLB011</t>
  </si>
  <si>
    <t>NBLB012</t>
  </si>
  <si>
    <t>NBLB013</t>
  </si>
  <si>
    <t>NBLB014</t>
  </si>
  <si>
    <t>NBLB015</t>
  </si>
  <si>
    <t>NBLB016</t>
  </si>
  <si>
    <t>NBLB017</t>
  </si>
  <si>
    <t>NBLB018</t>
  </si>
  <si>
    <t>NBLB019</t>
  </si>
  <si>
    <t>NBLB020</t>
  </si>
  <si>
    <t>NBLB022</t>
  </si>
  <si>
    <t>NBLB023</t>
  </si>
  <si>
    <t>NBLB025</t>
  </si>
  <si>
    <t>NBLB026</t>
  </si>
  <si>
    <t>NBLB027</t>
  </si>
  <si>
    <t>NBLB028</t>
  </si>
  <si>
    <t>NBLB029</t>
  </si>
  <si>
    <t>NBLB030</t>
  </si>
  <si>
    <t>NBLB035</t>
  </si>
  <si>
    <t>NBLB036</t>
  </si>
  <si>
    <t>NBLB037</t>
  </si>
  <si>
    <t>NBLB038</t>
  </si>
  <si>
    <t>NBLB040</t>
  </si>
  <si>
    <t>NBLB041</t>
  </si>
  <si>
    <t>NBLB043</t>
  </si>
  <si>
    <t>NBLB046</t>
  </si>
  <si>
    <t>NBLB047</t>
  </si>
  <si>
    <t>NBLB048</t>
  </si>
  <si>
    <t>NBLB049</t>
  </si>
  <si>
    <t>NBLB050</t>
  </si>
  <si>
    <t>NBLB101</t>
  </si>
  <si>
    <t>NBLB102</t>
  </si>
  <si>
    <t>NBLB103</t>
  </si>
  <si>
    <t>NBLB104</t>
  </si>
  <si>
    <t>NBLB105</t>
  </si>
  <si>
    <t>NBLB106</t>
  </si>
  <si>
    <t>NBLB107</t>
  </si>
  <si>
    <t>NBLB108</t>
  </si>
  <si>
    <t>NBLB113</t>
  </si>
  <si>
    <t>NBLB114</t>
  </si>
  <si>
    <t>NBLB115</t>
  </si>
  <si>
    <t>NBLB116</t>
  </si>
  <si>
    <t>NBLB117</t>
  </si>
  <si>
    <t>NBLB118</t>
  </si>
  <si>
    <t>NBLB119</t>
  </si>
  <si>
    <t>NBLB120</t>
  </si>
  <si>
    <t>NBLB122</t>
  </si>
  <si>
    <t>NBLB123</t>
  </si>
  <si>
    <t>NBLB125</t>
  </si>
  <si>
    <t>NBLB126</t>
  </si>
  <si>
    <t>NBLB127</t>
  </si>
  <si>
    <t>NBLB129</t>
  </si>
  <si>
    <t>NBLB132</t>
  </si>
  <si>
    <t>NBLB133</t>
  </si>
  <si>
    <t>NBLB135</t>
  </si>
  <si>
    <t>NBLB138</t>
  </si>
  <si>
    <t>NBLB140</t>
  </si>
  <si>
    <t>NBLB142</t>
  </si>
  <si>
    <t>NBLB143</t>
  </si>
  <si>
    <t>NBLB151</t>
  </si>
  <si>
    <t>NBLB152</t>
  </si>
  <si>
    <t>NBLB153</t>
  </si>
  <si>
    <t>NBLB201</t>
  </si>
  <si>
    <t>NBLB202</t>
  </si>
  <si>
    <t>NBLB203</t>
  </si>
  <si>
    <t>NBLB204</t>
  </si>
  <si>
    <t>NBLB205</t>
  </si>
  <si>
    <t>NBLB206</t>
  </si>
  <si>
    <t>NBLB207</t>
  </si>
  <si>
    <t>NBLB208</t>
  </si>
  <si>
    <t>NBLB209</t>
  </si>
  <si>
    <t>NBLB211</t>
  </si>
  <si>
    <t>NBLB212</t>
  </si>
  <si>
    <t>NBLB213</t>
  </si>
  <si>
    <t>NBLB214</t>
  </si>
  <si>
    <t>NBLB215</t>
  </si>
  <si>
    <t>NBLB216</t>
  </si>
  <si>
    <t>NBLB217</t>
  </si>
  <si>
    <t>NBLB218</t>
  </si>
  <si>
    <t>NBLB219</t>
  </si>
  <si>
    <t>NBLB233</t>
  </si>
  <si>
    <t>NBLB235</t>
  </si>
  <si>
    <t>NBLB236</t>
  </si>
  <si>
    <t>NBLB237</t>
  </si>
  <si>
    <t>NBLB241</t>
  </si>
  <si>
    <t>NBLB242</t>
  </si>
  <si>
    <t>NBLB243</t>
  </si>
  <si>
    <t>NBLB245</t>
  </si>
  <si>
    <t>NBLB246</t>
  </si>
  <si>
    <t>NBLB247</t>
  </si>
  <si>
    <t>NBLB248</t>
  </si>
  <si>
    <t>NBLB249</t>
  </si>
  <si>
    <t>NBLB250</t>
  </si>
  <si>
    <t>NBLB251</t>
  </si>
  <si>
    <t>NBLB253</t>
  </si>
  <si>
    <t>NBLB254</t>
  </si>
  <si>
    <t>NBLB255</t>
  </si>
  <si>
    <t>NBLB257</t>
  </si>
  <si>
    <t>NBLB258</t>
  </si>
  <si>
    <t>NBLB260</t>
  </si>
  <si>
    <t>NBLB264</t>
  </si>
  <si>
    <t>NBLB266</t>
  </si>
  <si>
    <t>NBLB272</t>
  </si>
  <si>
    <t>NBLB274</t>
  </si>
  <si>
    <t>NBLB276</t>
  </si>
  <si>
    <t>NBLB278</t>
  </si>
  <si>
    <t>NBLB283</t>
  </si>
  <si>
    <t>NBLB284</t>
  </si>
  <si>
    <t>NBLB286</t>
  </si>
  <si>
    <t>NBLB289</t>
  </si>
  <si>
    <t>NBLB290</t>
  </si>
  <si>
    <t>NBLB292</t>
  </si>
  <si>
    <t>NBLB294</t>
  </si>
  <si>
    <t>NBLB297</t>
  </si>
  <si>
    <t>NBLB306</t>
  </si>
  <si>
    <t>NBLB307</t>
  </si>
  <si>
    <t>NBLB312</t>
  </si>
  <si>
    <t>NBLB314</t>
  </si>
  <si>
    <t>NBLB315</t>
  </si>
  <si>
    <t>NBLB319</t>
  </si>
  <si>
    <t>NBLB321</t>
  </si>
  <si>
    <t>NBLB322</t>
  </si>
  <si>
    <t>NBLB501</t>
  </si>
  <si>
    <t>NBLB502</t>
  </si>
  <si>
    <t>NBLB503</t>
  </si>
  <si>
    <t>NBLB504</t>
  </si>
  <si>
    <t>NBLB506</t>
  </si>
  <si>
    <t>NBLB508</t>
  </si>
  <si>
    <t>NBLB510</t>
  </si>
  <si>
    <t>NBLB511</t>
  </si>
  <si>
    <t>NBLB512</t>
  </si>
  <si>
    <t>NBLB516</t>
  </si>
  <si>
    <t>NBLB517</t>
  </si>
  <si>
    <t>NBLB518</t>
  </si>
  <si>
    <t>NBLB519</t>
  </si>
  <si>
    <t>NBLB523</t>
  </si>
  <si>
    <t>NBLB527</t>
  </si>
  <si>
    <t>NBLB531</t>
  </si>
  <si>
    <t>NBLB532</t>
  </si>
  <si>
    <t>NBLB533</t>
  </si>
  <si>
    <t>NBLB537</t>
  </si>
  <si>
    <t>NBLB538</t>
  </si>
  <si>
    <t>NBLB539</t>
  </si>
  <si>
    <t>NBLB540</t>
  </si>
  <si>
    <t>NBLB541</t>
  </si>
  <si>
    <t>NOVB001</t>
  </si>
  <si>
    <t>NOVB002</t>
  </si>
  <si>
    <t>NOVB003</t>
  </si>
  <si>
    <t>NOVB004</t>
  </si>
  <si>
    <t>NOVB005</t>
  </si>
  <si>
    <t>NOVB007</t>
  </si>
  <si>
    <t>NOVB008</t>
  </si>
  <si>
    <t>NOVB009</t>
  </si>
  <si>
    <t>NOVB011</t>
  </si>
  <si>
    <t>NOVB012</t>
  </si>
  <si>
    <t>NOVB013</t>
  </si>
  <si>
    <t>NOVB014</t>
  </si>
  <si>
    <t>NOVB015</t>
  </si>
  <si>
    <t>NOVB016</t>
  </si>
  <si>
    <t>NOVB017</t>
  </si>
  <si>
    <t>NOVB018</t>
  </si>
  <si>
    <t>NOVB019</t>
  </si>
  <si>
    <t>NOVB021</t>
  </si>
  <si>
    <t>NOVB022</t>
  </si>
  <si>
    <t>NOVB023</t>
  </si>
  <si>
    <t>NOVB025</t>
  </si>
  <si>
    <t>NOVB026</t>
  </si>
  <si>
    <t>NOVB027</t>
  </si>
  <si>
    <t>NOVB028</t>
  </si>
  <si>
    <t>NOVB030</t>
  </si>
  <si>
    <t>NOVB035</t>
  </si>
  <si>
    <t>NOVB036</t>
  </si>
  <si>
    <t>NOVB037</t>
  </si>
  <si>
    <t>NOVB040</t>
  </si>
  <si>
    <t>NOVB041</t>
  </si>
  <si>
    <t>NOVB043</t>
  </si>
  <si>
    <t>NOVB045</t>
  </si>
  <si>
    <t>NOVB046</t>
  </si>
  <si>
    <t>NOVB048</t>
  </si>
  <si>
    <t>NOVB049</t>
  </si>
  <si>
    <t>NOVB050</t>
  </si>
  <si>
    <t>NOVB101</t>
  </si>
  <si>
    <t>NOVB102</t>
  </si>
  <si>
    <t>NOVB103</t>
  </si>
  <si>
    <t>NOVB104</t>
  </si>
  <si>
    <t>NOVB105</t>
  </si>
  <si>
    <t>NOVB106</t>
  </si>
  <si>
    <t>NOVB107</t>
  </si>
  <si>
    <t>NOVB108</t>
  </si>
  <si>
    <t>NOVB113</t>
  </si>
  <si>
    <t>NOVB114</t>
  </si>
  <si>
    <t>NOVB115</t>
  </si>
  <si>
    <t>NOVB116</t>
  </si>
  <si>
    <t>NOVB117</t>
  </si>
  <si>
    <t>NOVB118</t>
  </si>
  <si>
    <t>NOVB119</t>
  </si>
  <si>
    <t>NOVB120</t>
  </si>
  <si>
    <t>NOVB121</t>
  </si>
  <si>
    <t>NOVB122</t>
  </si>
  <si>
    <t>NOVB123</t>
  </si>
  <si>
    <t>NOVB124</t>
  </si>
  <si>
    <t>NOVB125</t>
  </si>
  <si>
    <t>NOVB126</t>
  </si>
  <si>
    <t>NOVB127</t>
  </si>
  <si>
    <t>NOVB129</t>
  </si>
  <si>
    <t>NOVB132</t>
  </si>
  <si>
    <t>NOVB133</t>
  </si>
  <si>
    <t>NOVB135</t>
  </si>
  <si>
    <t>NOVB142</t>
  </si>
  <si>
    <t>NOVB143</t>
  </si>
  <si>
    <t>NOVB144</t>
  </si>
  <si>
    <t>NOVB151</t>
  </si>
  <si>
    <t>NOVB152</t>
  </si>
  <si>
    <t>NOVB153</t>
  </si>
  <si>
    <t>NOVB201</t>
  </si>
  <si>
    <t>NOVB202</t>
  </si>
  <si>
    <t>NOVB203</t>
  </si>
  <si>
    <t>NOVB204</t>
  </si>
  <si>
    <t>NOVB205</t>
  </si>
  <si>
    <t>NOVB206</t>
  </si>
  <si>
    <t>NOVB207</t>
  </si>
  <si>
    <t>NOVB208</t>
  </si>
  <si>
    <t>NOVB209</t>
  </si>
  <si>
    <t>NOVB211</t>
  </si>
  <si>
    <t>NOVB212</t>
  </si>
  <si>
    <t>NOVB213</t>
  </si>
  <si>
    <t>NOVB214</t>
  </si>
  <si>
    <t>NOVB215</t>
  </si>
  <si>
    <t>NOVB216</t>
  </si>
  <si>
    <t>NOVB217</t>
  </si>
  <si>
    <t>NOVB218</t>
  </si>
  <si>
    <t>NOVB219</t>
  </si>
  <si>
    <t>NOVB233</t>
  </si>
  <si>
    <t>NOVB235</t>
  </si>
  <si>
    <t>NOVB236</t>
  </si>
  <si>
    <t>NOVB237</t>
  </si>
  <si>
    <t>NOVB240</t>
  </si>
  <si>
    <t>NOVB241</t>
  </si>
  <si>
    <t>NOVB242</t>
  </si>
  <si>
    <t>NOVB243</t>
  </si>
  <si>
    <t>NOVB244</t>
  </si>
  <si>
    <t>NOVB246</t>
  </si>
  <si>
    <t>NOVB247</t>
  </si>
  <si>
    <t>NOVB248</t>
  </si>
  <si>
    <t>NOVB249</t>
  </si>
  <si>
    <t>NOVB250</t>
  </si>
  <si>
    <t>NOVB251</t>
  </si>
  <si>
    <t>NOVB253</t>
  </si>
  <si>
    <t>NOVB254</t>
  </si>
  <si>
    <t>NOVB255</t>
  </si>
  <si>
    <t>NOVB257</t>
  </si>
  <si>
    <t>NOVB258</t>
  </si>
  <si>
    <t>NOVB259</t>
  </si>
  <si>
    <t>NOVB260</t>
  </si>
  <si>
    <t>NOVB261</t>
  </si>
  <si>
    <t>NOVB262</t>
  </si>
  <si>
    <t>NOVB263</t>
  </si>
  <si>
    <t>NOVB264</t>
  </si>
  <si>
    <t>NOVB266</t>
  </si>
  <si>
    <t>NOVB267</t>
  </si>
  <si>
    <t>NOVB268</t>
  </si>
  <si>
    <t>NOVB269</t>
  </si>
  <si>
    <t>NOVB270</t>
  </si>
  <si>
    <t>NOVB272</t>
  </si>
  <si>
    <t>NOVB274</t>
  </si>
  <si>
    <t>NOVB275</t>
  </si>
  <si>
    <t>NOVB276</t>
  </si>
  <si>
    <t>NOVB278</t>
  </si>
  <si>
    <t>NOVB280</t>
  </si>
  <si>
    <t>NOVB283</t>
  </si>
  <si>
    <t>NOVB284</t>
  </si>
  <si>
    <t>NOVB286</t>
  </si>
  <si>
    <t>NOVB289</t>
  </si>
  <si>
    <t>NOVB290</t>
  </si>
  <si>
    <t>NOVB292</t>
  </si>
  <si>
    <t>NOVB294</t>
  </si>
  <si>
    <t>NOVB297</t>
  </si>
  <si>
    <t>NOVB315</t>
  </si>
  <si>
    <t>NOVB321</t>
  </si>
  <si>
    <t>NOVB322</t>
  </si>
  <si>
    <t>NOVB501</t>
  </si>
  <si>
    <t>NOVB502</t>
  </si>
  <si>
    <t>NOVB503</t>
  </si>
  <si>
    <t>NOVB504</t>
  </si>
  <si>
    <t>NOVB505</t>
  </si>
  <si>
    <t>NOVB508</t>
  </si>
  <si>
    <t>NOVB510</t>
  </si>
  <si>
    <t>NOVB511</t>
  </si>
  <si>
    <t>NOVB512</t>
  </si>
  <si>
    <t>NOVB513</t>
  </si>
  <si>
    <t>NOVB517</t>
  </si>
  <si>
    <t>NOVB518</t>
  </si>
  <si>
    <t>NOVB519</t>
  </si>
  <si>
    <t>NOVB523</t>
  </si>
  <si>
    <t>NOVB524</t>
  </si>
  <si>
    <t>NOVB527</t>
  </si>
  <si>
    <t>NOVB538</t>
  </si>
  <si>
    <t>NOVB539</t>
  </si>
  <si>
    <t>NOVB540</t>
  </si>
  <si>
    <t>NOVB541</t>
  </si>
  <si>
    <t>PIBB001</t>
  </si>
  <si>
    <t>PIBB002</t>
  </si>
  <si>
    <t>PIBB003</t>
  </si>
  <si>
    <t>PIBB004</t>
  </si>
  <si>
    <t>PIBB005</t>
  </si>
  <si>
    <t>PIBB006</t>
  </si>
  <si>
    <t>PIBB007</t>
  </si>
  <si>
    <t>PIBB008</t>
  </si>
  <si>
    <t>PIBB009</t>
  </si>
  <si>
    <t>PIBB011</t>
  </si>
  <si>
    <t>PIBB012</t>
  </si>
  <si>
    <t>PIBB013</t>
  </si>
  <si>
    <t>PIBB014</t>
  </si>
  <si>
    <t>PIBB015</t>
  </si>
  <si>
    <t>PIBB016</t>
  </si>
  <si>
    <t>PIBB017</t>
  </si>
  <si>
    <t>PIBB018</t>
  </si>
  <si>
    <t>PIBB019</t>
  </si>
  <si>
    <t>PIBB021</t>
  </si>
  <si>
    <t>PIBB022</t>
  </si>
  <si>
    <t>PIBB025</t>
  </si>
  <si>
    <t>PIBB026</t>
  </si>
  <si>
    <t>PIBB029</t>
  </si>
  <si>
    <t>PIBB030</t>
  </si>
  <si>
    <t>PIBB035</t>
  </si>
  <si>
    <t>PIBB036</t>
  </si>
  <si>
    <t>PIBB037</t>
  </si>
  <si>
    <t>PIBB038</t>
  </si>
  <si>
    <t>PIBB040</t>
  </si>
  <si>
    <t>PIBB041</t>
  </si>
  <si>
    <t>PIBB045</t>
  </si>
  <si>
    <t>PIBB047</t>
  </si>
  <si>
    <t>PIBB048</t>
  </si>
  <si>
    <t>PIBB049</t>
  </si>
  <si>
    <t>PIBB050</t>
  </si>
  <si>
    <t>PIBB101</t>
  </si>
  <si>
    <t>PIBB102</t>
  </si>
  <si>
    <t>PIBB103</t>
  </si>
  <si>
    <t>PIBB104</t>
  </si>
  <si>
    <t>PIBB105</t>
  </si>
  <si>
    <t>PIBB106</t>
  </si>
  <si>
    <t>PIBB107</t>
  </si>
  <si>
    <t>PIBB108</t>
  </si>
  <si>
    <t>PIBB113</t>
  </si>
  <si>
    <t>PIBB115</t>
  </si>
  <si>
    <t>PIBB116</t>
  </si>
  <si>
    <t>PIBB117</t>
  </si>
  <si>
    <t>PIBB118</t>
  </si>
  <si>
    <t>PIBB119</t>
  </si>
  <si>
    <t>PIBB120</t>
  </si>
  <si>
    <t>PIBB122</t>
  </si>
  <si>
    <t>PIBB125</t>
  </si>
  <si>
    <t>PIBB126</t>
  </si>
  <si>
    <t>PIBB127</t>
  </si>
  <si>
    <t>PIBB132</t>
  </si>
  <si>
    <t>PIBB134</t>
  </si>
  <si>
    <t>PIBB135</t>
  </si>
  <si>
    <t>PIBB138</t>
  </si>
  <si>
    <t>PIBB139</t>
  </si>
  <si>
    <t>PIBB142</t>
  </si>
  <si>
    <t>PIBB143</t>
  </si>
  <si>
    <t>PIBB144</t>
  </si>
  <si>
    <t>PIBB147</t>
  </si>
  <si>
    <t>PIBB151</t>
  </si>
  <si>
    <t>PIBB152</t>
  </si>
  <si>
    <t>PIBB153</t>
  </si>
  <si>
    <t>PIBB201</t>
  </si>
  <si>
    <t>PIBB202</t>
  </si>
  <si>
    <t>PIBB203</t>
  </si>
  <si>
    <t>PIBB204</t>
  </si>
  <si>
    <t>PIBB205</t>
  </si>
  <si>
    <t>PIBB206</t>
  </si>
  <si>
    <t>PIBB207</t>
  </si>
  <si>
    <t>PIBB208</t>
  </si>
  <si>
    <t>PIBB209</t>
  </si>
  <si>
    <t>PIBB211</t>
  </si>
  <si>
    <t>PIBB212</t>
  </si>
  <si>
    <t>PIBB213</t>
  </si>
  <si>
    <t>PIBB214</t>
  </si>
  <si>
    <t>PIBB215</t>
  </si>
  <si>
    <t>PIBB216</t>
  </si>
  <si>
    <t>PIBB217</t>
  </si>
  <si>
    <t>PIBB218</t>
  </si>
  <si>
    <t>PIBB219</t>
  </si>
  <si>
    <t>PIBB233</t>
  </si>
  <si>
    <t>PIBB235</t>
  </si>
  <si>
    <t>PIBB236</t>
  </si>
  <si>
    <t>PIBB237</t>
  </si>
  <si>
    <t>PIBB241</t>
  </si>
  <si>
    <t>PIBB242</t>
  </si>
  <si>
    <t>PIBB243</t>
  </si>
  <si>
    <t>PIBB246</t>
  </si>
  <si>
    <t>PIBB247</t>
  </si>
  <si>
    <t>PIBB248</t>
  </si>
  <si>
    <t>PIBB249</t>
  </si>
  <si>
    <t>PIBB250</t>
  </si>
  <si>
    <t>PIBB251</t>
  </si>
  <si>
    <t>PIBB252</t>
  </si>
  <si>
    <t>PIBB253</t>
  </si>
  <si>
    <t>PIBB254</t>
  </si>
  <si>
    <t>PIBB255</t>
  </si>
  <si>
    <t>PIBB257</t>
  </si>
  <si>
    <t>PIBB258</t>
  </si>
  <si>
    <t>PIBB259</t>
  </si>
  <si>
    <t>PIBB262</t>
  </si>
  <si>
    <t>PIBB264</t>
  </si>
  <si>
    <t>PIBB266</t>
  </si>
  <si>
    <t>PIBB267</t>
  </si>
  <si>
    <t>PIBB269</t>
  </si>
  <si>
    <t>PIBB272</t>
  </si>
  <si>
    <t>PIBB274</t>
  </si>
  <si>
    <t>PIBB277</t>
  </si>
  <si>
    <t>PIBB278</t>
  </si>
  <si>
    <t>PIBB283</t>
  </si>
  <si>
    <t>PIBB284</t>
  </si>
  <si>
    <t>PIBB289</t>
  </si>
  <si>
    <t>PIBB290</t>
  </si>
  <si>
    <t>PIBB292</t>
  </si>
  <si>
    <t>PIBB297</t>
  </si>
  <si>
    <t>PIBB315</t>
  </si>
  <si>
    <t>PIBB317</t>
  </si>
  <si>
    <t>PIBB318</t>
  </si>
  <si>
    <t>PIBB321</t>
  </si>
  <si>
    <t>PIBB322</t>
  </si>
  <si>
    <t>PIBB501</t>
  </si>
  <si>
    <t>PIBB502</t>
  </si>
  <si>
    <t>PIBB503</t>
  </si>
  <si>
    <t>PIBB504</t>
  </si>
  <si>
    <t>PIBB506</t>
  </si>
  <si>
    <t>PIBB508</t>
  </si>
  <si>
    <t>PIBB511</t>
  </si>
  <si>
    <t>PIBB512</t>
  </si>
  <si>
    <t>PIBB513</t>
  </si>
  <si>
    <t>PIBB518</t>
  </si>
  <si>
    <t>PIBB519</t>
  </si>
  <si>
    <t>PIBB527</t>
  </si>
  <si>
    <t>PIBB532</t>
  </si>
  <si>
    <t>PIBB533</t>
  </si>
  <si>
    <t>PIBB537</t>
  </si>
  <si>
    <t>PIBB538</t>
  </si>
  <si>
    <t>PIBB539</t>
  </si>
  <si>
    <t>PIBB540</t>
  </si>
  <si>
    <t>PIBB541</t>
  </si>
  <si>
    <t>VBBB001</t>
  </si>
  <si>
    <t>VBBB002</t>
  </si>
  <si>
    <t>VBBB003</t>
  </si>
  <si>
    <t>VBBB004</t>
  </si>
  <si>
    <t>VBBB005</t>
  </si>
  <si>
    <t>VBBB007</t>
  </si>
  <si>
    <t>VBBB008</t>
  </si>
  <si>
    <t>VBBB009</t>
  </si>
  <si>
    <t>VBBB011</t>
  </si>
  <si>
    <t>VBBB012</t>
  </si>
  <si>
    <t>VBBB013</t>
  </si>
  <si>
    <t>VBBB014</t>
  </si>
  <si>
    <t>VBBB015</t>
  </si>
  <si>
    <t>VBBB016</t>
  </si>
  <si>
    <t>VBBB017</t>
  </si>
  <si>
    <t>VBBB018</t>
  </si>
  <si>
    <t>VBBB019</t>
  </si>
  <si>
    <t>VBBB020</t>
  </si>
  <si>
    <t>VBBB021</t>
  </si>
  <si>
    <t>VBBB022</t>
  </si>
  <si>
    <t>VBBB024</t>
  </si>
  <si>
    <t>VBBB025</t>
  </si>
  <si>
    <t>VBBB026</t>
  </si>
  <si>
    <t>VBBB027</t>
  </si>
  <si>
    <t>VBBB028</t>
  </si>
  <si>
    <t>VBBB029</t>
  </si>
  <si>
    <t>VBBB030</t>
  </si>
  <si>
    <t>VBBB031</t>
  </si>
  <si>
    <t>VBBB035</t>
  </si>
  <si>
    <t>VBBB036</t>
  </si>
  <si>
    <t>VBBB037</t>
  </si>
  <si>
    <t>VBBB038</t>
  </si>
  <si>
    <t>VBBB040</t>
  </si>
  <si>
    <t>VBBB041</t>
  </si>
  <si>
    <t>VBBB045</t>
  </si>
  <si>
    <t>VBBB047</t>
  </si>
  <si>
    <t>VBBB048</t>
  </si>
  <si>
    <t>VBBB049</t>
  </si>
  <si>
    <t>VBBB050</t>
  </si>
  <si>
    <t>VBBB101</t>
  </si>
  <si>
    <t>VBBB102</t>
  </si>
  <si>
    <t>VBBB103</t>
  </si>
  <si>
    <t>VBBB104</t>
  </si>
  <si>
    <t>VBBB105</t>
  </si>
  <si>
    <t>VBBB106</t>
  </si>
  <si>
    <t>VBBB107</t>
  </si>
  <si>
    <t>VBBB108</t>
  </si>
  <si>
    <t>VBBB113</t>
  </si>
  <si>
    <t>VBBB115</t>
  </si>
  <si>
    <t>VBBB116</t>
  </si>
  <si>
    <t>VBBB117</t>
  </si>
  <si>
    <t>VBBB118</t>
  </si>
  <si>
    <t>VBBB119</t>
  </si>
  <si>
    <t>VBBB120</t>
  </si>
  <si>
    <t>VBBB121</t>
  </si>
  <si>
    <t>VBBB122</t>
  </si>
  <si>
    <t>VBBB123</t>
  </si>
  <si>
    <t>VBBB124</t>
  </si>
  <si>
    <t>VBBB125</t>
  </si>
  <si>
    <t>VBBB126</t>
  </si>
  <si>
    <t>VBBB127</t>
  </si>
  <si>
    <t>VBBB129</t>
  </si>
  <si>
    <t>VBBB132</t>
  </si>
  <si>
    <t>VBBB133</t>
  </si>
  <si>
    <t>VBBB135</t>
  </si>
  <si>
    <t>VBBB138</t>
  </si>
  <si>
    <t>VBBB139</t>
  </si>
  <si>
    <t>VBBB140</t>
  </si>
  <si>
    <t>VBBB142</t>
  </si>
  <si>
    <t>VBBB143</t>
  </si>
  <si>
    <t>VBBB144</t>
  </si>
  <si>
    <t>VBBB151</t>
  </si>
  <si>
    <t>VBBB152</t>
  </si>
  <si>
    <t>VBBB153</t>
  </si>
  <si>
    <t>VBBB201</t>
  </si>
  <si>
    <t>VBBB202</t>
  </si>
  <si>
    <t>VBBB203</t>
  </si>
  <si>
    <t>VBBB204</t>
  </si>
  <si>
    <t>VBBB205</t>
  </si>
  <si>
    <t>VBBB206</t>
  </si>
  <si>
    <t>VBBB207</t>
  </si>
  <si>
    <t>VBBB208</t>
  </si>
  <si>
    <t>VBBB209</t>
  </si>
  <si>
    <t>VBBB211</t>
  </si>
  <si>
    <t>VBBB212</t>
  </si>
  <si>
    <t>VBBB213</t>
  </si>
  <si>
    <t>VBBB214</t>
  </si>
  <si>
    <t>VBBB215</t>
  </si>
  <si>
    <t>VBBB216</t>
  </si>
  <si>
    <t>VBBB217</t>
  </si>
  <si>
    <t>VBBB218</t>
  </si>
  <si>
    <t>VBBB219</t>
  </si>
  <si>
    <t>VBBB221</t>
  </si>
  <si>
    <t>VBBB231</t>
  </si>
  <si>
    <t>VBBB233</t>
  </si>
  <si>
    <t>VBBB235</t>
  </si>
  <si>
    <t>VBBB236</t>
  </si>
  <si>
    <t>VBBB237</t>
  </si>
  <si>
    <t>VBBB238</t>
  </si>
  <si>
    <t>VBBB239</t>
  </si>
  <si>
    <t>VBBB240</t>
  </si>
  <si>
    <t>VBBB241</t>
  </si>
  <si>
    <t>VBBB242</t>
  </si>
  <si>
    <t>VBBB243</t>
  </si>
  <si>
    <t>VBBB244</t>
  </si>
  <si>
    <t>VBBB246</t>
  </si>
  <si>
    <t>VBBB247</t>
  </si>
  <si>
    <t>VBBB248</t>
  </si>
  <si>
    <t>VBBB249</t>
  </si>
  <si>
    <t>VBBB250</t>
  </si>
  <si>
    <t>VBBB251</t>
  </si>
  <si>
    <t>VBBB252</t>
  </si>
  <si>
    <t>VBBB253</t>
  </si>
  <si>
    <t>VBBB254</t>
  </si>
  <si>
    <t>VBBB255</t>
  </si>
  <si>
    <t>VBBB257</t>
  </si>
  <si>
    <t>VBBB258</t>
  </si>
  <si>
    <t>VBBB259</t>
  </si>
  <si>
    <t>VBBB260</t>
  </si>
  <si>
    <t>VBBB261</t>
  </si>
  <si>
    <t>VBBB262</t>
  </si>
  <si>
    <t>VBBB264</t>
  </si>
  <si>
    <t>VBBB266</t>
  </si>
  <si>
    <t>VBBB268</t>
  </si>
  <si>
    <t>VBBB269</t>
  </si>
  <si>
    <t>VBBB272</t>
  </si>
  <si>
    <t>VBBB274</t>
  </si>
  <si>
    <t>VBBB276</t>
  </si>
  <si>
    <t>VBBB278</t>
  </si>
  <si>
    <t>VBBB280</t>
  </si>
  <si>
    <t>VBBB283</t>
  </si>
  <si>
    <t>VBBB284</t>
  </si>
  <si>
    <t>VBBB286</t>
  </si>
  <si>
    <t>VBBB289</t>
  </si>
  <si>
    <t>VBBB290</t>
  </si>
  <si>
    <t>VBBB292</t>
  </si>
  <si>
    <t>VBBB294</t>
  </si>
  <si>
    <t>VBBB295</t>
  </si>
  <si>
    <t>VBBB296</t>
  </si>
  <si>
    <t>VBBB297</t>
  </si>
  <si>
    <t>VBBB299</t>
  </si>
  <si>
    <t>VBBB300</t>
  </si>
  <si>
    <t>VBBB306</t>
  </si>
  <si>
    <t>VBBB311</t>
  </si>
  <si>
    <t>VBBB312</t>
  </si>
  <si>
    <t>VBBB314</t>
  </si>
  <si>
    <t>VBBB315</t>
  </si>
  <si>
    <t>VBBB319</t>
  </si>
  <si>
    <t>VBBB321</t>
  </si>
  <si>
    <t>VBBB322</t>
  </si>
  <si>
    <t>VBBB323</t>
  </si>
  <si>
    <t>VBBB501</t>
  </si>
  <si>
    <t>VBBB502</t>
  </si>
  <si>
    <t>VBBB503</t>
  </si>
  <si>
    <t>VBBB504</t>
  </si>
  <si>
    <t>VBBB508</t>
  </si>
  <si>
    <t>VBBB510</t>
  </si>
  <si>
    <t>VBBB511</t>
  </si>
  <si>
    <t>VBBB512</t>
  </si>
  <si>
    <t>VBBB515</t>
  </si>
  <si>
    <t>VBBB518</t>
  </si>
  <si>
    <t>VBBB519</t>
  </si>
  <si>
    <t>VBBB524</t>
  </si>
  <si>
    <t>VBBB527</t>
  </si>
  <si>
    <t>VBBB531</t>
  </si>
  <si>
    <t>VBBB532</t>
  </si>
  <si>
    <t>VBBB533</t>
  </si>
  <si>
    <t>VBBB537</t>
  </si>
  <si>
    <t>VBBB538</t>
  </si>
  <si>
    <t>VBBB539</t>
  </si>
  <si>
    <t>VBBB540</t>
  </si>
  <si>
    <t>VBBB541</t>
  </si>
  <si>
    <t>ZPKB001</t>
  </si>
  <si>
    <t>ZPKB002</t>
  </si>
  <si>
    <t>ZPKB003</t>
  </si>
  <si>
    <t>ZPKB004</t>
  </si>
  <si>
    <t>ZPKB007</t>
  </si>
  <si>
    <t>ZPKB008</t>
  </si>
  <si>
    <t>ZPKB009</t>
  </si>
  <si>
    <t>ZPKB011</t>
  </si>
  <si>
    <t>ZPKB012</t>
  </si>
  <si>
    <t>ZPKB013</t>
  </si>
  <si>
    <t>ZPKB014</t>
  </si>
  <si>
    <t>ZPKB015</t>
  </si>
  <si>
    <t>ZPKB016</t>
  </si>
  <si>
    <t>ZPKB017</t>
  </si>
  <si>
    <t>ZPKB018</t>
  </si>
  <si>
    <t>ZPKB019</t>
  </si>
  <si>
    <t>ZPKB021</t>
  </si>
  <si>
    <t>ZPKB022</t>
  </si>
  <si>
    <t>ZPKB025</t>
  </si>
  <si>
    <t>ZPKB026</t>
  </si>
  <si>
    <t>ZPKB027</t>
  </si>
  <si>
    <t>ZPKB028</t>
  </si>
  <si>
    <t>ZPKB029</t>
  </si>
  <si>
    <t>ZPKB030</t>
  </si>
  <si>
    <t>ZPKB035</t>
  </si>
  <si>
    <t>ZPKB036</t>
  </si>
  <si>
    <t>ZPKB037</t>
  </si>
  <si>
    <t>ZPKB040</t>
  </si>
  <si>
    <t>ZPKB041</t>
  </si>
  <si>
    <t>ZPKB045</t>
  </si>
  <si>
    <t>ZPKB046</t>
  </si>
  <si>
    <t>ZPKB048</t>
  </si>
  <si>
    <t>ZPKB050</t>
  </si>
  <si>
    <t>ZPKB101</t>
  </si>
  <si>
    <t>ZPKB102</t>
  </si>
  <si>
    <t>ZPKB103</t>
  </si>
  <si>
    <t>ZPKB104</t>
  </si>
  <si>
    <t>ZPKB105</t>
  </si>
  <si>
    <t>ZPKB106</t>
  </si>
  <si>
    <t>ZPKB107</t>
  </si>
  <si>
    <t>ZPKB108</t>
  </si>
  <si>
    <t>ZPKB113</t>
  </si>
  <si>
    <t>ZPKB114</t>
  </si>
  <si>
    <t>ZPKB115</t>
  </si>
  <si>
    <t>ZPKB116</t>
  </si>
  <si>
    <t>ZPKB117</t>
  </si>
  <si>
    <t>ZPKB118</t>
  </si>
  <si>
    <t>ZPKB119</t>
  </si>
  <si>
    <t>ZPKB120</t>
  </si>
  <si>
    <t>ZPKB121</t>
  </si>
  <si>
    <t>ZPKB122</t>
  </si>
  <si>
    <t>ZPKB123</t>
  </si>
  <si>
    <t>ZPKB125</t>
  </si>
  <si>
    <t>ZPKB126</t>
  </si>
  <si>
    <t>ZPKB127</t>
  </si>
  <si>
    <t>ZPKB129</t>
  </si>
  <si>
    <t>ZPKB132</t>
  </si>
  <si>
    <t>ZPKB133</t>
  </si>
  <si>
    <t>ZPKB135</t>
  </si>
  <si>
    <t>ZPKB138</t>
  </si>
  <si>
    <t>ZPKB139</t>
  </si>
  <si>
    <t>ZPKB142</t>
  </si>
  <si>
    <t>ZPKB143</t>
  </si>
  <si>
    <t>ZPKB144</t>
  </si>
  <si>
    <t>ZPKB151</t>
  </si>
  <si>
    <t>ZPKB153</t>
  </si>
  <si>
    <t>ZPKB201</t>
  </si>
  <si>
    <t>ZPKB202</t>
  </si>
  <si>
    <t>ZPKB203</t>
  </si>
  <si>
    <t>ZPKB204</t>
  </si>
  <si>
    <t>ZPKB205</t>
  </si>
  <si>
    <t>ZPKB206</t>
  </si>
  <si>
    <t>ZPKB207</t>
  </si>
  <si>
    <t>ZPKB208</t>
  </si>
  <si>
    <t>ZPKB209</t>
  </si>
  <si>
    <t>ZPKB211</t>
  </si>
  <si>
    <t>ZPKB212</t>
  </si>
  <si>
    <t>ZPKB213</t>
  </si>
  <si>
    <t>ZPKB214</t>
  </si>
  <si>
    <t>ZPKB215</t>
  </si>
  <si>
    <t>ZPKB216</t>
  </si>
  <si>
    <t>ZPKB217</t>
  </si>
  <si>
    <t>ZPKB219</t>
  </si>
  <si>
    <t>ZPKB233</t>
  </si>
  <si>
    <t>ZPKB235</t>
  </si>
  <si>
    <t>ZPKB236</t>
  </si>
  <si>
    <t>ZPKB237</t>
  </si>
  <si>
    <t>ZPKB239</t>
  </si>
  <si>
    <t>ZPKB241</t>
  </si>
  <si>
    <t>ZPKB242</t>
  </si>
  <si>
    <t>ZPKB243</t>
  </si>
  <si>
    <t>ZPKB244</t>
  </si>
  <si>
    <t>ZPKB246</t>
  </si>
  <si>
    <t>ZPKB247</t>
  </si>
  <si>
    <t>ZPKB248</t>
  </si>
  <si>
    <t>ZPKB249</t>
  </si>
  <si>
    <t>ZPKB250</t>
  </si>
  <si>
    <t>ZPKB251</t>
  </si>
  <si>
    <t>ZPKB253</t>
  </si>
  <si>
    <t>ZPKB254</t>
  </si>
  <si>
    <t>ZPKB257</t>
  </si>
  <si>
    <t>ZPKB258</t>
  </si>
  <si>
    <t>ZPKB260</t>
  </si>
  <si>
    <t>ZPKB262</t>
  </si>
  <si>
    <t>ZPKB264</t>
  </si>
  <si>
    <t>ZPKB265</t>
  </si>
  <si>
    <t>ZPKB266</t>
  </si>
  <si>
    <t>ZPKB267</t>
  </si>
  <si>
    <t>ZPKB269</t>
  </si>
  <si>
    <t>ZPKB272</t>
  </si>
  <si>
    <t>ZPKB275</t>
  </si>
  <si>
    <t>ZPKB276</t>
  </si>
  <si>
    <t>ZPKB278</t>
  </si>
  <si>
    <t>ZPKB283</t>
  </si>
  <si>
    <t>ZPKB284</t>
  </si>
  <si>
    <t>ZPKB289</t>
  </si>
  <si>
    <t>ZPKB290</t>
  </si>
  <si>
    <t>ZPKB292</t>
  </si>
  <si>
    <t>ZPKB294</t>
  </si>
  <si>
    <t>ZPKB295</t>
  </si>
  <si>
    <t>ZPKB297</t>
  </si>
  <si>
    <t>ZPKB315</t>
  </si>
  <si>
    <t>ZPKB319</t>
  </si>
  <si>
    <t>ZPKB320</t>
  </si>
  <si>
    <t>ZPKB321</t>
  </si>
  <si>
    <t>ZPKB322</t>
  </si>
  <si>
    <t>ZPKB501</t>
  </si>
  <si>
    <t>ZPKB502</t>
  </si>
  <si>
    <t>ZPKB504</t>
  </si>
  <si>
    <t>ZPKB506</t>
  </si>
  <si>
    <t>ZPKB508</t>
  </si>
  <si>
    <t>ZPKB509</t>
  </si>
  <si>
    <t>ZPKB511</t>
  </si>
  <si>
    <t>ZPKB512</t>
  </si>
  <si>
    <t>ZPKB518</t>
  </si>
  <si>
    <t>ZPKB519</t>
  </si>
  <si>
    <t>ZPKB524</t>
  </si>
  <si>
    <t>ZPKB527</t>
  </si>
  <si>
    <t>ZPKB532</t>
  </si>
  <si>
    <t>ZPKB537</t>
  </si>
  <si>
    <t>ZPKB538</t>
  </si>
  <si>
    <t>ZPKB539</t>
  </si>
  <si>
    <t>ZPKB540</t>
  </si>
  <si>
    <t>ZPKB541</t>
  </si>
  <si>
    <t>001 - A. TEKUĆA SREDSTVA (002+008+011+014+018+022+030+031+032+033+034)</t>
  </si>
  <si>
    <t>BBRB - BOBAR BANKA AD BIJELJINA</t>
  </si>
  <si>
    <t>BLKB - BALKAN INVESTMENT BANK AD BANJA LUKA</t>
  </si>
  <si>
    <t>IEFB - MF BANKA AD BANJA LUKA</t>
  </si>
  <si>
    <t>KMCB - KOMERCIJALNA BANKA AD BANJA LUKA</t>
  </si>
  <si>
    <t>NBLB - UNICREDIT BANK AD BANJA LUKA</t>
  </si>
  <si>
    <t>NOVB - NOVA BANKA  AD BANJA LUKA</t>
  </si>
  <si>
    <t>VBBB - NLB RAZVOJNA BANKA AD BANJA LUKA</t>
  </si>
  <si>
    <t>ZPKB - VOLKSBANK AD BANJA LUKA</t>
  </si>
  <si>
    <t>035 - B. STALNA SREDSTVA (036+041+047)</t>
  </si>
  <si>
    <t>050 - D. UKUPNA AKTIVA (048+049)</t>
  </si>
  <si>
    <t>101 - A. OBAVEZE (102+106+109+113)</t>
  </si>
  <si>
    <t>125 - B. KAPITAL (126+132+138+142-148)</t>
  </si>
  <si>
    <t>201 - 1. Prihodi od kamata (202 do 204)</t>
  </si>
  <si>
    <t>211 - 5. Prihodi od naknada i provizija (212 do 214)</t>
  </si>
  <si>
    <t>315 - 1. Ukupan neto dobitak u obračunskom periodu (297 ± 314)</t>
  </si>
  <si>
    <t>BBRB224</t>
  </si>
  <si>
    <t>BBRB247</t>
  </si>
  <si>
    <t>BLKB037</t>
  </si>
  <si>
    <t>BLKB273</t>
  </si>
  <si>
    <t>BLKB501</t>
  </si>
  <si>
    <t>BLKB502</t>
  </si>
  <si>
    <t>BLKB504</t>
  </si>
  <si>
    <t>BLKB506</t>
  </si>
  <si>
    <t>BLKB508</t>
  </si>
  <si>
    <t>BLKB510</t>
  </si>
  <si>
    <t>BLKB511</t>
  </si>
  <si>
    <t>BLKB512</t>
  </si>
  <si>
    <t>BLKB513</t>
  </si>
  <si>
    <t>BLKB519</t>
  </si>
  <si>
    <t>BLKB527</t>
  </si>
  <si>
    <t>BLKB531</t>
  </si>
  <si>
    <t>BLKB532</t>
  </si>
  <si>
    <t>BLKB533</t>
  </si>
  <si>
    <t>BLKB537</t>
  </si>
  <si>
    <t>BLKB538</t>
  </si>
  <si>
    <t>BLKB539</t>
  </si>
  <si>
    <t>BLKB541</t>
  </si>
  <si>
    <t>IEFB029</t>
  </si>
  <si>
    <t>IEFB114</t>
  </si>
  <si>
    <t>IEFB117</t>
  </si>
  <si>
    <t>IEFB145</t>
  </si>
  <si>
    <t>IEFB532</t>
  </si>
  <si>
    <t>IEFB536</t>
  </si>
  <si>
    <t>KMCB046</t>
  </si>
  <si>
    <t>KMCB114</t>
  </si>
  <si>
    <t>KMCB240</t>
  </si>
  <si>
    <t>KMCB260</t>
  </si>
  <si>
    <t>KRLB319</t>
  </si>
  <si>
    <t>KRLB320</t>
  </si>
  <si>
    <t>NOVB238</t>
  </si>
  <si>
    <t>PIBB031</t>
  </si>
  <si>
    <t>PIBB268</t>
  </si>
  <si>
    <t>PIBB509</t>
  </si>
  <si>
    <t>VBBB114</t>
  </si>
  <si>
    <t>VBBB223</t>
  </si>
  <si>
    <t>VBBB522</t>
  </si>
  <si>
    <t>ZPKB033</t>
  </si>
  <si>
    <t>SBERBANK AD BANJA LUKA</t>
  </si>
  <si>
    <t>BBRB244</t>
  </si>
  <si>
    <t>BBRB268</t>
  </si>
  <si>
    <t>BBRB275</t>
  </si>
  <si>
    <t>BLKB038</t>
  </si>
  <si>
    <t>BLKB148</t>
  </si>
  <si>
    <t>BLKB149</t>
  </si>
  <si>
    <t>BLKB259</t>
  </si>
  <si>
    <t>BLKB269</t>
  </si>
  <si>
    <t>BLKB277</t>
  </si>
  <si>
    <t>BLKB293</t>
  </si>
  <si>
    <t>BLKB298</t>
  </si>
  <si>
    <t>BLKB316</t>
  </si>
  <si>
    <t>BLKB318</t>
  </si>
  <si>
    <t>IEFB143</t>
  </si>
  <si>
    <t>IEFB216</t>
  </si>
  <si>
    <t>IEFB263</t>
  </si>
  <si>
    <t>IEFB267</t>
  </si>
  <si>
    <t>IEFB268</t>
  </si>
  <si>
    <t>IEFB269</t>
  </si>
  <si>
    <t>KMCB020</t>
  </si>
  <si>
    <t>KMCB238</t>
  </si>
  <si>
    <t>KMCB255</t>
  </si>
  <si>
    <t>KRLB027</t>
  </si>
  <si>
    <t>KRLB244</t>
  </si>
  <si>
    <t>KRLB262</t>
  </si>
  <si>
    <t>KRLB301</t>
  </si>
  <si>
    <t>KRLB323</t>
  </si>
  <si>
    <t>NBLB045</t>
  </si>
  <si>
    <t>NBLB147</t>
  </si>
  <si>
    <t>NBLB262</t>
  </si>
  <si>
    <t>NOVB029</t>
  </si>
  <si>
    <t>NOVB038</t>
  </si>
  <si>
    <t>NOVB138</t>
  </si>
  <si>
    <t>NOVB140</t>
  </si>
  <si>
    <t>NOVB239</t>
  </si>
  <si>
    <t>NOVB252</t>
  </si>
  <si>
    <t>NOVB271</t>
  </si>
  <si>
    <t>PIBB020</t>
  </si>
  <si>
    <t>PIBB023</t>
  </si>
  <si>
    <t>PIBB046</t>
  </si>
  <si>
    <t>PIBB280</t>
  </si>
  <si>
    <t>PIBB286</t>
  </si>
  <si>
    <t>PIBB294</t>
  </si>
  <si>
    <t>VBBB023</t>
  </si>
  <si>
    <t>VBBB263</t>
  </si>
  <si>
    <t>VBBB301</t>
  </si>
  <si>
    <t>VBBB313</t>
  </si>
  <si>
    <t>ZPKB006</t>
  </si>
  <si>
    <t>ZPKB020</t>
  </si>
  <si>
    <t>ZPKB023</t>
  </si>
  <si>
    <t>ZPKB031</t>
  </si>
  <si>
    <t>ZPKB049</t>
  </si>
  <si>
    <t>ZPKB124</t>
  </si>
  <si>
    <t>ZPKB152</t>
  </si>
  <si>
    <t>ZPKB218</t>
  </si>
  <si>
    <t>ZPKB245</t>
  </si>
  <si>
    <t>ZPKB255</t>
  </si>
  <si>
    <t>ZPKB274</t>
  </si>
  <si>
    <t>BBRB524</t>
  </si>
  <si>
    <t>BLKB518</t>
  </si>
  <si>
    <t>BLKB528</t>
  </si>
  <si>
    <t>IEFB531</t>
  </si>
  <si>
    <t>IEFB533</t>
  </si>
  <si>
    <t>NOVB515</t>
  </si>
  <si>
    <t>PIBB510</t>
  </si>
  <si>
    <t>PIBB514</t>
  </si>
  <si>
    <t>PIBB515</t>
  </si>
  <si>
    <t>PIBB516</t>
  </si>
  <si>
    <t>PIBB517</t>
  </si>
  <si>
    <t>PIBB528</t>
  </si>
  <si>
    <t>ZPKB507</t>
  </si>
  <si>
    <t>ZPKB528</t>
  </si>
  <si>
    <t>ZPKB533</t>
  </si>
  <si>
    <t>BLKB535</t>
  </si>
  <si>
    <t>BLKB536</t>
  </si>
  <si>
    <t>BLKB540</t>
  </si>
  <si>
    <t>BLKB542</t>
  </si>
  <si>
    <t>BLKB543</t>
  </si>
  <si>
    <t>BLKB546</t>
  </si>
  <si>
    <t>BLKB547</t>
  </si>
  <si>
    <t>BLKB548</t>
  </si>
  <si>
    <t>BLKB549</t>
  </si>
  <si>
    <t>BLKB550</t>
  </si>
  <si>
    <t>BLKB551</t>
  </si>
  <si>
    <t>BLKB553</t>
  </si>
  <si>
    <t>BLKB554</t>
  </si>
  <si>
    <t>BLKB555</t>
  </si>
  <si>
    <t>BLKB557</t>
  </si>
  <si>
    <t>BLKB558</t>
  </si>
  <si>
    <t>BLKB559</t>
  </si>
  <si>
    <t>BLKB560</t>
  </si>
  <si>
    <t>BLKB561</t>
  </si>
  <si>
    <t>BLKB562</t>
  </si>
  <si>
    <t>BLKB563</t>
  </si>
  <si>
    <t>BLKB564</t>
  </si>
  <si>
    <t>BLKB565</t>
  </si>
  <si>
    <t>BLKB566</t>
  </si>
  <si>
    <t>BLKB567</t>
  </si>
  <si>
    <t>BLKB568</t>
  </si>
  <si>
    <t>BLKB569</t>
  </si>
  <si>
    <t>BLKB571</t>
  </si>
  <si>
    <t>BLKB572</t>
  </si>
  <si>
    <t>BLKB573</t>
  </si>
  <si>
    <t>BLKB574</t>
  </si>
  <si>
    <t>BLKB576</t>
  </si>
  <si>
    <t>BLKB577</t>
  </si>
  <si>
    <t>BLKB578</t>
  </si>
  <si>
    <t>BLKB580</t>
  </si>
  <si>
    <t>BLKB583</t>
  </si>
  <si>
    <t>BLKB584</t>
  </si>
  <si>
    <t>BLKB586</t>
  </si>
  <si>
    <t>BLKB589</t>
  </si>
  <si>
    <t>BLKB591</t>
  </si>
  <si>
    <t>BLKB592</t>
  </si>
  <si>
    <t>BLKB593</t>
  </si>
  <si>
    <t>BLKB597</t>
  </si>
  <si>
    <t>BLKB598</t>
  </si>
  <si>
    <t>BLKB515</t>
  </si>
  <si>
    <t>BLKB516</t>
  </si>
  <si>
    <t>BLKB521</t>
  </si>
  <si>
    <t>IEFB051</t>
  </si>
  <si>
    <t>IEFB052</t>
  </si>
  <si>
    <t>IEFB053</t>
  </si>
  <si>
    <t>IEFB054</t>
  </si>
  <si>
    <t>IEFB055</t>
  </si>
  <si>
    <t>IEFB057</t>
  </si>
  <si>
    <t>IEFB058</t>
  </si>
  <si>
    <t>IEFB059</t>
  </si>
  <si>
    <t>IEFB511</t>
  </si>
  <si>
    <t>IEFB513</t>
  </si>
  <si>
    <t>IEFB515</t>
  </si>
  <si>
    <t>IEFB516</t>
  </si>
  <si>
    <t>IEFB522</t>
  </si>
  <si>
    <t>IEFB523</t>
  </si>
  <si>
    <t>IEFB525</t>
  </si>
  <si>
    <t>IEFB526</t>
  </si>
  <si>
    <t>IEFB529</t>
  </si>
  <si>
    <t>IEFB530</t>
  </si>
  <si>
    <t>IEFB535</t>
  </si>
  <si>
    <t>IEFB545</t>
  </si>
  <si>
    <t>IEFB548</t>
  </si>
  <si>
    <t>IEFB549</t>
  </si>
  <si>
    <t>IEFB550</t>
  </si>
  <si>
    <t>IEFB505</t>
  </si>
  <si>
    <t>IEFB506</t>
  </si>
  <si>
    <t>IEFB507</t>
  </si>
  <si>
    <t>IEFB517</t>
  </si>
  <si>
    <t>IEFB520</t>
  </si>
  <si>
    <t>IEFB542</t>
  </si>
  <si>
    <t>IEFB543</t>
  </si>
  <si>
    <t>IEFB551</t>
  </si>
  <si>
    <t>IEFB552</t>
  </si>
  <si>
    <t>IEFB553</t>
  </si>
  <si>
    <t>IEFB509</t>
  </si>
  <si>
    <t>IEFB546</t>
  </si>
  <si>
    <t>IEFB554</t>
  </si>
  <si>
    <t>IEFB557</t>
  </si>
  <si>
    <t>IEFB558</t>
  </si>
  <si>
    <t>IEFB559</t>
  </si>
  <si>
    <t>IEFB561</t>
  </si>
  <si>
    <t>IEFB563</t>
  </si>
  <si>
    <t>IEFB564</t>
  </si>
  <si>
    <t>IEFB566</t>
  </si>
  <si>
    <t>IEFB567</t>
  </si>
  <si>
    <t>IEFB568</t>
  </si>
  <si>
    <t>IEFB569</t>
  </si>
  <si>
    <t>IEFB572</t>
  </si>
  <si>
    <t>IEFB574</t>
  </si>
  <si>
    <t>IEFB576</t>
  </si>
  <si>
    <t>IEFB578</t>
  </si>
  <si>
    <t>IEFB583</t>
  </si>
  <si>
    <t>IEFB584</t>
  </si>
  <si>
    <t>IEFB589</t>
  </si>
  <si>
    <t>IEFB590</t>
  </si>
  <si>
    <t>IEFB592</t>
  </si>
  <si>
    <t>IEFB597</t>
  </si>
  <si>
    <t>IEFB521</t>
  </si>
  <si>
    <t>KMCB051</t>
  </si>
  <si>
    <t>KMCB052</t>
  </si>
  <si>
    <t>KMCB053</t>
  </si>
  <si>
    <t>KMCB054</t>
  </si>
  <si>
    <t>KMCB055</t>
  </si>
  <si>
    <t>KMCB057</t>
  </si>
  <si>
    <t>KMCB058</t>
  </si>
  <si>
    <t>KMCB059</t>
  </si>
  <si>
    <t>KMCB513</t>
  </si>
  <si>
    <t>KMCB514</t>
  </si>
  <si>
    <t>KMCB515</t>
  </si>
  <si>
    <t>KMCB516</t>
  </si>
  <si>
    <t>KMCB517</t>
  </si>
  <si>
    <t>KMCB520</t>
  </si>
  <si>
    <t>KMCB521</t>
  </si>
  <si>
    <t>KMCB522</t>
  </si>
  <si>
    <t>KMCB523</t>
  </si>
  <si>
    <t>KMCB525</t>
  </si>
  <si>
    <t>KMCB526</t>
  </si>
  <si>
    <t>KMCB529</t>
  </si>
  <si>
    <t>KMCB530</t>
  </si>
  <si>
    <t>KMCB531</t>
  </si>
  <si>
    <t>KMCB535</t>
  </si>
  <si>
    <t>KMCB536</t>
  </si>
  <si>
    <t>KMCB545</t>
  </si>
  <si>
    <t>KMCB546</t>
  </si>
  <si>
    <t>KMCB548</t>
  </si>
  <si>
    <t>KMCB549</t>
  </si>
  <si>
    <t>KMCB550</t>
  </si>
  <si>
    <t>KMCB503</t>
  </si>
  <si>
    <t>KMCB505</t>
  </si>
  <si>
    <t>KMCB506</t>
  </si>
  <si>
    <t>KMCB507</t>
  </si>
  <si>
    <t>KMCB542</t>
  </si>
  <si>
    <t>KMCB543</t>
  </si>
  <si>
    <t>KMCB551</t>
  </si>
  <si>
    <t>KMCB552</t>
  </si>
  <si>
    <t>KMCB553</t>
  </si>
  <si>
    <t>KMCB533</t>
  </si>
  <si>
    <t>KMCB547</t>
  </si>
  <si>
    <t>KMCB554</t>
  </si>
  <si>
    <t>KMCB555</t>
  </si>
  <si>
    <t>KMCB557</t>
  </si>
  <si>
    <t>KMCB558</t>
  </si>
  <si>
    <t>KMCB560</t>
  </si>
  <si>
    <t>KMCB564</t>
  </si>
  <si>
    <t>KMCB566</t>
  </si>
  <si>
    <t>KMCB567</t>
  </si>
  <si>
    <t>KMCB568</t>
  </si>
  <si>
    <t>KMCB572</t>
  </si>
  <si>
    <t>KMCB575</t>
  </si>
  <si>
    <t>KMCB576</t>
  </si>
  <si>
    <t>KMCB578</t>
  </si>
  <si>
    <t>KMCB583</t>
  </si>
  <si>
    <t>KMCB584</t>
  </si>
  <si>
    <t>KMCB589</t>
  </si>
  <si>
    <t>KMCB590</t>
  </si>
  <si>
    <t>KMCB592</t>
  </si>
  <si>
    <t>KMCB597</t>
  </si>
  <si>
    <t>KRLB051</t>
  </si>
  <si>
    <t>KRLB052</t>
  </si>
  <si>
    <t>KRLB053</t>
  </si>
  <si>
    <t>KRLB054</t>
  </si>
  <si>
    <t>KRLB055</t>
  </si>
  <si>
    <t>KRLB057</t>
  </si>
  <si>
    <t>KRLB058</t>
  </si>
  <si>
    <t>KRLB059</t>
  </si>
  <si>
    <t>KRLB513</t>
  </si>
  <si>
    <t>KRLB522</t>
  </si>
  <si>
    <t>KRLB523</t>
  </si>
  <si>
    <t>KRLB525</t>
  </si>
  <si>
    <t>KRLB526</t>
  </si>
  <si>
    <t>KRLB528</t>
  </si>
  <si>
    <t>KRLB529</t>
  </si>
  <si>
    <t>KRLB530</t>
  </si>
  <si>
    <t>KRLB535</t>
  </si>
  <si>
    <t>KRLB536</t>
  </si>
  <si>
    <t>KRLB545</t>
  </si>
  <si>
    <t>KRLB546</t>
  </si>
  <si>
    <t>KRLB547</t>
  </si>
  <si>
    <t>KRLB548</t>
  </si>
  <si>
    <t>KRLB549</t>
  </si>
  <si>
    <t>KRLB550</t>
  </si>
  <si>
    <t>KRLB507</t>
  </si>
  <si>
    <t>KRLB542</t>
  </si>
  <si>
    <t>KRLB543</t>
  </si>
  <si>
    <t>KRLB544</t>
  </si>
  <si>
    <t>KRLB551</t>
  </si>
  <si>
    <t>KRLB552</t>
  </si>
  <si>
    <t>KRLB553</t>
  </si>
  <si>
    <t>KRLB509</t>
  </si>
  <si>
    <t>KRLB554</t>
  </si>
  <si>
    <t>KRLB555</t>
  </si>
  <si>
    <t>KRLB557</t>
  </si>
  <si>
    <t>KRLB558</t>
  </si>
  <si>
    <t>KRLB559</t>
  </si>
  <si>
    <t>KRLB560</t>
  </si>
  <si>
    <t>KRLB561</t>
  </si>
  <si>
    <t>KRLB562</t>
  </si>
  <si>
    <t>KRLB563</t>
  </si>
  <si>
    <t>KRLB564</t>
  </si>
  <si>
    <t>KRLB566</t>
  </si>
  <si>
    <t>KRLB567</t>
  </si>
  <si>
    <t>KRLB569</t>
  </si>
  <si>
    <t>KRLB570</t>
  </si>
  <si>
    <t>KRLB572</t>
  </si>
  <si>
    <t>KRLB574</t>
  </si>
  <si>
    <t>KRLB576</t>
  </si>
  <si>
    <t>KRLB578</t>
  </si>
  <si>
    <t>KRLB583</t>
  </si>
  <si>
    <t>KRLB584</t>
  </si>
  <si>
    <t>KRLB589</t>
  </si>
  <si>
    <t>KRLB590</t>
  </si>
  <si>
    <t>KRLB592</t>
  </si>
  <si>
    <t>KRLB594</t>
  </si>
  <si>
    <t>KRLB595</t>
  </si>
  <si>
    <t>KRLB596</t>
  </si>
  <si>
    <t>KRLB597</t>
  </si>
  <si>
    <t>KRLB599</t>
  </si>
  <si>
    <t>NBLB051</t>
  </si>
  <si>
    <t>NBLB052</t>
  </si>
  <si>
    <t>NBLB053</t>
  </si>
  <si>
    <t>NBLB054</t>
  </si>
  <si>
    <t>NBLB055</t>
  </si>
  <si>
    <t>NBLB056</t>
  </si>
  <si>
    <t>NBLB057</t>
  </si>
  <si>
    <t>NBLB058</t>
  </si>
  <si>
    <t>NBLB059</t>
  </si>
  <si>
    <t>NBLB513</t>
  </si>
  <si>
    <t>NBLB514</t>
  </si>
  <si>
    <t>NBLB515</t>
  </si>
  <si>
    <t>NBLB520</t>
  </si>
  <si>
    <t>NBLB522</t>
  </si>
  <si>
    <t>NBLB525</t>
  </si>
  <si>
    <t>NBLB526</t>
  </si>
  <si>
    <t>NBLB528</t>
  </si>
  <si>
    <t>NBLB529</t>
  </si>
  <si>
    <t>NBLB530</t>
  </si>
  <si>
    <t>NBLB535</t>
  </si>
  <si>
    <t>NBLB536</t>
  </si>
  <si>
    <t>NBLB543</t>
  </si>
  <si>
    <t>NBLB545</t>
  </si>
  <si>
    <t>NBLB546</t>
  </si>
  <si>
    <t>NBLB547</t>
  </si>
  <si>
    <t>NBLB548</t>
  </si>
  <si>
    <t>NBLB549</t>
  </si>
  <si>
    <t>NBLB550</t>
  </si>
  <si>
    <t>NBLB505</t>
  </si>
  <si>
    <t>NBLB507</t>
  </si>
  <si>
    <t>NBLB542</t>
  </si>
  <si>
    <t>NBLB551</t>
  </si>
  <si>
    <t>NBLB552</t>
  </si>
  <si>
    <t>NBLB553</t>
  </si>
  <si>
    <t>NBLB509</t>
  </si>
  <si>
    <t>NBLB554</t>
  </si>
  <si>
    <t>NBLB555</t>
  </si>
  <si>
    <t>NBLB557</t>
  </si>
  <si>
    <t>NBLB558</t>
  </si>
  <si>
    <t>NBLB560</t>
  </si>
  <si>
    <t>NBLB562</t>
  </si>
  <si>
    <t>NBLB564</t>
  </si>
  <si>
    <t>NBLB566</t>
  </si>
  <si>
    <t>NBLB572</t>
  </si>
  <si>
    <t>NBLB574</t>
  </si>
  <si>
    <t>NBLB576</t>
  </si>
  <si>
    <t>NBLB578</t>
  </si>
  <si>
    <t>NBLB583</t>
  </si>
  <si>
    <t>NBLB584</t>
  </si>
  <si>
    <t>NBLB586</t>
  </si>
  <si>
    <t>NBLB589</t>
  </si>
  <si>
    <t>NBLB590</t>
  </si>
  <si>
    <t>NBLB592</t>
  </si>
  <si>
    <t>NBLB594</t>
  </si>
  <si>
    <t>NBLB597</t>
  </si>
  <si>
    <t>NBLB521</t>
  </si>
  <si>
    <t>NOVB051</t>
  </si>
  <si>
    <t>NOVB052</t>
  </si>
  <si>
    <t>NOVB053</t>
  </si>
  <si>
    <t>NOVB054</t>
  </si>
  <si>
    <t>NOVB055</t>
  </si>
  <si>
    <t>NOVB057</t>
  </si>
  <si>
    <t>NOVB058</t>
  </si>
  <si>
    <t>NOVB059</t>
  </si>
  <si>
    <t>NOVB514</t>
  </si>
  <si>
    <t>NOVB516</t>
  </si>
  <si>
    <t>NOVB521</t>
  </si>
  <si>
    <t>NOVB522</t>
  </si>
  <si>
    <t>NOVB525</t>
  </si>
  <si>
    <t>NOVB526</t>
  </si>
  <si>
    <t>NOVB528</t>
  </si>
  <si>
    <t>NOVB529</t>
  </si>
  <si>
    <t>NOVB530</t>
  </si>
  <si>
    <t>NOVB535</t>
  </si>
  <si>
    <t>NOVB536</t>
  </si>
  <si>
    <t>NOVB537</t>
  </si>
  <si>
    <t>NOVB543</t>
  </si>
  <si>
    <t>NOVB545</t>
  </si>
  <si>
    <t>NOVB546</t>
  </si>
  <si>
    <t>NOVB548</t>
  </si>
  <si>
    <t>NOVB549</t>
  </si>
  <si>
    <t>NOVB550</t>
  </si>
  <si>
    <t>NOVB506</t>
  </si>
  <si>
    <t>NOVB507</t>
  </si>
  <si>
    <t>NOVB520</t>
  </si>
  <si>
    <t>NOVB532</t>
  </si>
  <si>
    <t>NOVB533</t>
  </si>
  <si>
    <t>NOVB542</t>
  </si>
  <si>
    <t>NOVB544</t>
  </si>
  <si>
    <t>NOVB551</t>
  </si>
  <si>
    <t>NOVB552</t>
  </si>
  <si>
    <t>NOVB553</t>
  </si>
  <si>
    <t>NOVB509</t>
  </si>
  <si>
    <t>NOVB547</t>
  </si>
  <si>
    <t>NOVB554</t>
  </si>
  <si>
    <t>NOVB555</t>
  </si>
  <si>
    <t>NOVB557</t>
  </si>
  <si>
    <t>NOVB558</t>
  </si>
  <si>
    <t>NOVB559</t>
  </si>
  <si>
    <t>NOVB560</t>
  </si>
  <si>
    <t>NOVB561</t>
  </si>
  <si>
    <t>NOVB562</t>
  </si>
  <si>
    <t>NOVB563</t>
  </si>
  <si>
    <t>NOVB564</t>
  </si>
  <si>
    <t>NOVB566</t>
  </si>
  <si>
    <t>NOVB567</t>
  </si>
  <si>
    <t>NOVB568</t>
  </si>
  <si>
    <t>NOVB569</t>
  </si>
  <si>
    <t>NOVB570</t>
  </si>
  <si>
    <t>NOVB571</t>
  </si>
  <si>
    <t>NOVB572</t>
  </si>
  <si>
    <t>NOVB574</t>
  </si>
  <si>
    <t>NOVB575</t>
  </si>
  <si>
    <t>NOVB576</t>
  </si>
  <si>
    <t>NOVB578</t>
  </si>
  <si>
    <t>NOVB580</t>
  </si>
  <si>
    <t>NOVB583</t>
  </si>
  <si>
    <t>NOVB584</t>
  </si>
  <si>
    <t>NOVB586</t>
  </si>
  <si>
    <t>NOVB589</t>
  </si>
  <si>
    <t>NOVB590</t>
  </si>
  <si>
    <t>NOVB592</t>
  </si>
  <si>
    <t>NOVB594</t>
  </si>
  <si>
    <t>NOVB597</t>
  </si>
  <si>
    <t>PIBB051</t>
  </si>
  <si>
    <t>PIBB052</t>
  </si>
  <si>
    <t>PIBB053</t>
  </si>
  <si>
    <t>PIBB054</t>
  </si>
  <si>
    <t>PIBB055</t>
  </si>
  <si>
    <t>PIBB056</t>
  </si>
  <si>
    <t>PIBB057</t>
  </si>
  <si>
    <t>PIBB058</t>
  </si>
  <si>
    <t>PIBB059</t>
  </si>
  <si>
    <t>PIBB520</t>
  </si>
  <si>
    <t>PIBB521</t>
  </si>
  <si>
    <t>PIBB522</t>
  </si>
  <si>
    <t>PIBB523</t>
  </si>
  <si>
    <t>PIBB525</t>
  </si>
  <si>
    <t>PIBB526</t>
  </si>
  <si>
    <t>PIBB529</t>
  </si>
  <si>
    <t>PIBB530</t>
  </si>
  <si>
    <t>PIBB531</t>
  </si>
  <si>
    <t>PIBB535</t>
  </si>
  <si>
    <t>PIBB536</t>
  </si>
  <si>
    <t>PIBB545</t>
  </si>
  <si>
    <t>PIBB546</t>
  </si>
  <si>
    <t>PIBB547</t>
  </si>
  <si>
    <t>PIBB548</t>
  </si>
  <si>
    <t>PIBB549</t>
  </si>
  <si>
    <t>PIBB550</t>
  </si>
  <si>
    <t>PIBB505</t>
  </si>
  <si>
    <t>PIBB507</t>
  </si>
  <si>
    <t>PIBB534</t>
  </si>
  <si>
    <t>PIBB542</t>
  </si>
  <si>
    <t>PIBB543</t>
  </si>
  <si>
    <t>PIBB544</t>
  </si>
  <si>
    <t>PIBB551</t>
  </si>
  <si>
    <t>PIBB552</t>
  </si>
  <si>
    <t>PIBB553</t>
  </si>
  <si>
    <t>PIBB554</t>
  </si>
  <si>
    <t>PIBB555</t>
  </si>
  <si>
    <t>PIBB557</t>
  </si>
  <si>
    <t>PIBB558</t>
  </si>
  <si>
    <t>PIBB559</t>
  </si>
  <si>
    <t>PIBB562</t>
  </si>
  <si>
    <t>PIBB564</t>
  </si>
  <si>
    <t>PIBB566</t>
  </si>
  <si>
    <t>PIBB567</t>
  </si>
  <si>
    <t>PIBB568</t>
  </si>
  <si>
    <t>PIBB569</t>
  </si>
  <si>
    <t>PIBB572</t>
  </si>
  <si>
    <t>PIBB574</t>
  </si>
  <si>
    <t>PIBB577</t>
  </si>
  <si>
    <t>PIBB578</t>
  </si>
  <si>
    <t>PIBB580</t>
  </si>
  <si>
    <t>PIBB583</t>
  </si>
  <si>
    <t>PIBB584</t>
  </si>
  <si>
    <t>PIBB586</t>
  </si>
  <si>
    <t>PIBB589</t>
  </si>
  <si>
    <t>PIBB590</t>
  </si>
  <si>
    <t>PIBB592</t>
  </si>
  <si>
    <t>PIBB594</t>
  </si>
  <si>
    <t>PIBB597</t>
  </si>
  <si>
    <t>VBBB051</t>
  </si>
  <si>
    <t>VBBB052</t>
  </si>
  <si>
    <t>VBBB053</t>
  </si>
  <si>
    <t>VBBB054</t>
  </si>
  <si>
    <t>VBBB055</t>
  </si>
  <si>
    <t>VBBB057</t>
  </si>
  <si>
    <t>VBBB058</t>
  </si>
  <si>
    <t>VBBB059</t>
  </si>
  <si>
    <t>VBBB513</t>
  </si>
  <si>
    <t>VBBB514</t>
  </si>
  <si>
    <t>VBBB516</t>
  </si>
  <si>
    <t>VBBB517</t>
  </si>
  <si>
    <t>VBBB520</t>
  </si>
  <si>
    <t>VBBB521</t>
  </si>
  <si>
    <t>VBBB523</t>
  </si>
  <si>
    <t>VBBB525</t>
  </si>
  <si>
    <t>VBBB526</t>
  </si>
  <si>
    <t>VBBB528</t>
  </si>
  <si>
    <t>VBBB529</t>
  </si>
  <si>
    <t>VBBB530</t>
  </si>
  <si>
    <t>VBBB535</t>
  </si>
  <si>
    <t>VBBB536</t>
  </si>
  <si>
    <t>VBBB545</t>
  </si>
  <si>
    <t>VBBB547</t>
  </si>
  <si>
    <t>VBBB548</t>
  </si>
  <si>
    <t>VBBB549</t>
  </si>
  <si>
    <t>VBBB550</t>
  </si>
  <si>
    <t>VBBB505</t>
  </si>
  <si>
    <t>VBBB506</t>
  </si>
  <si>
    <t>VBBB507</t>
  </si>
  <si>
    <t>VBBB542</t>
  </si>
  <si>
    <t>VBBB543</t>
  </si>
  <si>
    <t>VBBB544</t>
  </si>
  <si>
    <t>VBBB551</t>
  </si>
  <si>
    <t>VBBB552</t>
  </si>
  <si>
    <t>VBBB553</t>
  </si>
  <si>
    <t>VBBB509</t>
  </si>
  <si>
    <t>VBBB546</t>
  </si>
  <si>
    <t>VBBB554</t>
  </si>
  <si>
    <t>VBBB555</t>
  </si>
  <si>
    <t>VBBB557</t>
  </si>
  <si>
    <t>VBBB558</t>
  </si>
  <si>
    <t>VBBB559</t>
  </si>
  <si>
    <t>VBBB560</t>
  </si>
  <si>
    <t>VBBB561</t>
  </si>
  <si>
    <t>VBBB562</t>
  </si>
  <si>
    <t>VBBB563</t>
  </si>
  <si>
    <t>VBBB564</t>
  </si>
  <si>
    <t>VBBB566</t>
  </si>
  <si>
    <t>VBBB568</t>
  </si>
  <si>
    <t>VBBB569</t>
  </si>
  <si>
    <t>VBBB572</t>
  </si>
  <si>
    <t>VBBB574</t>
  </si>
  <si>
    <t>VBBB576</t>
  </si>
  <si>
    <t>VBBB578</t>
  </si>
  <si>
    <t>VBBB580</t>
  </si>
  <si>
    <t>VBBB583</t>
  </si>
  <si>
    <t>VBBB584</t>
  </si>
  <si>
    <t>VBBB586</t>
  </si>
  <si>
    <t>VBBB589</t>
  </si>
  <si>
    <t>VBBB590</t>
  </si>
  <si>
    <t>VBBB592</t>
  </si>
  <si>
    <t>VBBB594</t>
  </si>
  <si>
    <t>VBBB595</t>
  </si>
  <si>
    <t>VBBB596</t>
  </si>
  <si>
    <t>VBBB597</t>
  </si>
  <si>
    <t>VBBB599</t>
  </si>
  <si>
    <t>VBBB500</t>
  </si>
  <si>
    <t>ZPKB051</t>
  </si>
  <si>
    <t>ZPKB052</t>
  </si>
  <si>
    <t>ZPKB053</t>
  </si>
  <si>
    <t>ZPKB054</t>
  </si>
  <si>
    <t>ZPKB056</t>
  </si>
  <si>
    <t>ZPKB057</t>
  </si>
  <si>
    <t>ZPKB058</t>
  </si>
  <si>
    <t>ZPKB059</t>
  </si>
  <si>
    <t>ZPKB513</t>
  </si>
  <si>
    <t>ZPKB514</t>
  </si>
  <si>
    <t>ZPKB515</t>
  </si>
  <si>
    <t>ZPKB516</t>
  </si>
  <si>
    <t>ZPKB517</t>
  </si>
  <si>
    <t>ZPKB520</t>
  </si>
  <si>
    <t>ZPKB521</t>
  </si>
  <si>
    <t>ZPKB522</t>
  </si>
  <si>
    <t>ZPKB523</t>
  </si>
  <si>
    <t>ZPKB525</t>
  </si>
  <si>
    <t>ZPKB526</t>
  </si>
  <si>
    <t>ZPKB529</t>
  </si>
  <si>
    <t>ZPKB530</t>
  </si>
  <si>
    <t>ZPKB531</t>
  </si>
  <si>
    <t>ZPKB535</t>
  </si>
  <si>
    <t>ZPKB536</t>
  </si>
  <si>
    <t>ZPKB545</t>
  </si>
  <si>
    <t>ZPKB546</t>
  </si>
  <si>
    <t>ZPKB548</t>
  </si>
  <si>
    <t>ZPKB549</t>
  </si>
  <si>
    <t>ZPKB550</t>
  </si>
  <si>
    <t>ZPKB503</t>
  </si>
  <si>
    <t>ZPKB505</t>
  </si>
  <si>
    <t>ZPKB542</t>
  </si>
  <si>
    <t>ZPKB543</t>
  </si>
  <si>
    <t>ZPKB544</t>
  </si>
  <si>
    <t>ZPKB551</t>
  </si>
  <si>
    <t>ZPKB552</t>
  </si>
  <si>
    <t>ZPKB553</t>
  </si>
  <si>
    <t>ZPKB547</t>
  </si>
  <si>
    <t>ZPKB554</t>
  </si>
  <si>
    <t>ZPKB555</t>
  </si>
  <si>
    <t>ZPKB557</t>
  </si>
  <si>
    <t>ZPKB558</t>
  </si>
  <si>
    <t>ZPKB560</t>
  </si>
  <si>
    <t>ZPKB562</t>
  </si>
  <si>
    <t>ZPKB564</t>
  </si>
  <si>
    <t>ZPKB565</t>
  </si>
  <si>
    <t>ZPKB566</t>
  </si>
  <si>
    <t>ZPKB567</t>
  </si>
  <si>
    <t>ZPKB569</t>
  </si>
  <si>
    <t>ZPKB572</t>
  </si>
  <si>
    <t>ZPKB574</t>
  </si>
  <si>
    <t>ZPKB575</t>
  </si>
  <si>
    <t>ZPKB576</t>
  </si>
  <si>
    <t>ZPKB578</t>
  </si>
  <si>
    <t>ZPKB583</t>
  </si>
  <si>
    <t>ZPKB584</t>
  </si>
  <si>
    <t>ZPKB589</t>
  </si>
  <si>
    <t>ZPKB590</t>
  </si>
  <si>
    <t>ZPKB592</t>
  </si>
  <si>
    <t>ZPKB594</t>
  </si>
  <si>
    <t>ZPKB595</t>
  </si>
  <si>
    <t>ZPKB597</t>
  </si>
  <si>
    <t>PIBB - PAVLOVIĆ INTERNATIONAL BANK AD BIJELJINA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</si>
</sst>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M&quot;;[Red]\-#,##0\ &quot;KM&quot;"/>
    <numFmt numFmtId="164" formatCode="#,##0.00000"/>
  </numFmts>
  <fonts count="2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63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medium">
        <color rgb="FFC0C0C0"/>
      </right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/>
    <xf numFmtId="164" fontId="0" fillId="0" borderId="0" xfId="0" applyNumberFormat="1" applyFont="1"/>
    <xf numFmtId="0" fontId="13" fillId="0" borderId="0" xfId="0" applyFont="1"/>
    <xf numFmtId="0" fontId="14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6" fillId="0" borderId="3" xfId="0" applyFont="1" applyBorder="1" applyAlignment="1">
      <alignment horizontal="right" vertical="center" indent="1"/>
    </xf>
    <xf numFmtId="0" fontId="16" fillId="0" borderId="4" xfId="0" applyFont="1" applyBorder="1" applyAlignment="1">
      <alignment horizontal="left" indent="1"/>
    </xf>
    <xf numFmtId="0" fontId="0" fillId="0" borderId="0" xfId="0" applyFont="1" applyAlignment="1"/>
    <xf numFmtId="0" fontId="12" fillId="5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10" fillId="0" borderId="0" xfId="0" applyFont="1"/>
    <xf numFmtId="0" fontId="17" fillId="5" borderId="7" xfId="0" applyFont="1" applyFill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Fill="1" applyBorder="1" applyAlignment="1" applyProtection="1">
      <alignment horizontal="left" vertical="center" indent="1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3" fontId="3" fillId="0" borderId="0" xfId="0" applyNumberFormat="1" applyFont="1" applyFill="1" applyBorder="1" applyAlignment="1" applyProtection="1">
      <alignment horizontal="right" vertical="center" inden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4" xfId="0" applyFont="1" applyFill="1" applyBorder="1" applyAlignment="1" applyProtection="1">
      <alignment horizontal="left" vertical="center" indent="3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14" xfId="0" applyNumberFormat="1" applyFont="1" applyFill="1" applyBorder="1" applyAlignment="1" applyProtection="1">
      <alignment horizontal="center" vertical="center"/>
      <protection hidden="1"/>
    </xf>
    <xf numFmtId="3" fontId="8" fillId="0" borderId="0" xfId="0" applyNumberFormat="1" applyFont="1" applyFill="1" applyBorder="1" applyAlignment="1" applyProtection="1">
      <alignment horizontal="right" vertical="center" indent="1"/>
      <protection hidden="1"/>
    </xf>
    <xf numFmtId="3" fontId="8" fillId="0" borderId="0" xfId="0" applyNumberFormat="1" applyFont="1" applyFill="1" applyBorder="1" applyAlignment="1" applyProtection="1">
      <alignment horizontal="right" vertical="center" wrapText="1" indent="1"/>
      <protection hidden="1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14" xfId="0" applyFont="1" applyFill="1" applyBorder="1" applyAlignment="1" applyProtection="1">
      <alignment horizontal="center" vertical="center"/>
      <protection hidden="1"/>
    </xf>
    <xf numFmtId="0" fontId="4" fillId="0" borderId="14" xfId="0" applyNumberFormat="1" applyFont="1" applyFill="1" applyBorder="1" applyAlignment="1" applyProtection="1">
      <alignment horizontal="center" vertical="center"/>
      <protection hidden="1"/>
    </xf>
    <xf numFmtId="0" fontId="4" fillId="0" borderId="13" xfId="0" applyFont="1" applyFill="1" applyBorder="1" applyAlignment="1" applyProtection="1">
      <alignment horizontal="center"/>
      <protection hidden="1"/>
    </xf>
    <xf numFmtId="3" fontId="4" fillId="0" borderId="10" xfId="0" applyNumberFormat="1" applyFont="1" applyFill="1" applyBorder="1" applyAlignment="1" applyProtection="1">
      <alignment horizontal="center"/>
      <protection hidden="1"/>
    </xf>
    <xf numFmtId="3" fontId="4" fillId="0" borderId="11" xfId="0" applyNumberFormat="1" applyFont="1" applyFill="1" applyBorder="1" applyAlignment="1" applyProtection="1">
      <alignment horizontal="center"/>
      <protection hidden="1"/>
    </xf>
    <xf numFmtId="3" fontId="4" fillId="0" borderId="13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Fill="1" applyBorder="1"/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3" fillId="0" borderId="0" xfId="0" applyFont="1" applyFill="1"/>
    <xf numFmtId="0" fontId="15" fillId="0" borderId="0" xfId="0" applyFont="1" applyAlignment="1">
      <alignment horizontal="right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NumberFormat="1" applyFont="1" applyFill="1" applyBorder="1" applyAlignment="1" applyProtection="1">
      <alignment vertical="center" wrapText="1"/>
      <protection hidden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8" fillId="0" borderId="0" xfId="0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 applyProtection="1">
      <alignment horizontal="left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/>
      <protection hidden="1"/>
    </xf>
    <xf numFmtId="3" fontId="4" fillId="4" borderId="14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/>
    <xf numFmtId="0" fontId="3" fillId="0" borderId="0" xfId="0" applyNumberFormat="1" applyFont="1" applyFill="1"/>
    <xf numFmtId="1" fontId="8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 applyProtection="1">
      <alignment horizontal="right" vertical="center" indent="1"/>
      <protection hidden="1"/>
    </xf>
    <xf numFmtId="0" fontId="13" fillId="0" borderId="0" xfId="0" applyNumberFormat="1" applyFont="1" applyAlignment="1"/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 wrapText="1"/>
    </xf>
    <xf numFmtId="3" fontId="20" fillId="0" borderId="0" xfId="0" applyNumberFormat="1" applyFont="1" applyFill="1" applyAlignment="1" applyProtection="1">
      <alignment horizontal="right" vertical="center" wrapText="1" indent="1"/>
      <protection hidden="1"/>
    </xf>
    <xf numFmtId="0" fontId="21" fillId="0" borderId="0" xfId="0" applyFont="1"/>
    <xf numFmtId="0" fontId="22" fillId="0" borderId="0" xfId="0" applyFont="1"/>
    <xf numFmtId="0" fontId="18" fillId="4" borderId="14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3" fontId="8" fillId="0" borderId="0" xfId="0" quotePrefix="1" applyNumberFormat="1" applyFont="1" applyFill="1" applyBorder="1" applyAlignment="1" applyProtection="1">
      <alignment horizontal="right" vertical="center" indent="1"/>
      <protection hidden="1"/>
    </xf>
    <xf numFmtId="3" fontId="8" fillId="0" borderId="0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8" fillId="0" borderId="0" xfId="0" applyFont="1" applyFill="1" applyBorder="1" applyAlignment="1" applyProtection="1">
      <alignment horizontal="right" vertical="center" indent="1"/>
      <protection hidden="1"/>
    </xf>
    <xf numFmtId="0" fontId="8" fillId="0" borderId="0" xfId="0" applyFont="1" applyFill="1" applyBorder="1" applyAlignment="1" applyProtection="1">
      <alignment horizontal="right" vertical="center" wrapText="1" indent="1"/>
      <protection hidden="1"/>
    </xf>
    <xf numFmtId="0" fontId="19" fillId="0" borderId="0" xfId="0" applyNumberFormat="1" applyFont="1" applyFill="1" applyAlignment="1">
      <alignment horizontal="right" vertical="center" indent="1"/>
    </xf>
    <xf numFmtId="0" fontId="7" fillId="0" borderId="0" xfId="0" applyNumberFormat="1" applyFont="1" applyFill="1" applyAlignment="1">
      <alignment horizontal="right" vertical="center" indent="1"/>
    </xf>
    <xf numFmtId="1" fontId="8" fillId="0" borderId="0" xfId="0" applyNumberFormat="1" applyFont="1" applyFill="1" applyBorder="1" applyAlignment="1" applyProtection="1">
      <alignment horizontal="right" vertical="center" indent="1"/>
      <protection hidden="1"/>
    </xf>
    <xf numFmtId="6" fontId="14" fillId="0" borderId="0" xfId="0" quotePrefix="1" applyNumberFormat="1" applyFont="1"/>
    <xf numFmtId="0" fontId="0" fillId="0" borderId="0" xfId="0" quotePrefix="1" applyFont="1"/>
    <xf numFmtId="0" fontId="0" fillId="0" borderId="0" xfId="0" applyFont="1" applyProtection="1">
      <protection locked="0"/>
    </xf>
    <xf numFmtId="0" fontId="7" fillId="6" borderId="0" xfId="0" applyFont="1" applyFill="1"/>
    <xf numFmtId="0" fontId="2" fillId="2" borderId="0" xfId="0" applyFont="1" applyFill="1" applyAlignment="1">
      <alignment horizontal="center" vertical="center"/>
    </xf>
    <xf numFmtId="49" fontId="4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3" fontId="4" fillId="4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Alignment="1">
      <alignment horizontal="left" vertical="center" wrapText="1" inden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23" fillId="0" borderId="0" xfId="0" applyFont="1"/>
  </cellXfs>
  <cellStyles count="1">
    <cellStyle name="Normal" xfId="0" builtinId="0"/>
  </cellStyles>
  <dxfs count="16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</dxf>
    <dxf>
      <border outline="0">
        <left style="medium">
          <color rgb="FFC0C0C0"/>
        </left>
        <right style="medium">
          <color rgb="FFC0C0C0"/>
        </right>
        <top style="medium">
          <color rgb="FFC0C0C0"/>
        </top>
        <bottom style="medium">
          <color rgb="FFC0C0C0"/>
        </bottom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border outline="0">
        <left style="medium">
          <color rgb="FFC0C0C0"/>
        </left>
        <right style="medium">
          <color rgb="FFC0C0C0"/>
        </right>
        <top style="medium">
          <color rgb="FFC0C0C0"/>
        </top>
        <bottom style="medium">
          <color rgb="FFC0C0C0"/>
        </bottom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right" vertical="center" textRotation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border outline="0">
        <left style="medium">
          <color rgb="FFC0C0C0"/>
        </left>
        <right style="medium">
          <color rgb="FFC0C0C0"/>
        </right>
        <top style="medium">
          <color rgb="FFC0C0C0"/>
        </top>
        <bottom style="medium">
          <color rgb="FFC0C0C0"/>
        </bottom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right" vertical="center" textRotation="0" wrapText="0" indent="1" justifyLastLine="0" shrinkToFit="0" readingOrder="0"/>
    </dxf>
    <dxf>
      <border outline="0">
        <left style="medium">
          <color rgb="FFC0C0C0"/>
        </left>
        <right style="medium">
          <color rgb="FFC0C0C0"/>
        </right>
        <top style="medium">
          <color rgb="FFC0C0C0"/>
        </top>
        <bottom style="medium">
          <color rgb="FFC0C0C0"/>
        </bottom>
      </border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Lines="6" dropStyle="combo" dx="16" fmlaLink="Jedinica1" fmlaRange="IzborJedinice" val="0"/>
</file>

<file path=xl/ctrlProps/ctrlProp2.xml><?xml version="1.0" encoding="utf-8"?>
<formControlPr xmlns="http://schemas.microsoft.com/office/spreadsheetml/2009/9/main" objectType="Drop" dropLines="2" dropStyle="combo" dx="16" fmlaLink="Jezik" fmlaRange="IzborJezika" val="0"/>
</file>

<file path=xl/ctrlProps/ctrlProp3.xml><?xml version="1.0" encoding="utf-8"?>
<formControlPr xmlns="http://schemas.microsoft.com/office/spreadsheetml/2009/9/main" objectType="Drop" dropLines="2" dropStyle="combo" dx="16" fmlaLink="$L$1" fmlaRange="$M$3:$M$4" sel="2" val="0"/>
</file>

<file path=xl/ctrlProps/ctrlProp4.xml><?xml version="1.0" encoding="utf-8"?>
<formControlPr xmlns="http://schemas.microsoft.com/office/spreadsheetml/2009/9/main" objectType="Drop" dropLines="3" dropStyle="combo" dx="16" fmlaLink="$R$1" fmlaRange="$S$3:$S$5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6</xdr:row>
      <xdr:rowOff>190499</xdr:rowOff>
    </xdr:from>
    <xdr:to>
      <xdr:col>2</xdr:col>
      <xdr:colOff>2629650</xdr:colOff>
      <xdr:row>11</xdr:row>
      <xdr:rowOff>105599</xdr:rowOff>
    </xdr:to>
    <xdr:pic>
      <xdr:nvPicPr>
        <xdr:cNvPr id="2" name="Picture 1" descr="Jezik.pn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05425" y="1504949"/>
          <a:ext cx="2077200" cy="867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1921650</xdr:colOff>
      <xdr:row>6</xdr:row>
      <xdr:rowOff>190499</xdr:rowOff>
    </xdr:from>
    <xdr:to>
      <xdr:col>1</xdr:col>
      <xdr:colOff>3998850</xdr:colOff>
      <xdr:row>11</xdr:row>
      <xdr:rowOff>105599</xdr:rowOff>
    </xdr:to>
    <xdr:pic>
      <xdr:nvPicPr>
        <xdr:cNvPr id="3" name="Picture 2" descr="Vrijednost.pn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5025" y="1314449"/>
          <a:ext cx="2077200" cy="867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1990725</xdr:colOff>
          <xdr:row>8</xdr:row>
          <xdr:rowOff>57150</xdr:rowOff>
        </xdr:from>
        <xdr:to>
          <xdr:col>1</xdr:col>
          <xdr:colOff>3905250</xdr:colOff>
          <xdr:row>9</xdr:row>
          <xdr:rowOff>104775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57150</xdr:rowOff>
        </xdr:from>
        <xdr:to>
          <xdr:col>2</xdr:col>
          <xdr:colOff>2524125</xdr:colOff>
          <xdr:row>9</xdr:row>
          <xdr:rowOff>104775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</xdr:row>
          <xdr:rowOff>57150</xdr:rowOff>
        </xdr:from>
        <xdr:to>
          <xdr:col>2</xdr:col>
          <xdr:colOff>1038225</xdr:colOff>
          <xdr:row>3</xdr:row>
          <xdr:rowOff>114300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</xdr:row>
          <xdr:rowOff>57150</xdr:rowOff>
        </xdr:from>
        <xdr:to>
          <xdr:col>2</xdr:col>
          <xdr:colOff>1038225</xdr:colOff>
          <xdr:row>5</xdr:row>
          <xdr:rowOff>114300</xdr:rowOff>
        </xdr:to>
        <xdr:sp macro="" textlink="">
          <xdr:nvSpPr>
            <xdr:cNvPr id="16388" name="Drop Dow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9" name="Summary" displayName="Summary" ref="A5:S15" totalsRowShown="0" headerRowDxfId="166" dataDxfId="165" tableBorderDxfId="164">
  <autoFilter ref="A5:S15"/>
  <tableColumns count="19">
    <tableColumn id="20" name="No" dataDxfId="163">
      <calculatedColumnFormula>ROW()-ROW(Summary[[#Headers],[No]])</calculatedColumnFormula>
    </tableColumn>
    <tableColumn id="1" name="Code" dataDxfId="162">
      <calculatedColumnFormula>VLOOKUP(Summary[[#This Row],[No]],Issuer[],2,0)</calculatedColumnFormula>
    </tableColumn>
    <tableColumn id="2" name="Column2" dataDxfId="161">
      <calculatedColumnFormula>VLOOKUP(Summary[[#This Row],[No]],Issuer[],3,0)</calculatedColumnFormula>
    </tableColumn>
    <tableColumn id="3" name="Column3" dataDxfId="160">
      <calculatedColumnFormula>IF(VLOOKUP(Summary[[#This Row],[Code]]&amp;D$2,Data[],1)=Summary[[#This Row],[Code]]&amp;D$2,VLOOKUP(Summary[[#This Row],[Code]]&amp;D$2,Data[],D$1)/Jedinica,"")</calculatedColumnFormula>
    </tableColumn>
    <tableColumn id="4" name="Column4" dataDxfId="159">
      <calculatedColumnFormula>IF(VLOOKUP(Summary[[#This Row],[Code]]&amp;E$2,Data[],1)=Summary[[#This Row],[Code]]&amp;E$2,VLOOKUP(Summary[[#This Row],[Code]]&amp;E$2,Data[],E$1)/Jedinica,"")</calculatedColumnFormula>
    </tableColumn>
    <tableColumn id="5" name="Column5" dataDxfId="158">
      <calculatedColumnFormula>IF(VLOOKUP(Summary[[#This Row],[Code]]&amp;F$2,Data[],1)=Summary[[#This Row],[Code]]&amp;F$2,VLOOKUP(Summary[[#This Row],[Code]]&amp;F$2,Data[],F$1)/Jedinica,"")</calculatedColumnFormula>
    </tableColumn>
    <tableColumn id="6" name="Column6" dataDxfId="157">
      <calculatedColumnFormula>IF(VLOOKUP(Summary[[#This Row],[Code]]&amp;G$2,Data[],1)=Summary[[#This Row],[Code]]&amp;G$2,VLOOKUP(Summary[[#This Row],[Code]]&amp;G$2,Data[],G$1)/Jedinica,"")</calculatedColumnFormula>
    </tableColumn>
    <tableColumn id="7" name="Column7" dataDxfId="156">
      <calculatedColumnFormula>IF(VLOOKUP(Summary[[#This Row],[Code]]&amp;H$2,Data[],1)=Summary[[#This Row],[Code]]&amp;H$2,VLOOKUP(Summary[[#This Row],[Code]]&amp;H$2,Data[],H$1)/Jedinica,"")</calculatedColumnFormula>
    </tableColumn>
    <tableColumn id="8" name="Column8" dataDxfId="155">
      <calculatedColumnFormula>IF(VLOOKUP(Summary[[#This Row],[Code]]&amp;I$2,Data[],1)=Summary[[#This Row],[Code]]&amp;I$2,VLOOKUP(Summary[[#This Row],[Code]]&amp;I$2,Data[],I$1)/Jedinica,"")</calculatedColumnFormula>
    </tableColumn>
    <tableColumn id="9" name="Column9" dataDxfId="154">
      <calculatedColumnFormula>IF(VLOOKUP(Summary[[#This Row],[Code]]&amp;J$2,Data[],1)=Summary[[#This Row],[Code]]&amp;J$2,VLOOKUP(Summary[[#This Row],[Code]]&amp;J$2,Data[],J$1)/Jedinica,"")</calculatedColumnFormula>
    </tableColumn>
    <tableColumn id="10" name="Column10" dataDxfId="153">
      <calculatedColumnFormula>IF(VLOOKUP(Summary[[#This Row],[Code]]&amp;K$2,Data[],1)=Summary[[#This Row],[Code]]&amp;K$2,VLOOKUP(Summary[[#This Row],[Code]]&amp;K$2,Data[],K$1)/Jedinica,"")</calculatedColumnFormula>
    </tableColumn>
    <tableColumn id="11" name="Column11" dataDxfId="152">
      <calculatedColumnFormula>IF(VLOOKUP(Summary[[#This Row],[Code]]&amp;L$2,Data[],1)=Summary[[#This Row],[Code]]&amp;L$2,VLOOKUP(Summary[[#This Row],[Code]]&amp;L$2,Data[],L$1)/Jedinica,"")</calculatedColumnFormula>
    </tableColumn>
    <tableColumn id="12" name="Column12" dataDxfId="151">
      <calculatedColumnFormula>IF(VLOOKUP(Summary[[#This Row],[Code]]&amp;M$2,Data[],1)=Summary[[#This Row],[Code]]&amp;M$2,VLOOKUP(Summary[[#This Row],[Code]]&amp;M$2,Data[],M$1)/Jedinica,"")</calculatedColumnFormula>
    </tableColumn>
    <tableColumn id="13" name="Column13" dataDxfId="150">
      <calculatedColumnFormula>IF(VLOOKUP(Summary[[#This Row],[Code]]&amp;N$2,Data[],1)=Summary[[#This Row],[Code]]&amp;N$2,VLOOKUP(Summary[[#This Row],[Code]]&amp;N$2,Data[],N$1)/Jedinica,"")</calculatedColumnFormula>
    </tableColumn>
    <tableColumn id="14" name="Column14" dataDxfId="149">
      <calculatedColumnFormula>IF(VLOOKUP(Summary[[#This Row],[Code]]&amp;O$2,Data[],1)=Summary[[#This Row],[Code]]&amp;O$2,VLOOKUP(Summary[[#This Row],[Code]]&amp;O$2,Data[],O$1)/Jedinica,"")</calculatedColumnFormula>
    </tableColumn>
    <tableColumn id="15" name="Column15" dataDxfId="148">
      <calculatedColumnFormula>IF(VLOOKUP(Summary[[#This Row],[Code]]&amp;P$2,Data[],1)=Summary[[#This Row],[Code]]&amp;P$2,VLOOKUP(Summary[[#This Row],[Code]]&amp;P$2,Data[],P$1)/Jedinica,"")</calculatedColumnFormula>
    </tableColumn>
    <tableColumn id="16" name="Column16" dataDxfId="147">
      <calculatedColumnFormula>IF(VLOOKUP(Summary[[#This Row],[Code]]&amp;Q$2,Data[],1)=Summary[[#This Row],[Code]]&amp;Q$2,VLOOKUP(Summary[[#This Row],[Code]]&amp;Q$2,Data[],Q$1)/Jedinica,"")</calculatedColumnFormula>
    </tableColumn>
    <tableColumn id="17" name="Column17" dataDxfId="146">
      <calculatedColumnFormula>IF(VLOOKUP(Summary[[#This Row],[Code]]&amp;R$2,Data[],1)=Summary[[#This Row],[Code]]&amp;R$2,VLOOKUP(Summary[[#This Row],[Code]]&amp;R$2,Data[],R$1)/Jedinica,"")</calculatedColumnFormula>
    </tableColumn>
    <tableColumn id="18" name="Column18" dataDxfId="145">
      <calculatedColumnFormula>IF(VLOOKUP(Summary[[#This Row],[Code]]&amp;S$2,Data[],1)=Summary[[#This Row],[Code]]&amp;S$2,VLOOKUP(Summary[[#This Row],[Code]]&amp;S$2,Data[],S$1)/Jedinica,"")</calculatedColumnFormula>
    </tableColumn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id="13" name="Table13" displayName="Table13" ref="Z2:AG5" totalsRowShown="0" headerRowDxfId="35" dataDxfId="34">
  <autoFilter ref="Z2:AG5"/>
  <tableColumns count="8">
    <tableColumn id="8" name="Redni broj" dataDxfId="33"/>
    <tableColumn id="1" name="Redni broj iz Aop Tabele" dataDxfId="32"/>
    <tableColumn id="2" name="BS Start" dataDxfId="31"/>
    <tableColumn id="3" name="BS End" dataDxfId="30"/>
    <tableColumn id="4" name="BU Start" dataDxfId="29"/>
    <tableColumn id="5" name="BU End" dataDxfId="28"/>
    <tableColumn id="6" name="BTG Start" dataDxfId="27"/>
    <tableColumn id="7" name="BTG End" dataDxfId="26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id="1" name="Issuer" displayName="Issuer" ref="A1:D11" totalsRowShown="0" headerRowDxfId="25" dataDxfId="24">
  <autoFilter ref="A1:D11"/>
  <tableColumns count="4">
    <tableColumn id="4" name="No" dataDxfId="23"/>
    <tableColumn id="1" name="Simbol" dataDxfId="22"/>
    <tableColumn id="2" name="Naziv" dataDxfId="21"/>
    <tableColumn id="3" name="Simbol - Naziv (formula)" dataDxfId="20">
      <calculatedColumnFormula>B2&amp;" - "&amp;C2</calculatedColumnFormula>
    </tableColumn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id="7" name="Data" displayName="Data" ref="A1:E2719" totalsRowShown="0" headerRowDxfId="19" dataDxfId="18">
  <autoFilter ref="A1:E2719"/>
  <sortState ref="A2:E2719">
    <sortCondition ref="A1:A2719"/>
  </sortState>
  <tableColumns count="5">
    <tableColumn id="1" name="IssuerAop" dataDxfId="17"/>
    <tableColumn id="2" name="Gross_Current" dataDxfId="16"/>
    <tableColumn id="3" name="Allowance" dataDxfId="15"/>
    <tableColumn id="4" name="Net_Current" dataDxfId="14"/>
    <tableColumn id="5" name="Net_Previous" dataDxfId="13"/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id="14" name="Aop_Bank" displayName="Aop_Bank" ref="A1:H282" totalsRowShown="0" headerRowDxfId="12" dataDxfId="11">
  <autoFilter ref="A1:H282"/>
  <tableColumns count="8">
    <tableColumn id="7" name="No" dataDxfId="10">
      <calculatedColumnFormula>ROW()-1</calculatedColumnFormula>
    </tableColumn>
    <tableColumn id="6" name="Aop_Level" dataDxfId="9"/>
    <tableColumn id="5" name="AOP_Text" dataDxfId="8">
      <calculatedColumnFormula>IF(Aop_Bank[[#This Row],[AOP]]="","",TEXT(Aop_Bank[[#This Row],[AOP]],"000"))</calculatedColumnFormula>
    </tableColumn>
    <tableColumn id="1" name="AOP" dataDxfId="7"/>
    <tableColumn id="2" name="Item_sr" dataDxfId="6"/>
    <tableColumn id="3" name="Item_en" dataDxfId="5"/>
    <tableColumn id="8" name="Balance" dataDxfId="4">
      <calculatedColumnFormula>REPT("  ",Aop_Bank[[#This Row],[Aop_Level]])&amp;IF(Jezik=2,Aop_Bank[[#This Row],[Item_en]],Aop_Bank[[#This Row],[Item_sr]])</calculatedColumnFormula>
    </tableColumn>
    <tableColumn id="4" name="Drop_Down_Menu" dataDxfId="3">
      <calculatedColumnFormula>Aop_Bank[[#This Row],[AOP_Text]]&amp;" - "&amp;TRIM(Aop_Bank[[#This Row],[Balance]])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10" name="Balance_Sheet" displayName="Balance_Sheet" ref="A5:AF110" totalsRowShown="0" headerRowDxfId="144" dataDxfId="143" tableBorderDxfId="142">
  <autoFilter ref="A5:AF110"/>
  <tableColumns count="32">
    <tableColumn id="32" name="No" dataDxfId="141"/>
    <tableColumn id="33" name="Level" dataDxfId="140"/>
    <tableColumn id="1" name="Aop" dataDxfId="139">
      <calculatedColumnFormula>VLOOKUP(Balance_Sheet[[#This Row],[No]],AOP_Balance,3,0)</calculatedColumnFormula>
    </tableColumn>
    <tableColumn id="2" name="Column2" dataDxfId="138">
      <calculatedColumnFormula>VLOOKUP(Balance_Sheet[[#This Row],[No]],AOP_Balance,7,0)</calculatedColumnFormula>
    </tableColumn>
    <tableColumn id="3" name="Column3" dataDxfId="137">
      <calculatedColumnFormula>IF(VLOOKUP(E$2&amp;Balance_Sheet[[#This Row],[Aop]],Data[],1)=E$2&amp;Balance_Sheet[[#This Row],[Aop]],VLOOKUP(E$2&amp;Balance_Sheet[[#This Row],[Aop]],Data[],E$1)/Jedinica,"")</calculatedColumnFormula>
    </tableColumn>
    <tableColumn id="4" name="Column4" dataDxfId="136">
      <calculatedColumnFormula>IF(VLOOKUP(F$2&amp;Balance_Sheet[[#This Row],[Aop]],Data[],1)=F$2&amp;Balance_Sheet[[#This Row],[Aop]],VLOOKUP(F$2&amp;Balance_Sheet[[#This Row],[Aop]],Data[],F$1)/Jedinica,"")</calculatedColumnFormula>
    </tableColumn>
    <tableColumn id="5" name="Column5" dataDxfId="135">
      <calculatedColumnFormula>IF(VLOOKUP(G$2&amp;Balance_Sheet[[#This Row],[Aop]],Data[],1)=G$2&amp;Balance_Sheet[[#This Row],[Aop]],VLOOKUP(G$2&amp;Balance_Sheet[[#This Row],[Aop]],Data[],G$1)/Jedinica,"")</calculatedColumnFormula>
    </tableColumn>
    <tableColumn id="6" name="Column6" dataDxfId="134">
      <calculatedColumnFormula>IF(VLOOKUP(H$2&amp;Balance_Sheet[[#This Row],[Aop]],Data[],1)=H$2&amp;Balance_Sheet[[#This Row],[Aop]],VLOOKUP(H$2&amp;Balance_Sheet[[#This Row],[Aop]],Data[],H$1)/Jedinica,"")</calculatedColumnFormula>
    </tableColumn>
    <tableColumn id="7" name="Column7" dataDxfId="133">
      <calculatedColumnFormula>IF(VLOOKUP(I$2&amp;Balance_Sheet[[#This Row],[Aop]],Data[],1)=I$2&amp;Balance_Sheet[[#This Row],[Aop]],VLOOKUP(I$2&amp;Balance_Sheet[[#This Row],[Aop]],Data[],I$1)/Jedinica,"")</calculatedColumnFormula>
    </tableColumn>
    <tableColumn id="8" name="Column8" dataDxfId="132">
      <calculatedColumnFormula>IF(VLOOKUP(J$2&amp;Balance_Sheet[[#This Row],[Aop]],Data[],1)=J$2&amp;Balance_Sheet[[#This Row],[Aop]],VLOOKUP(J$2&amp;Balance_Sheet[[#This Row],[Aop]],Data[],J$1)/Jedinica,"")</calculatedColumnFormula>
    </tableColumn>
    <tableColumn id="9" name="Column9" dataDxfId="131">
      <calculatedColumnFormula>IF(VLOOKUP(K$2&amp;Balance_Sheet[[#This Row],[Aop]],Data[],1)=K$2&amp;Balance_Sheet[[#This Row],[Aop]],VLOOKUP(K$2&amp;Balance_Sheet[[#This Row],[Aop]],Data[],K$1)/Jedinica,"")</calculatedColumnFormula>
    </tableColumn>
    <tableColumn id="10" name="Column10" dataDxfId="130">
      <calculatedColumnFormula>IF(VLOOKUP(L$2&amp;Balance_Sheet[[#This Row],[Aop]],Data[],1)=L$2&amp;Balance_Sheet[[#This Row],[Aop]],VLOOKUP(L$2&amp;Balance_Sheet[[#This Row],[Aop]],Data[],L$1)/Jedinica,"")</calculatedColumnFormula>
    </tableColumn>
    <tableColumn id="11" name="Column11" dataDxfId="129">
      <calculatedColumnFormula>IF(VLOOKUP(M$2&amp;Balance_Sheet[[#This Row],[Aop]],Data[],1)=M$2&amp;Balance_Sheet[[#This Row],[Aop]],VLOOKUP(M$2&amp;Balance_Sheet[[#This Row],[Aop]],Data[],M$1)/Jedinica,"")</calculatedColumnFormula>
    </tableColumn>
    <tableColumn id="12" name="Column12" dataDxfId="128">
      <calculatedColumnFormula>IF(VLOOKUP(N$2&amp;Balance_Sheet[[#This Row],[Aop]],Data[],1)=N$2&amp;Balance_Sheet[[#This Row],[Aop]],VLOOKUP(N$2&amp;Balance_Sheet[[#This Row],[Aop]],Data[],N$1)/Jedinica,"")</calculatedColumnFormula>
    </tableColumn>
    <tableColumn id="13" name="Column13" dataDxfId="127">
      <calculatedColumnFormula>IF(VLOOKUP(O$2&amp;Balance_Sheet[[#This Row],[Aop]],Data[],1)=O$2&amp;Balance_Sheet[[#This Row],[Aop]],VLOOKUP(O$2&amp;Balance_Sheet[[#This Row],[Aop]],Data[],O$1)/Jedinica,"")</calculatedColumnFormula>
    </tableColumn>
    <tableColumn id="14" name="Column14" dataDxfId="126">
      <calculatedColumnFormula>IF(VLOOKUP(P$2&amp;Balance_Sheet[[#This Row],[Aop]],Data[],1)=P$2&amp;Balance_Sheet[[#This Row],[Aop]],VLOOKUP(P$2&amp;Balance_Sheet[[#This Row],[Aop]],Data[],P$1)/Jedinica,"")</calculatedColumnFormula>
    </tableColumn>
    <tableColumn id="15" name="Column15" dataDxfId="125">
      <calculatedColumnFormula>IF(VLOOKUP(Q$2&amp;Balance_Sheet[[#This Row],[Aop]],Data[],1)=Q$2&amp;Balance_Sheet[[#This Row],[Aop]],VLOOKUP(Q$2&amp;Balance_Sheet[[#This Row],[Aop]],Data[],Q$1)/Jedinica,"")</calculatedColumnFormula>
    </tableColumn>
    <tableColumn id="16" name="Column16" dataDxfId="124">
      <calculatedColumnFormula>IF(VLOOKUP(R$2&amp;Balance_Sheet[[#This Row],[Aop]],Data[],1)=R$2&amp;Balance_Sheet[[#This Row],[Aop]],VLOOKUP(R$2&amp;Balance_Sheet[[#This Row],[Aop]],Data[],R$1)/Jedinica,"")</calculatedColumnFormula>
    </tableColumn>
    <tableColumn id="17" name="Column17" dataDxfId="123">
      <calculatedColumnFormula>IF(VLOOKUP(S$2&amp;Balance_Sheet[[#This Row],[Aop]],Data[],1)=S$2&amp;Balance_Sheet[[#This Row],[Aop]],VLOOKUP(S$2&amp;Balance_Sheet[[#This Row],[Aop]],Data[],S$1)/Jedinica,"")</calculatedColumnFormula>
    </tableColumn>
    <tableColumn id="18" name="Column18" dataDxfId="122">
      <calculatedColumnFormula>IF(VLOOKUP(T$2&amp;Balance_Sheet[[#This Row],[Aop]],Data[],1)=T$2&amp;Balance_Sheet[[#This Row],[Aop]],VLOOKUP(T$2&amp;Balance_Sheet[[#This Row],[Aop]],Data[],T$1)/Jedinica,"")</calculatedColumnFormula>
    </tableColumn>
    <tableColumn id="19" name="Column19" dataDxfId="121">
      <calculatedColumnFormula>IF(VLOOKUP(U$2&amp;Balance_Sheet[[#This Row],[Aop]],Data[],1)=U$2&amp;Balance_Sheet[[#This Row],[Aop]],VLOOKUP(U$2&amp;Balance_Sheet[[#This Row],[Aop]],Data[],U$1)/Jedinica,"")</calculatedColumnFormula>
    </tableColumn>
    <tableColumn id="20" name="Column20" dataDxfId="120">
      <calculatedColumnFormula>IF(VLOOKUP(V$2&amp;Balance_Sheet[[#This Row],[Aop]],Data[],1)=V$2&amp;Balance_Sheet[[#This Row],[Aop]],VLOOKUP(V$2&amp;Balance_Sheet[[#This Row],[Aop]],Data[],V$1)/Jedinica,"")</calculatedColumnFormula>
    </tableColumn>
    <tableColumn id="21" name="Column21" dataDxfId="119">
      <calculatedColumnFormula>IF(VLOOKUP(W$2&amp;Balance_Sheet[[#This Row],[Aop]],Data[],1)=W$2&amp;Balance_Sheet[[#This Row],[Aop]],VLOOKUP(W$2&amp;Balance_Sheet[[#This Row],[Aop]],Data[],W$1)/Jedinica,"")</calculatedColumnFormula>
    </tableColumn>
    <tableColumn id="22" name="Column22" dataDxfId="118">
      <calculatedColumnFormula>IF(VLOOKUP(X$2&amp;Balance_Sheet[[#This Row],[Aop]],Data[],1)=X$2&amp;Balance_Sheet[[#This Row],[Aop]],VLOOKUP(X$2&amp;Balance_Sheet[[#This Row],[Aop]],Data[],X$1)/Jedinica,"")</calculatedColumnFormula>
    </tableColumn>
    <tableColumn id="23" name="Column23" dataDxfId="117">
      <calculatedColumnFormula>IF(VLOOKUP(Y$2&amp;Balance_Sheet[[#This Row],[Aop]],Data[],1)=Y$2&amp;Balance_Sheet[[#This Row],[Aop]],VLOOKUP(Y$2&amp;Balance_Sheet[[#This Row],[Aop]],Data[],Y$1)/Jedinica,"")</calculatedColumnFormula>
    </tableColumn>
    <tableColumn id="24" name="Column24" dataDxfId="116">
      <calculatedColumnFormula>IF(VLOOKUP(Z$2&amp;Balance_Sheet[[#This Row],[Aop]],Data[],1)=Z$2&amp;Balance_Sheet[[#This Row],[Aop]],VLOOKUP(Z$2&amp;Balance_Sheet[[#This Row],[Aop]],Data[],Z$1)/Jedinica,"")</calculatedColumnFormula>
    </tableColumn>
    <tableColumn id="25" name="Column25" dataDxfId="115">
      <calculatedColumnFormula>IF(VLOOKUP(AA$2&amp;Balance_Sheet[[#This Row],[Aop]],Data[],1)=AA$2&amp;Balance_Sheet[[#This Row],[Aop]],VLOOKUP(AA$2&amp;Balance_Sheet[[#This Row],[Aop]],Data[],AA$1)/Jedinica,"")</calculatedColumnFormula>
    </tableColumn>
    <tableColumn id="26" name="Column26" dataDxfId="114">
      <calculatedColumnFormula>IF(VLOOKUP(AB$2&amp;Balance_Sheet[[#This Row],[Aop]],Data[],1)=AB$2&amp;Balance_Sheet[[#This Row],[Aop]],VLOOKUP(AB$2&amp;Balance_Sheet[[#This Row],[Aop]],Data[],AB$1)/Jedinica,"")</calculatedColumnFormula>
    </tableColumn>
    <tableColumn id="27" name="Column27" dataDxfId="113">
      <calculatedColumnFormula>IF(VLOOKUP(AC$2&amp;Balance_Sheet[[#This Row],[Aop]],Data[],1)=AC$2&amp;Balance_Sheet[[#This Row],[Aop]],VLOOKUP(AC$2&amp;Balance_Sheet[[#This Row],[Aop]],Data[],AC$1)/Jedinica,"")</calculatedColumnFormula>
    </tableColumn>
    <tableColumn id="28" name="Column28" dataDxfId="112">
      <calculatedColumnFormula>IF(VLOOKUP(AD$2&amp;Balance_Sheet[[#This Row],[Aop]],Data[],1)=AD$2&amp;Balance_Sheet[[#This Row],[Aop]],VLOOKUP(AD$2&amp;Balance_Sheet[[#This Row],[Aop]],Data[],AD$1)/Jedinica,"")</calculatedColumnFormula>
    </tableColumn>
    <tableColumn id="29" name="Column29" dataDxfId="111">
      <calculatedColumnFormula>IF(VLOOKUP(AE$2&amp;Balance_Sheet[[#This Row],[Aop]],Data[],1)=AE$2&amp;Balance_Sheet[[#This Row],[Aop]],VLOOKUP(AE$2&amp;Balance_Sheet[[#This Row],[Aop]],Data[],AE$1)/Jedinica,"")</calculatedColumnFormula>
    </tableColumn>
    <tableColumn id="30" name="Column30" dataDxfId="110">
      <calculatedColumnFormula>IF(VLOOKUP(AF$2&amp;Balance_Sheet[[#This Row],[Aop]],Data[],1)=AF$2&amp;Balance_Sheet[[#This Row],[Aop]],VLOOKUP(AF$2&amp;Balance_Sheet[[#This Row],[Aop]],Data[],AF$1)/Jedinica,"")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11" name="Income_Statement" displayName="Income_Statement" ref="A5:T137" totalsRowShown="0" headerRowDxfId="109" dataDxfId="108" tableBorderDxfId="107">
  <autoFilter ref="A5:T137"/>
  <tableColumns count="20">
    <tableColumn id="19" name="No" dataDxfId="106"/>
    <tableColumn id="20" name="Level" dataDxfId="105"/>
    <tableColumn id="1" name="Aop" dataDxfId="104">
      <calculatedColumnFormula>VLOOKUP(Income_Statement[[#This Row],[No]],AOP_Balance,3,0)</calculatedColumnFormula>
    </tableColumn>
    <tableColumn id="2" name="Column2" dataDxfId="103">
      <calculatedColumnFormula>VLOOKUP(Income_Statement[[#This Row],[No]],AOP_Balance,7,0)</calculatedColumnFormula>
    </tableColumn>
    <tableColumn id="3" name="Column3" dataDxfId="102">
      <calculatedColumnFormula>IF(VLOOKUP(E$2&amp;Income_Statement[[#This Row],[Aop]],Data[],1)=E$2&amp;Income_Statement[[#This Row],[Aop]],VLOOKUP(E$2&amp;Income_Statement[[#This Row],[Aop]],Data[],E$1)/Jedinica,"")</calculatedColumnFormula>
    </tableColumn>
    <tableColumn id="4" name="Column4" dataDxfId="101">
      <calculatedColumnFormula>IF(VLOOKUP(F$2&amp;Income_Statement[[#This Row],[Aop]],Data[],1)=F$2&amp;Income_Statement[[#This Row],[Aop]],VLOOKUP(F$2&amp;Income_Statement[[#This Row],[Aop]],Data[],F$1)/Jedinica,"")</calculatedColumnFormula>
    </tableColumn>
    <tableColumn id="5" name="Column5" dataDxfId="100">
      <calculatedColumnFormula>IF(VLOOKUP(G$2&amp;Income_Statement[[#This Row],[Aop]],Data[],1)=G$2&amp;Income_Statement[[#This Row],[Aop]],VLOOKUP(G$2&amp;Income_Statement[[#This Row],[Aop]],Data[],G$1)/Jedinica,"")</calculatedColumnFormula>
    </tableColumn>
    <tableColumn id="6" name="Column6" dataDxfId="99">
      <calculatedColumnFormula>IF(VLOOKUP(H$2&amp;Income_Statement[[#This Row],[Aop]],Data[],1)=H$2&amp;Income_Statement[[#This Row],[Aop]],VLOOKUP(H$2&amp;Income_Statement[[#This Row],[Aop]],Data[],H$1)/Jedinica,"")</calculatedColumnFormula>
    </tableColumn>
    <tableColumn id="7" name="Column7" dataDxfId="98">
      <calculatedColumnFormula>IF(VLOOKUP(I$2&amp;Income_Statement[[#This Row],[Aop]],Data[],1)=I$2&amp;Income_Statement[[#This Row],[Aop]],VLOOKUP(I$2&amp;Income_Statement[[#This Row],[Aop]],Data[],I$1)/Jedinica,"")</calculatedColumnFormula>
    </tableColumn>
    <tableColumn id="8" name="Column8" dataDxfId="97">
      <calculatedColumnFormula>IF(VLOOKUP(J$2&amp;Income_Statement[[#This Row],[Aop]],Data[],1)=J$2&amp;Income_Statement[[#This Row],[Aop]],VLOOKUP(J$2&amp;Income_Statement[[#This Row],[Aop]],Data[],J$1)/Jedinica,"")</calculatedColumnFormula>
    </tableColumn>
    <tableColumn id="9" name="Column9" dataDxfId="96">
      <calculatedColumnFormula>IF(VLOOKUP(K$2&amp;Income_Statement[[#This Row],[Aop]],Data[],1)=K$2&amp;Income_Statement[[#This Row],[Aop]],VLOOKUP(K$2&amp;Income_Statement[[#This Row],[Aop]],Data[],K$1)/Jedinica,"")</calculatedColumnFormula>
    </tableColumn>
    <tableColumn id="10" name="Column10" dataDxfId="95">
      <calculatedColumnFormula>IF(VLOOKUP(L$2&amp;Income_Statement[[#This Row],[Aop]],Data[],1)=L$2&amp;Income_Statement[[#This Row],[Aop]],VLOOKUP(L$2&amp;Income_Statement[[#This Row],[Aop]],Data[],L$1)/Jedinica,"")</calculatedColumnFormula>
    </tableColumn>
    <tableColumn id="11" name="Column11" dataDxfId="94">
      <calculatedColumnFormula>IF(VLOOKUP(M$2&amp;Income_Statement[[#This Row],[Aop]],Data[],1)=M$2&amp;Income_Statement[[#This Row],[Aop]],VLOOKUP(M$2&amp;Income_Statement[[#This Row],[Aop]],Data[],M$1)/Jedinica,"")</calculatedColumnFormula>
    </tableColumn>
    <tableColumn id="12" name="Column12" dataDxfId="93">
      <calculatedColumnFormula>IF(VLOOKUP(N$2&amp;Income_Statement[[#This Row],[Aop]],Data[],1)=N$2&amp;Income_Statement[[#This Row],[Aop]],VLOOKUP(N$2&amp;Income_Statement[[#This Row],[Aop]],Data[],N$1)/Jedinica,"")</calculatedColumnFormula>
    </tableColumn>
    <tableColumn id="13" name="Column13" dataDxfId="92">
      <calculatedColumnFormula>IF(VLOOKUP(O$2&amp;Income_Statement[[#This Row],[Aop]],Data[],1)=O$2&amp;Income_Statement[[#This Row],[Aop]],VLOOKUP(O$2&amp;Income_Statement[[#This Row],[Aop]],Data[],O$1)/Jedinica,"")</calculatedColumnFormula>
    </tableColumn>
    <tableColumn id="14" name="Column14" dataDxfId="91">
      <calculatedColumnFormula>IF(VLOOKUP(P$2&amp;Income_Statement[[#This Row],[Aop]],Data[],1)=P$2&amp;Income_Statement[[#This Row],[Aop]],VLOOKUP(P$2&amp;Income_Statement[[#This Row],[Aop]],Data[],P$1)/Jedinica,"")</calculatedColumnFormula>
    </tableColumn>
    <tableColumn id="15" name="Column15" dataDxfId="90">
      <calculatedColumnFormula>IF(VLOOKUP(Q$2&amp;Income_Statement[[#This Row],[Aop]],Data[],1)=Q$2&amp;Income_Statement[[#This Row],[Aop]],VLOOKUP(Q$2&amp;Income_Statement[[#This Row],[Aop]],Data[],Q$1)/Jedinica,"")</calculatedColumnFormula>
    </tableColumn>
    <tableColumn id="16" name="Column16" dataDxfId="89">
      <calculatedColumnFormula>IF(VLOOKUP(R$2&amp;Income_Statement[[#This Row],[Aop]],Data[],1)=R$2&amp;Income_Statement[[#This Row],[Aop]],VLOOKUP(R$2&amp;Income_Statement[[#This Row],[Aop]],Data[],R$1)/Jedinica,"")</calculatedColumnFormula>
    </tableColumn>
    <tableColumn id="17" name="Column17" dataDxfId="88">
      <calculatedColumnFormula>IF(VLOOKUP(S$2&amp;Income_Statement[[#This Row],[Aop]],Data[],1)=S$2&amp;Income_Statement[[#This Row],[Aop]],VLOOKUP(S$2&amp;Income_Statement[[#This Row],[Aop]],Data[],S$1)/Jedinica,"")</calculatedColumnFormula>
    </tableColumn>
    <tableColumn id="18" name="Column18" dataDxfId="87">
      <calculatedColumnFormula>IF(VLOOKUP(T$2&amp;Income_Statement[[#This Row],[Aop]],Data[],1)=T$2&amp;Income_Statement[[#This Row],[Aop]],VLOOKUP(T$2&amp;Income_Statement[[#This Row],[Aop]],Data[],T$1)/Jedinica,"")</calculatedColumnFormula>
    </tableColumn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id="12" name="Cash_Flow_Statement" displayName="Cash_Flow_Statement" ref="A5:T49" totalsRowShown="0" headerRowDxfId="86" dataDxfId="85" tableBorderDxfId="84">
  <autoFilter ref="A5:T49"/>
  <tableColumns count="20">
    <tableColumn id="19" name="No" dataDxfId="83"/>
    <tableColumn id="20" name="Level" dataDxfId="82"/>
    <tableColumn id="1" name="Aop" dataDxfId="81">
      <calculatedColumnFormula>VLOOKUP(Cash_Flow_Statement[[#This Row],[No]],AOP_Balance,3,0)</calculatedColumnFormula>
    </tableColumn>
    <tableColumn id="2" name="Column2" dataDxfId="80">
      <calculatedColumnFormula>VLOOKUP(Cash_Flow_Statement[[#This Row],[No]],AOP_Balance,7,0)</calculatedColumnFormula>
    </tableColumn>
    <tableColumn id="3" name="Column3" dataDxfId="79">
      <calculatedColumnFormula>IF(VLOOKUP(E$2&amp;Cash_Flow_Statement[[#This Row],[Aop]],Data[],1)=E$2&amp;Cash_Flow_Statement[[#This Row],[Aop]],VLOOKUP(E$2&amp;Cash_Flow_Statement[[#This Row],[Aop]],Data[],E$1)/Jedinica,"")</calculatedColumnFormula>
    </tableColumn>
    <tableColumn id="4" name="Column4" dataDxfId="78">
      <calculatedColumnFormula>IF(VLOOKUP(F$2&amp;Cash_Flow_Statement[[#This Row],[Aop]],Data[],1)=F$2&amp;Cash_Flow_Statement[[#This Row],[Aop]],VLOOKUP(F$2&amp;Cash_Flow_Statement[[#This Row],[Aop]],Data[],F$1)/Jedinica,"")</calculatedColumnFormula>
    </tableColumn>
    <tableColumn id="5" name="Column5" dataDxfId="77">
      <calculatedColumnFormula>IF(VLOOKUP(G$2&amp;Cash_Flow_Statement[[#This Row],[Aop]],Data[],1)=G$2&amp;Cash_Flow_Statement[[#This Row],[Aop]],VLOOKUP(G$2&amp;Cash_Flow_Statement[[#This Row],[Aop]],Data[],G$1)/Jedinica,"")</calculatedColumnFormula>
    </tableColumn>
    <tableColumn id="6" name="Column6" dataDxfId="76">
      <calculatedColumnFormula>IF(VLOOKUP(H$2&amp;Cash_Flow_Statement[[#This Row],[Aop]],Data[],1)=H$2&amp;Cash_Flow_Statement[[#This Row],[Aop]],VLOOKUP(H$2&amp;Cash_Flow_Statement[[#This Row],[Aop]],Data[],H$1)/Jedinica,"")</calculatedColumnFormula>
    </tableColumn>
    <tableColumn id="7" name="Column7" dataDxfId="75">
      <calculatedColumnFormula>IF(VLOOKUP(I$2&amp;Cash_Flow_Statement[[#This Row],[Aop]],Data[],1)=I$2&amp;Cash_Flow_Statement[[#This Row],[Aop]],VLOOKUP(I$2&amp;Cash_Flow_Statement[[#This Row],[Aop]],Data[],I$1)/Jedinica,"")</calculatedColumnFormula>
    </tableColumn>
    <tableColumn id="8" name="Column8" dataDxfId="74">
      <calculatedColumnFormula>IF(VLOOKUP(J$2&amp;Cash_Flow_Statement[[#This Row],[Aop]],Data[],1)=J$2&amp;Cash_Flow_Statement[[#This Row],[Aop]],VLOOKUP(J$2&amp;Cash_Flow_Statement[[#This Row],[Aop]],Data[],J$1)/Jedinica,"")</calculatedColumnFormula>
    </tableColumn>
    <tableColumn id="9" name="Column9" dataDxfId="73">
      <calculatedColumnFormula>IF(VLOOKUP(K$2&amp;Cash_Flow_Statement[[#This Row],[Aop]],Data[],1)=K$2&amp;Cash_Flow_Statement[[#This Row],[Aop]],VLOOKUP(K$2&amp;Cash_Flow_Statement[[#This Row],[Aop]],Data[],K$1)/Jedinica,"")</calculatedColumnFormula>
    </tableColumn>
    <tableColumn id="10" name="Column10" dataDxfId="72">
      <calculatedColumnFormula>IF(VLOOKUP(L$2&amp;Cash_Flow_Statement[[#This Row],[Aop]],Data[],1)=L$2&amp;Cash_Flow_Statement[[#This Row],[Aop]],VLOOKUP(L$2&amp;Cash_Flow_Statement[[#This Row],[Aop]],Data[],L$1)/Jedinica,"")</calculatedColumnFormula>
    </tableColumn>
    <tableColumn id="11" name="Column11" dataDxfId="71">
      <calculatedColumnFormula>IF(VLOOKUP(M$2&amp;Cash_Flow_Statement[[#This Row],[Aop]],Data[],1)=M$2&amp;Cash_Flow_Statement[[#This Row],[Aop]],VLOOKUP(M$2&amp;Cash_Flow_Statement[[#This Row],[Aop]],Data[],M$1)/Jedinica,"")</calculatedColumnFormula>
    </tableColumn>
    <tableColumn id="12" name="Column12" dataDxfId="70">
      <calculatedColumnFormula>IF(VLOOKUP(N$2&amp;Cash_Flow_Statement[[#This Row],[Aop]],Data[],1)=N$2&amp;Cash_Flow_Statement[[#This Row],[Aop]],VLOOKUP(N$2&amp;Cash_Flow_Statement[[#This Row],[Aop]],Data[],N$1)/Jedinica,"")</calculatedColumnFormula>
    </tableColumn>
    <tableColumn id="13" name="Column13" dataDxfId="69">
      <calculatedColumnFormula>IF(VLOOKUP(O$2&amp;Cash_Flow_Statement[[#This Row],[Aop]],Data[],1)=O$2&amp;Cash_Flow_Statement[[#This Row],[Aop]],VLOOKUP(O$2&amp;Cash_Flow_Statement[[#This Row],[Aop]],Data[],O$1)/Jedinica,"")</calculatedColumnFormula>
    </tableColumn>
    <tableColumn id="14" name="Column14" dataDxfId="68">
      <calculatedColumnFormula>IF(VLOOKUP(P$2&amp;Cash_Flow_Statement[[#This Row],[Aop]],Data[],1)=P$2&amp;Cash_Flow_Statement[[#This Row],[Aop]],VLOOKUP(P$2&amp;Cash_Flow_Statement[[#This Row],[Aop]],Data[],P$1)/Jedinica,"")</calculatedColumnFormula>
    </tableColumn>
    <tableColumn id="15" name="Column15" dataDxfId="67">
      <calculatedColumnFormula>IF(VLOOKUP(Q$2&amp;Cash_Flow_Statement[[#This Row],[Aop]],Data[],1)=Q$2&amp;Cash_Flow_Statement[[#This Row],[Aop]],VLOOKUP(Q$2&amp;Cash_Flow_Statement[[#This Row],[Aop]],Data[],Q$1)/Jedinica,"")</calculatedColumnFormula>
    </tableColumn>
    <tableColumn id="16" name="Column16" dataDxfId="66">
      <calculatedColumnFormula>IF(VLOOKUP(R$2&amp;Cash_Flow_Statement[[#This Row],[Aop]],Data[],1)=R$2&amp;Cash_Flow_Statement[[#This Row],[Aop]],VLOOKUP(R$2&amp;Cash_Flow_Statement[[#This Row],[Aop]],Data[],R$1)/Jedinica,"")</calculatedColumnFormula>
    </tableColumn>
    <tableColumn id="17" name="Column17" dataDxfId="65">
      <calculatedColumnFormula>IF(VLOOKUP(S$2&amp;Cash_Flow_Statement[[#This Row],[Aop]],Data[],1)=S$2&amp;Cash_Flow_Statement[[#This Row],[Aop]],VLOOKUP(S$2&amp;Cash_Flow_Statement[[#This Row],[Aop]],Data[],S$1)/Jedinica,"")</calculatedColumnFormula>
    </tableColumn>
    <tableColumn id="18" name="Column18" dataDxfId="64">
      <calculatedColumnFormula>IF(VLOOKUP(T$2&amp;Cash_Flow_Statement[[#This Row],[Aop]],Data[],1)=T$2&amp;Cash_Flow_Statement[[#This Row],[Aop]],VLOOKUP(T$2&amp;Cash_Flow_Statement[[#This Row],[Aop]],Data[],T$1)/Jedinica,"")</calculatedColumnFormula>
    </tableColumn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id="2" name="Table2" displayName="Table2" ref="E2:G6" totalsRowShown="0" headerRowDxfId="63" dataDxfId="62">
  <autoFilter ref="E2:G6"/>
  <tableColumns count="3">
    <tableColumn id="1" name="Redni broj" dataDxfId="61"/>
    <tableColumn id="2" name="Prikaz vrijednosti" dataDxfId="60"/>
    <tableColumn id="3" name="Padajuci meni" dataDxfId="59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3" name="Table3" displayName="Table3" ref="L2:P4" totalsRowShown="0" headerRowDxfId="58" dataDxfId="57">
  <autoFilter ref="L2:P4"/>
  <tableColumns count="5">
    <tableColumn id="1" name="Redni broj" dataDxfId="56"/>
    <tableColumn id="2" name="Vrsta izvjestaja sr" dataDxfId="55"/>
    <tableColumn id="3" name="Vrsta izvjestaja en" dataDxfId="54"/>
    <tableColumn id="4" name="Vrsta izvjestaja1 sr" dataDxfId="53"/>
    <tableColumn id="5" name="Vrsta izvjestaja1 en" dataDxfId="52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id="4" name="Table4" displayName="Table4" ref="R2:T5" totalsRowShown="0" headerRowDxfId="51" dataDxfId="50">
  <autoFilter ref="R2:T5"/>
  <tableColumns count="3">
    <tableColumn id="1" name="Redni broj" dataDxfId="49"/>
    <tableColumn id="2" name="Vrsta kompanija sr" dataDxfId="48"/>
    <tableColumn id="3" name="Vrsta kompanija en" dataDxfId="47"/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id="5" name="Table5" displayName="Table5" ref="I2:J4" totalsRowShown="0" headerRowDxfId="46" dataDxfId="44" headerRowBorderDxfId="45" tableBorderDxfId="43">
  <autoFilter ref="I2:J4"/>
  <tableColumns count="2">
    <tableColumn id="1" name="Redni broj" dataDxfId="42"/>
    <tableColumn id="2" name="Jezik" dataDxfId="41"/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id="6" name="Table6" displayName="Table6" ref="V2:X11" totalsRowShown="0" headerRowDxfId="40" dataDxfId="39">
  <autoFilter ref="V2:X11"/>
  <tableColumns count="3">
    <tableColumn id="1" name="Srpski" dataDxfId="38"/>
    <tableColumn id="2" name="Engleski" dataDxfId="37"/>
    <tableColumn id="3" name="Prikaz" dataDxfId="36">
      <calculatedColumnFormula>IF(Jezik=2,Table6[[#This Row],[Engleski]],Table6[[#This Row],[Srpski]])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ctrlProp" Target="../ctrlProps/ctrlProp4.xml"/><Relationship Id="rId10" Type="http://schemas.openxmlformats.org/officeDocument/2006/relationships/table" Target="../tables/table9.xml"/><Relationship Id="rId4" Type="http://schemas.openxmlformats.org/officeDocument/2006/relationships/ctrlProp" Target="../ctrlProps/ctrlProp3.xml"/><Relationship Id="rId9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5"/>
  </sheetPr>
  <dimension ref="B2:C15"/>
  <sheetViews>
    <sheetView showGridLines="0" showRowColHeaders="0" tabSelected="1" workbookViewId="0"/>
  </sheetViews>
  <sheetFormatPr defaultRowHeight="15" x14ac:dyDescent="0.25"/>
  <cols>
    <col min="1" max="1" width="5" customWidth="1"/>
    <col min="2" max="2" width="66.28515625" bestFit="1" customWidth="1"/>
    <col min="3" max="3" width="67.7109375" bestFit="1" customWidth="1"/>
  </cols>
  <sheetData>
    <row r="2" spans="2:3" ht="21" x14ac:dyDescent="0.35">
      <c r="B2" s="15" t="str">
        <f>Settings!$S$1</f>
        <v>Banke</v>
      </c>
      <c r="C2" s="16" t="str">
        <f>Settings!$T$1</f>
        <v>Banks</v>
      </c>
    </row>
    <row r="3" spans="2:3" ht="21" x14ac:dyDescent="0.25">
      <c r="B3" s="1" t="str">
        <f>Settings!$C$10</f>
        <v>Polugodišnji finansijski izvještaji za 2013. godinu</v>
      </c>
      <c r="C3" s="2" t="str">
        <f>Settings!$C$11</f>
        <v>Semi-Annual Financial Statements for 2013</v>
      </c>
    </row>
    <row r="4" spans="2:3" x14ac:dyDescent="0.25">
      <c r="B4" s="3"/>
      <c r="C4" s="4"/>
    </row>
    <row r="5" spans="2:3" ht="18.75" x14ac:dyDescent="0.25">
      <c r="B5" s="5" t="s">
        <v>5</v>
      </c>
      <c r="C5" s="6" t="s">
        <v>6</v>
      </c>
    </row>
    <row r="6" spans="2:3" ht="18.75" x14ac:dyDescent="0.25">
      <c r="B6" s="5" t="s">
        <v>7</v>
      </c>
      <c r="C6" s="6" t="s">
        <v>8</v>
      </c>
    </row>
    <row r="7" spans="2:3" x14ac:dyDescent="0.25">
      <c r="B7" s="87"/>
      <c r="C7" s="87"/>
    </row>
    <row r="8" spans="2:3" x14ac:dyDescent="0.25">
      <c r="B8" s="87"/>
      <c r="C8" s="87"/>
    </row>
    <row r="9" spans="2:3" x14ac:dyDescent="0.25">
      <c r="B9" s="87"/>
      <c r="C9" s="87"/>
    </row>
    <row r="10" spans="2:3" x14ac:dyDescent="0.25">
      <c r="B10" s="87"/>
      <c r="C10" s="87"/>
    </row>
    <row r="11" spans="2:3" x14ac:dyDescent="0.25">
      <c r="B11" s="87"/>
      <c r="C11" s="87"/>
    </row>
    <row r="12" spans="2:3" x14ac:dyDescent="0.25">
      <c r="B12" s="87"/>
      <c r="C12" s="87"/>
    </row>
    <row r="13" spans="2:3" x14ac:dyDescent="0.25">
      <c r="B13" s="87"/>
      <c r="C13" s="87"/>
    </row>
    <row r="15" spans="2:3" x14ac:dyDescent="0.25">
      <c r="C15" s="27" t="str">
        <f>Settings!$C$7</f>
        <v>Financial Statements are not available in English.</v>
      </c>
    </row>
  </sheetData>
  <sheetProtection password="CBEB" sheet="1" objects="1" scenarios="1" selectLockedCells="1" selectUnlockedCells="1"/>
  <mergeCells count="1">
    <mergeCell ref="B7:C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Drop Down 1">
              <controlPr defaultSize="0" autoLine="0" autoPict="0">
                <anchor moveWithCells="1">
                  <from>
                    <xdr:col>1</xdr:col>
                    <xdr:colOff>1990725</xdr:colOff>
                    <xdr:row>8</xdr:row>
                    <xdr:rowOff>57150</xdr:rowOff>
                  </from>
                  <to>
                    <xdr:col>1</xdr:col>
                    <xdr:colOff>3905250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Drop Down 2">
              <controlPr defaultSize="0" autoLine="0" autoPict="0">
                <anchor moveWithCells="1">
                  <from>
                    <xdr:col>2</xdr:col>
                    <xdr:colOff>609600</xdr:colOff>
                    <xdr:row>8</xdr:row>
                    <xdr:rowOff>57150</xdr:rowOff>
                  </from>
                  <to>
                    <xdr:col>2</xdr:col>
                    <xdr:colOff>2524125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3"/>
  </sheetPr>
  <dimension ref="A1:T609"/>
  <sheetViews>
    <sheetView showGridLines="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C12" sqref="C12"/>
    </sheetView>
  </sheetViews>
  <sheetFormatPr defaultRowHeight="12.75" x14ac:dyDescent="0.2"/>
  <cols>
    <col min="1" max="1" width="7.85546875" style="7" hidden="1" customWidth="1"/>
    <col min="2" max="2" width="9.5703125" style="7" bestFit="1" customWidth="1"/>
    <col min="3" max="3" width="47.28515625" style="7" bestFit="1" customWidth="1"/>
    <col min="4" max="19" width="17.140625" style="7" customWidth="1"/>
    <col min="20" max="16384" width="9.140625" style="7"/>
  </cols>
  <sheetData>
    <row r="1" spans="1:20" hidden="1" x14ac:dyDescent="0.2">
      <c r="A1" s="86"/>
      <c r="D1" s="8">
        <v>4</v>
      </c>
      <c r="E1" s="8">
        <v>5</v>
      </c>
      <c r="F1" s="8">
        <v>4</v>
      </c>
      <c r="G1" s="8">
        <v>5</v>
      </c>
      <c r="H1" s="8">
        <v>4</v>
      </c>
      <c r="I1" s="8">
        <v>5</v>
      </c>
      <c r="J1" s="8">
        <v>4</v>
      </c>
      <c r="K1" s="8">
        <v>5</v>
      </c>
      <c r="L1" s="8">
        <v>4</v>
      </c>
      <c r="M1" s="8">
        <v>5</v>
      </c>
      <c r="N1" s="8">
        <v>4</v>
      </c>
      <c r="O1" s="8">
        <v>5</v>
      </c>
      <c r="P1" s="8">
        <v>4</v>
      </c>
      <c r="Q1" s="8">
        <v>5</v>
      </c>
      <c r="R1" s="8">
        <v>4</v>
      </c>
      <c r="S1" s="8">
        <v>5</v>
      </c>
    </row>
    <row r="2" spans="1:20" hidden="1" x14ac:dyDescent="0.2">
      <c r="A2" s="86"/>
      <c r="D2" s="8" t="str">
        <f>LEFT(D3,3)</f>
        <v>001</v>
      </c>
      <c r="E2" s="8" t="str">
        <f>LEFT(D3,3)</f>
        <v>001</v>
      </c>
      <c r="F2" s="8" t="str">
        <f t="shared" ref="F2" si="0">LEFT(F3,3)</f>
        <v>035</v>
      </c>
      <c r="G2" s="8" t="str">
        <f t="shared" ref="G2" si="1">LEFT(F3,3)</f>
        <v>035</v>
      </c>
      <c r="H2" s="8" t="str">
        <f t="shared" ref="H2" si="2">LEFT(H3,3)</f>
        <v>050</v>
      </c>
      <c r="I2" s="8" t="str">
        <f t="shared" ref="I2" si="3">LEFT(H3,3)</f>
        <v>050</v>
      </c>
      <c r="J2" s="8" t="str">
        <f t="shared" ref="J2" si="4">LEFT(J3,3)</f>
        <v>101</v>
      </c>
      <c r="K2" s="8" t="str">
        <f t="shared" ref="K2" si="5">LEFT(J3,3)</f>
        <v>101</v>
      </c>
      <c r="L2" s="8" t="str">
        <f t="shared" ref="L2" si="6">LEFT(L3,3)</f>
        <v>125</v>
      </c>
      <c r="M2" s="8" t="str">
        <f t="shared" ref="M2" si="7">LEFT(L3,3)</f>
        <v>125</v>
      </c>
      <c r="N2" s="8" t="str">
        <f t="shared" ref="N2" si="8">LEFT(N3,3)</f>
        <v>201</v>
      </c>
      <c r="O2" s="8" t="str">
        <f t="shared" ref="O2" si="9">LEFT(N3,3)</f>
        <v>201</v>
      </c>
      <c r="P2" s="8" t="str">
        <f t="shared" ref="P2" si="10">LEFT(P3,3)</f>
        <v>211</v>
      </c>
      <c r="Q2" s="8" t="str">
        <f t="shared" ref="Q2" si="11">LEFT(P3,3)</f>
        <v>211</v>
      </c>
      <c r="R2" s="8" t="str">
        <f t="shared" ref="R2" si="12">LEFT(R3,3)</f>
        <v>315</v>
      </c>
      <c r="S2" s="8" t="str">
        <f t="shared" ref="S2" si="13">LEFT(R3,3)</f>
        <v>315</v>
      </c>
    </row>
    <row r="3" spans="1:20" ht="38.25" x14ac:dyDescent="0.2">
      <c r="A3" s="55" t="s">
        <v>21</v>
      </c>
      <c r="B3" s="34" t="str">
        <f>Current</f>
        <v>2013 (PG)</v>
      </c>
      <c r="C3" s="35" t="str">
        <f>Item</f>
        <v>Pozicija (KM)</v>
      </c>
      <c r="D3" s="88" t="s">
        <v>1882</v>
      </c>
      <c r="E3" s="88"/>
      <c r="F3" s="88" t="s">
        <v>1891</v>
      </c>
      <c r="G3" s="88"/>
      <c r="H3" s="88" t="s">
        <v>1892</v>
      </c>
      <c r="I3" s="88"/>
      <c r="J3" s="88" t="s">
        <v>1893</v>
      </c>
      <c r="K3" s="88"/>
      <c r="L3" s="88" t="s">
        <v>1894</v>
      </c>
      <c r="M3" s="88"/>
      <c r="N3" s="88" t="s">
        <v>1895</v>
      </c>
      <c r="O3" s="88"/>
      <c r="P3" s="88" t="s">
        <v>1896</v>
      </c>
      <c r="Q3" s="88"/>
      <c r="R3" s="88" t="s">
        <v>1897</v>
      </c>
      <c r="S3" s="88"/>
    </row>
    <row r="4" spans="1:20" x14ac:dyDescent="0.2">
      <c r="B4" s="36" t="str">
        <f>Code</f>
        <v>Oznaka</v>
      </c>
      <c r="C4" s="36" t="str">
        <f>Issuer0</f>
        <v>Emitent</v>
      </c>
      <c r="D4" s="37" t="str">
        <f>Current</f>
        <v>2013 (PG)</v>
      </c>
      <c r="E4" s="37" t="str">
        <f>Previous</f>
        <v>2012 (PG)</v>
      </c>
      <c r="F4" s="37" t="str">
        <f>Current</f>
        <v>2013 (PG)</v>
      </c>
      <c r="G4" s="37" t="str">
        <f>Previous</f>
        <v>2012 (PG)</v>
      </c>
      <c r="H4" s="37" t="str">
        <f>Current</f>
        <v>2013 (PG)</v>
      </c>
      <c r="I4" s="37" t="str">
        <f>Previous</f>
        <v>2012 (PG)</v>
      </c>
      <c r="J4" s="37" t="str">
        <f>Current</f>
        <v>2013 (PG)</v>
      </c>
      <c r="K4" s="37" t="str">
        <f>Previous</f>
        <v>2012 (PG)</v>
      </c>
      <c r="L4" s="37" t="str">
        <f>Current</f>
        <v>2013 (PG)</v>
      </c>
      <c r="M4" s="37" t="str">
        <f>Previous</f>
        <v>2012 (PG)</v>
      </c>
      <c r="N4" s="37" t="str">
        <f>Current</f>
        <v>2013 (PG)</v>
      </c>
      <c r="O4" s="37" t="str">
        <f>Previous</f>
        <v>2012 (PG)</v>
      </c>
      <c r="P4" s="37" t="str">
        <f>Current</f>
        <v>2013 (PG)</v>
      </c>
      <c r="Q4" s="37" t="str">
        <f>Previous</f>
        <v>2012 (PG)</v>
      </c>
      <c r="R4" s="37" t="str">
        <f>Current</f>
        <v>2013 (PG)</v>
      </c>
      <c r="S4" s="37" t="str">
        <f>Previous</f>
        <v>2012 (PG)</v>
      </c>
    </row>
    <row r="5" spans="1:20" hidden="1" x14ac:dyDescent="0.2">
      <c r="A5" s="40" t="s">
        <v>65</v>
      </c>
      <c r="B5" s="41" t="s">
        <v>48</v>
      </c>
      <c r="C5" s="41" t="s">
        <v>73</v>
      </c>
      <c r="D5" s="42" t="s">
        <v>74</v>
      </c>
      <c r="E5" s="42" t="s">
        <v>75</v>
      </c>
      <c r="F5" s="42" t="s">
        <v>76</v>
      </c>
      <c r="G5" s="42" t="s">
        <v>77</v>
      </c>
      <c r="H5" s="42" t="s">
        <v>78</v>
      </c>
      <c r="I5" s="42" t="s">
        <v>79</v>
      </c>
      <c r="J5" s="42" t="s">
        <v>80</v>
      </c>
      <c r="K5" s="42" t="s">
        <v>81</v>
      </c>
      <c r="L5" s="42" t="s">
        <v>82</v>
      </c>
      <c r="M5" s="42" t="s">
        <v>83</v>
      </c>
      <c r="N5" s="42" t="s">
        <v>84</v>
      </c>
      <c r="O5" s="42" t="s">
        <v>85</v>
      </c>
      <c r="P5" s="42" t="s">
        <v>86</v>
      </c>
      <c r="Q5" s="42" t="s">
        <v>87</v>
      </c>
      <c r="R5" s="42" t="s">
        <v>88</v>
      </c>
      <c r="S5" s="42" t="s">
        <v>89</v>
      </c>
      <c r="T5" s="29"/>
    </row>
    <row r="6" spans="1:20" x14ac:dyDescent="0.2">
      <c r="A6" s="73">
        <f>ROW()-ROW(Summary[[#Headers],[No]])</f>
        <v>1</v>
      </c>
      <c r="B6" s="30" t="str">
        <f>VLOOKUP(Summary[[#This Row],[No]],Issuer[],2,0)</f>
        <v>BBRB</v>
      </c>
      <c r="C6" s="31" t="str">
        <f>VLOOKUP(Summary[[#This Row],[No]],Issuer[],3,0)</f>
        <v>BOBAR BANKA AD BIJELJINA</v>
      </c>
      <c r="D6" s="32">
        <f>IF(VLOOKUP(Summary[[#This Row],[Code]]&amp;D$2,Data[],1)=Summary[[#This Row],[Code]]&amp;D$2,VLOOKUP(Summary[[#This Row],[Code]]&amp;D$2,Data[],D$1)/Jedinica,"")</f>
        <v>272158957</v>
      </c>
      <c r="E6" s="32">
        <f>IF(VLOOKUP(Summary[[#This Row],[Code]]&amp;E$2,Data[],1)=Summary[[#This Row],[Code]]&amp;E$2,VLOOKUP(Summary[[#This Row],[Code]]&amp;E$2,Data[],E$1)/Jedinica,"")</f>
        <v>242996433</v>
      </c>
      <c r="F6" s="32">
        <f>IF(VLOOKUP(Summary[[#This Row],[Code]]&amp;F$2,Data[],1)=Summary[[#This Row],[Code]]&amp;F$2,VLOOKUP(Summary[[#This Row],[Code]]&amp;F$2,Data[],F$1)/Jedinica,"")</f>
        <v>9865425</v>
      </c>
      <c r="G6" s="32">
        <f>IF(VLOOKUP(Summary[[#This Row],[Code]]&amp;G$2,Data[],1)=Summary[[#This Row],[Code]]&amp;G$2,VLOOKUP(Summary[[#This Row],[Code]]&amp;G$2,Data[],G$1)/Jedinica,"")</f>
        <v>10244605</v>
      </c>
      <c r="H6" s="32">
        <f>IF(VLOOKUP(Summary[[#This Row],[Code]]&amp;H$2,Data[],1)=Summary[[#This Row],[Code]]&amp;H$2,VLOOKUP(Summary[[#This Row],[Code]]&amp;H$2,Data[],H$1)/Jedinica,"")</f>
        <v>300391639</v>
      </c>
      <c r="I6" s="32">
        <f>IF(VLOOKUP(Summary[[#This Row],[Code]]&amp;I$2,Data[],1)=Summary[[#This Row],[Code]]&amp;I$2,VLOOKUP(Summary[[#This Row],[Code]]&amp;I$2,Data[],I$1)/Jedinica,"")</f>
        <v>278352777</v>
      </c>
      <c r="J6" s="32">
        <f>IF(VLOOKUP(Summary[[#This Row],[Code]]&amp;J$2,Data[],1)=Summary[[#This Row],[Code]]&amp;J$2,VLOOKUP(Summary[[#This Row],[Code]]&amp;J$2,Data[],J$1)/Jedinica,"")</f>
        <v>247619290</v>
      </c>
      <c r="K6" s="32">
        <f>IF(VLOOKUP(Summary[[#This Row],[Code]]&amp;K$2,Data[],1)=Summary[[#This Row],[Code]]&amp;K$2,VLOOKUP(Summary[[#This Row],[Code]]&amp;K$2,Data[],K$1)/Jedinica,"")</f>
        <v>218164817</v>
      </c>
      <c r="L6" s="32">
        <f>IF(VLOOKUP(Summary[[#This Row],[Code]]&amp;L$2,Data[],1)=Summary[[#This Row],[Code]]&amp;L$2,VLOOKUP(Summary[[#This Row],[Code]]&amp;L$2,Data[],L$1)/Jedinica,"")</f>
        <v>34405092</v>
      </c>
      <c r="M6" s="32">
        <f>IF(VLOOKUP(Summary[[#This Row],[Code]]&amp;M$2,Data[],1)=Summary[[#This Row],[Code]]&amp;M$2,VLOOKUP(Summary[[#This Row],[Code]]&amp;M$2,Data[],M$1)/Jedinica,"")</f>
        <v>35076221</v>
      </c>
      <c r="N6" s="32">
        <f>IF(VLOOKUP(Summary[[#This Row],[Code]]&amp;N$2,Data[],1)=Summary[[#This Row],[Code]]&amp;N$2,VLOOKUP(Summary[[#This Row],[Code]]&amp;N$2,Data[],N$1)/Jedinica,"")</f>
        <v>8723247</v>
      </c>
      <c r="O6" s="32">
        <f>IF(VLOOKUP(Summary[[#This Row],[Code]]&amp;O$2,Data[],1)=Summary[[#This Row],[Code]]&amp;O$2,VLOOKUP(Summary[[#This Row],[Code]]&amp;O$2,Data[],O$1)/Jedinica,"")</f>
        <v>8416619</v>
      </c>
      <c r="P6" s="32">
        <f>IF(VLOOKUP(Summary[[#This Row],[Code]]&amp;P$2,Data[],1)=Summary[[#This Row],[Code]]&amp;P$2,VLOOKUP(Summary[[#This Row],[Code]]&amp;P$2,Data[],P$1)/Jedinica,"")</f>
        <v>2491073</v>
      </c>
      <c r="Q6" s="32">
        <f>IF(VLOOKUP(Summary[[#This Row],[Code]]&amp;Q$2,Data[],1)=Summary[[#This Row],[Code]]&amp;Q$2,VLOOKUP(Summary[[#This Row],[Code]]&amp;Q$2,Data[],Q$1)/Jedinica,"")</f>
        <v>2523240</v>
      </c>
      <c r="R6" s="32">
        <f>IF(VLOOKUP(Summary[[#This Row],[Code]]&amp;R$2,Data[],1)=Summary[[#This Row],[Code]]&amp;R$2,VLOOKUP(Summary[[#This Row],[Code]]&amp;R$2,Data[],R$1)/Jedinica,"")</f>
        <v>168871</v>
      </c>
      <c r="S6" s="32">
        <f>IF(VLOOKUP(Summary[[#This Row],[Code]]&amp;S$2,Data[],1)=Summary[[#This Row],[Code]]&amp;S$2,VLOOKUP(Summary[[#This Row],[Code]]&amp;S$2,Data[],S$1)/Jedinica,"")</f>
        <v>549441</v>
      </c>
      <c r="T6" s="29"/>
    </row>
    <row r="7" spans="1:20" x14ac:dyDescent="0.2">
      <c r="A7" s="73">
        <f>ROW()-ROW(Summary[[#Headers],[No]])</f>
        <v>2</v>
      </c>
      <c r="B7" s="30" t="str">
        <f>VLOOKUP(Summary[[#This Row],[No]],Issuer[],2,0)</f>
        <v>BLKB</v>
      </c>
      <c r="C7" s="31" t="str">
        <f>VLOOKUP(Summary[[#This Row],[No]],Issuer[],3,0)</f>
        <v>BALKAN INVESTMENT BANK AD BANJA LUKA</v>
      </c>
      <c r="D7" s="32">
        <f>IF(VLOOKUP(Summary[[#This Row],[Code]]&amp;D$2,Data[],1)=Summary[[#This Row],[Code]]&amp;D$2,VLOOKUP(Summary[[#This Row],[Code]]&amp;D$2,Data[],D$1)/Jedinica,"")</f>
        <v>235185904</v>
      </c>
      <c r="E7" s="32">
        <f>IF(VLOOKUP(Summary[[#This Row],[Code]]&amp;E$2,Data[],1)=Summary[[#This Row],[Code]]&amp;E$2,VLOOKUP(Summary[[#This Row],[Code]]&amp;E$2,Data[],E$1)/Jedinica,"")</f>
        <v>227107965</v>
      </c>
      <c r="F7" s="32">
        <f>IF(VLOOKUP(Summary[[#This Row],[Code]]&amp;F$2,Data[],1)=Summary[[#This Row],[Code]]&amp;F$2,VLOOKUP(Summary[[#This Row],[Code]]&amp;F$2,Data[],F$1)/Jedinica,"")</f>
        <v>17865299</v>
      </c>
      <c r="G7" s="32">
        <f>IF(VLOOKUP(Summary[[#This Row],[Code]]&amp;G$2,Data[],1)=Summary[[#This Row],[Code]]&amp;G$2,VLOOKUP(Summary[[#This Row],[Code]]&amp;G$2,Data[],G$1)/Jedinica,"")</f>
        <v>18418291</v>
      </c>
      <c r="H7" s="32">
        <f>IF(VLOOKUP(Summary[[#This Row],[Code]]&amp;H$2,Data[],1)=Summary[[#This Row],[Code]]&amp;H$2,VLOOKUP(Summary[[#This Row],[Code]]&amp;H$2,Data[],H$1)/Jedinica,"")</f>
        <v>319533203</v>
      </c>
      <c r="I7" s="32">
        <f>IF(VLOOKUP(Summary[[#This Row],[Code]]&amp;I$2,Data[],1)=Summary[[#This Row],[Code]]&amp;I$2,VLOOKUP(Summary[[#This Row],[Code]]&amp;I$2,Data[],I$1)/Jedinica,"")</f>
        <v>321850977</v>
      </c>
      <c r="J7" s="32">
        <f>IF(VLOOKUP(Summary[[#This Row],[Code]]&amp;J$2,Data[],1)=Summary[[#This Row],[Code]]&amp;J$2,VLOOKUP(Summary[[#This Row],[Code]]&amp;J$2,Data[],J$1)/Jedinica,"")</f>
        <v>214344844</v>
      </c>
      <c r="K7" s="32">
        <f>IF(VLOOKUP(Summary[[#This Row],[Code]]&amp;K$2,Data[],1)=Summary[[#This Row],[Code]]&amp;K$2,VLOOKUP(Summary[[#This Row],[Code]]&amp;K$2,Data[],K$1)/Jedinica,"")</f>
        <v>236425302</v>
      </c>
      <c r="L7" s="32">
        <f>IF(VLOOKUP(Summary[[#This Row],[Code]]&amp;L$2,Data[],1)=Summary[[#This Row],[Code]]&amp;L$2,VLOOKUP(Summary[[#This Row],[Code]]&amp;L$2,Data[],L$1)/Jedinica,"")</f>
        <v>38706359</v>
      </c>
      <c r="M7" s="32">
        <f>IF(VLOOKUP(Summary[[#This Row],[Code]]&amp;M$2,Data[],1)=Summary[[#This Row],[Code]]&amp;M$2,VLOOKUP(Summary[[#This Row],[Code]]&amp;M$2,Data[],M$1)/Jedinica,"")</f>
        <v>9100954</v>
      </c>
      <c r="N7" s="32">
        <f>IF(VLOOKUP(Summary[[#This Row],[Code]]&amp;N$2,Data[],1)=Summary[[#This Row],[Code]]&amp;N$2,VLOOKUP(Summary[[#This Row],[Code]]&amp;N$2,Data[],N$1)/Jedinica,"")</f>
        <v>6543457</v>
      </c>
      <c r="O7" s="32">
        <f>IF(VLOOKUP(Summary[[#This Row],[Code]]&amp;O$2,Data[],1)=Summary[[#This Row],[Code]]&amp;O$2,VLOOKUP(Summary[[#This Row],[Code]]&amp;O$2,Data[],O$1)/Jedinica,"")</f>
        <v>9057624</v>
      </c>
      <c r="P7" s="32">
        <f>IF(VLOOKUP(Summary[[#This Row],[Code]]&amp;P$2,Data[],1)=Summary[[#This Row],[Code]]&amp;P$2,VLOOKUP(Summary[[#This Row],[Code]]&amp;P$2,Data[],P$1)/Jedinica,"")</f>
        <v>3704600</v>
      </c>
      <c r="Q7" s="32">
        <f>IF(VLOOKUP(Summary[[#This Row],[Code]]&amp;Q$2,Data[],1)=Summary[[#This Row],[Code]]&amp;Q$2,VLOOKUP(Summary[[#This Row],[Code]]&amp;Q$2,Data[],Q$1)/Jedinica,"")</f>
        <v>4585200</v>
      </c>
      <c r="R7" s="32">
        <f>IF(VLOOKUP(Summary[[#This Row],[Code]]&amp;R$2,Data[],1)=Summary[[#This Row],[Code]]&amp;R$2,VLOOKUP(Summary[[#This Row],[Code]]&amp;R$2,Data[],R$1)/Jedinica,"")</f>
        <v>0</v>
      </c>
      <c r="S7" s="32">
        <f>IF(VLOOKUP(Summary[[#This Row],[Code]]&amp;S$2,Data[],1)=Summary[[#This Row],[Code]]&amp;S$2,VLOOKUP(Summary[[#This Row],[Code]]&amp;S$2,Data[],S$1)/Jedinica,"")</f>
        <v>649707</v>
      </c>
      <c r="T7" s="29"/>
    </row>
    <row r="8" spans="1:20" x14ac:dyDescent="0.2">
      <c r="A8" s="73">
        <f>ROW()-ROW(Summary[[#Headers],[No]])</f>
        <v>3</v>
      </c>
      <c r="B8" s="30" t="str">
        <f>VLOOKUP(Summary[[#This Row],[No]],Issuer[],2,0)</f>
        <v>IEFB</v>
      </c>
      <c r="C8" s="33" t="str">
        <f>VLOOKUP(Summary[[#This Row],[No]],Issuer[],3,0)</f>
        <v>MF BANKA AD BANJA LUKA</v>
      </c>
      <c r="D8" s="32">
        <f>IF(VLOOKUP(Summary[[#This Row],[Code]]&amp;D$2,Data[],1)=Summary[[#This Row],[Code]]&amp;D$2,VLOOKUP(Summary[[#This Row],[Code]]&amp;D$2,Data[],D$1)/Jedinica,"")</f>
        <v>118802490</v>
      </c>
      <c r="E8" s="32">
        <f>IF(VLOOKUP(Summary[[#This Row],[Code]]&amp;E$2,Data[],1)=Summary[[#This Row],[Code]]&amp;E$2,VLOOKUP(Summary[[#This Row],[Code]]&amp;E$2,Data[],E$1)/Jedinica,"")</f>
        <v>101901103</v>
      </c>
      <c r="F8" s="32">
        <f>IF(VLOOKUP(Summary[[#This Row],[Code]]&amp;F$2,Data[],1)=Summary[[#This Row],[Code]]&amp;F$2,VLOOKUP(Summary[[#This Row],[Code]]&amp;F$2,Data[],F$1)/Jedinica,"")</f>
        <v>1559828</v>
      </c>
      <c r="G8" s="32">
        <f>IF(VLOOKUP(Summary[[#This Row],[Code]]&amp;G$2,Data[],1)=Summary[[#This Row],[Code]]&amp;G$2,VLOOKUP(Summary[[#This Row],[Code]]&amp;G$2,Data[],G$1)/Jedinica,"")</f>
        <v>1552583</v>
      </c>
      <c r="H8" s="32">
        <f>IF(VLOOKUP(Summary[[#This Row],[Code]]&amp;H$2,Data[],1)=Summary[[#This Row],[Code]]&amp;H$2,VLOOKUP(Summary[[#This Row],[Code]]&amp;H$2,Data[],H$1)/Jedinica,"")</f>
        <v>227045964</v>
      </c>
      <c r="I8" s="32">
        <f>IF(VLOOKUP(Summary[[#This Row],[Code]]&amp;I$2,Data[],1)=Summary[[#This Row],[Code]]&amp;I$2,VLOOKUP(Summary[[#This Row],[Code]]&amp;I$2,Data[],I$1)/Jedinica,"")</f>
        <v>196784063</v>
      </c>
      <c r="J8" s="32">
        <f>IF(VLOOKUP(Summary[[#This Row],[Code]]&amp;J$2,Data[],1)=Summary[[#This Row],[Code]]&amp;J$2,VLOOKUP(Summary[[#This Row],[Code]]&amp;J$2,Data[],J$1)/Jedinica,"")</f>
        <v>99832456</v>
      </c>
      <c r="K8" s="32">
        <f>IF(VLOOKUP(Summary[[#This Row],[Code]]&amp;K$2,Data[],1)=Summary[[#This Row],[Code]]&amp;K$2,VLOOKUP(Summary[[#This Row],[Code]]&amp;K$2,Data[],K$1)/Jedinica,"")</f>
        <v>83066316</v>
      </c>
      <c r="L8" s="32">
        <f>IF(VLOOKUP(Summary[[#This Row],[Code]]&amp;L$2,Data[],1)=Summary[[#This Row],[Code]]&amp;L$2,VLOOKUP(Summary[[#This Row],[Code]]&amp;L$2,Data[],L$1)/Jedinica,"")</f>
        <v>20529862</v>
      </c>
      <c r="M8" s="32">
        <f>IF(VLOOKUP(Summary[[#This Row],[Code]]&amp;M$2,Data[],1)=Summary[[#This Row],[Code]]&amp;M$2,VLOOKUP(Summary[[#This Row],[Code]]&amp;M$2,Data[],M$1)/Jedinica,"")</f>
        <v>20387370</v>
      </c>
      <c r="N8" s="32">
        <f>IF(VLOOKUP(Summary[[#This Row],[Code]]&amp;N$2,Data[],1)=Summary[[#This Row],[Code]]&amp;N$2,VLOOKUP(Summary[[#This Row],[Code]]&amp;N$2,Data[],N$1)/Jedinica,"")</f>
        <v>4812710</v>
      </c>
      <c r="O8" s="32">
        <f>IF(VLOOKUP(Summary[[#This Row],[Code]]&amp;O$2,Data[],1)=Summary[[#This Row],[Code]]&amp;O$2,VLOOKUP(Summary[[#This Row],[Code]]&amp;O$2,Data[],O$1)/Jedinica,"")</f>
        <v>2608569</v>
      </c>
      <c r="P8" s="32">
        <f>IF(VLOOKUP(Summary[[#This Row],[Code]]&amp;P$2,Data[],1)=Summary[[#This Row],[Code]]&amp;P$2,VLOOKUP(Summary[[#This Row],[Code]]&amp;P$2,Data[],P$1)/Jedinica,"")</f>
        <v>772296</v>
      </c>
      <c r="Q8" s="32">
        <f>IF(VLOOKUP(Summary[[#This Row],[Code]]&amp;Q$2,Data[],1)=Summary[[#This Row],[Code]]&amp;Q$2,VLOOKUP(Summary[[#This Row],[Code]]&amp;Q$2,Data[],Q$1)/Jedinica,"")</f>
        <v>463407</v>
      </c>
      <c r="R8" s="32">
        <f>IF(VLOOKUP(Summary[[#This Row],[Code]]&amp;R$2,Data[],1)=Summary[[#This Row],[Code]]&amp;R$2,VLOOKUP(Summary[[#This Row],[Code]]&amp;R$2,Data[],R$1)/Jedinica,"")</f>
        <v>142492</v>
      </c>
      <c r="S8" s="32">
        <f>IF(VLOOKUP(Summary[[#This Row],[Code]]&amp;S$2,Data[],1)=Summary[[#This Row],[Code]]&amp;S$2,VLOOKUP(Summary[[#This Row],[Code]]&amp;S$2,Data[],S$1)/Jedinica,"")</f>
        <v>93297</v>
      </c>
      <c r="T8" s="29"/>
    </row>
    <row r="9" spans="1:20" x14ac:dyDescent="0.2">
      <c r="A9" s="73">
        <f>ROW()-ROW(Summary[[#Headers],[No]])</f>
        <v>4</v>
      </c>
      <c r="B9" s="30" t="str">
        <f>VLOOKUP(Summary[[#This Row],[No]],Issuer[],2,0)</f>
        <v>KMCB</v>
      </c>
      <c r="C9" s="31" t="str">
        <f>VLOOKUP(Summary[[#This Row],[No]],Issuer[],3,0)</f>
        <v>KOMERCIJALNA BANKA AD BANJA LUKA</v>
      </c>
      <c r="D9" s="32">
        <f>IF(VLOOKUP(Summary[[#This Row],[Code]]&amp;D$2,Data[],1)=Summary[[#This Row],[Code]]&amp;D$2,VLOOKUP(Summary[[#This Row],[Code]]&amp;D$2,Data[],D$1)/Jedinica,"")</f>
        <v>253244277</v>
      </c>
      <c r="E9" s="32">
        <f>IF(VLOOKUP(Summary[[#This Row],[Code]]&amp;E$2,Data[],1)=Summary[[#This Row],[Code]]&amp;E$2,VLOOKUP(Summary[[#This Row],[Code]]&amp;E$2,Data[],E$1)/Jedinica,"")</f>
        <v>234776869</v>
      </c>
      <c r="F9" s="32">
        <f>IF(VLOOKUP(Summary[[#This Row],[Code]]&amp;F$2,Data[],1)=Summary[[#This Row],[Code]]&amp;F$2,VLOOKUP(Summary[[#This Row],[Code]]&amp;F$2,Data[],F$1)/Jedinica,"")</f>
        <v>4110826</v>
      </c>
      <c r="G9" s="32">
        <f>IF(VLOOKUP(Summary[[#This Row],[Code]]&amp;G$2,Data[],1)=Summary[[#This Row],[Code]]&amp;G$2,VLOOKUP(Summary[[#This Row],[Code]]&amp;G$2,Data[],G$1)/Jedinica,"")</f>
        <v>4357551</v>
      </c>
      <c r="H9" s="32">
        <f>IF(VLOOKUP(Summary[[#This Row],[Code]]&amp;H$2,Data[],1)=Summary[[#This Row],[Code]]&amp;H$2,VLOOKUP(Summary[[#This Row],[Code]]&amp;H$2,Data[],H$1)/Jedinica,"")</f>
        <v>521579678</v>
      </c>
      <c r="I9" s="32">
        <f>IF(VLOOKUP(Summary[[#This Row],[Code]]&amp;I$2,Data[],1)=Summary[[#This Row],[Code]]&amp;I$2,VLOOKUP(Summary[[#This Row],[Code]]&amp;I$2,Data[],I$1)/Jedinica,"")</f>
        <v>542196382</v>
      </c>
      <c r="J9" s="32">
        <f>IF(VLOOKUP(Summary[[#This Row],[Code]]&amp;J$2,Data[],1)=Summary[[#This Row],[Code]]&amp;J$2,VLOOKUP(Summary[[#This Row],[Code]]&amp;J$2,Data[],J$1)/Jedinica,"")</f>
        <v>192454832</v>
      </c>
      <c r="K9" s="32">
        <f>IF(VLOOKUP(Summary[[#This Row],[Code]]&amp;K$2,Data[],1)=Summary[[#This Row],[Code]]&amp;K$2,VLOOKUP(Summary[[#This Row],[Code]]&amp;K$2,Data[],K$1)/Jedinica,"")</f>
        <v>174903331</v>
      </c>
      <c r="L9" s="32">
        <f>IF(VLOOKUP(Summary[[#This Row],[Code]]&amp;L$2,Data[],1)=Summary[[#This Row],[Code]]&amp;L$2,VLOOKUP(Summary[[#This Row],[Code]]&amp;L$2,Data[],L$1)/Jedinica,"")</f>
        <v>64900271</v>
      </c>
      <c r="M9" s="32">
        <f>IF(VLOOKUP(Summary[[#This Row],[Code]]&amp;M$2,Data[],1)=Summary[[#This Row],[Code]]&amp;M$2,VLOOKUP(Summary[[#This Row],[Code]]&amp;M$2,Data[],M$1)/Jedinica,"")</f>
        <v>64231089</v>
      </c>
      <c r="N9" s="32">
        <f>IF(VLOOKUP(Summary[[#This Row],[Code]]&amp;N$2,Data[],1)=Summary[[#This Row],[Code]]&amp;N$2,VLOOKUP(Summary[[#This Row],[Code]]&amp;N$2,Data[],N$1)/Jedinica,"")</f>
        <v>7177791</v>
      </c>
      <c r="O9" s="32">
        <f>IF(VLOOKUP(Summary[[#This Row],[Code]]&amp;O$2,Data[],1)=Summary[[#This Row],[Code]]&amp;O$2,VLOOKUP(Summary[[#This Row],[Code]]&amp;O$2,Data[],O$1)/Jedinica,"")</f>
        <v>7820957</v>
      </c>
      <c r="P9" s="32">
        <f>IF(VLOOKUP(Summary[[#This Row],[Code]]&amp;P$2,Data[],1)=Summary[[#This Row],[Code]]&amp;P$2,VLOOKUP(Summary[[#This Row],[Code]]&amp;P$2,Data[],P$1)/Jedinica,"")</f>
        <v>1467763</v>
      </c>
      <c r="Q9" s="32">
        <f>IF(VLOOKUP(Summary[[#This Row],[Code]]&amp;Q$2,Data[],1)=Summary[[#This Row],[Code]]&amp;Q$2,VLOOKUP(Summary[[#This Row],[Code]]&amp;Q$2,Data[],Q$1)/Jedinica,"")</f>
        <v>1498704</v>
      </c>
      <c r="R9" s="32">
        <f>IF(VLOOKUP(Summary[[#This Row],[Code]]&amp;R$2,Data[],1)=Summary[[#This Row],[Code]]&amp;R$2,VLOOKUP(Summary[[#This Row],[Code]]&amp;R$2,Data[],R$1)/Jedinica,"")</f>
        <v>669182</v>
      </c>
      <c r="S9" s="32">
        <f>IF(VLOOKUP(Summary[[#This Row],[Code]]&amp;S$2,Data[],1)=Summary[[#This Row],[Code]]&amp;S$2,VLOOKUP(Summary[[#This Row],[Code]]&amp;S$2,Data[],S$1)/Jedinica,"")</f>
        <v>1323770</v>
      </c>
      <c r="T9" s="29"/>
    </row>
    <row r="10" spans="1:20" x14ac:dyDescent="0.2">
      <c r="A10" s="73">
        <f>ROW()-ROW(Summary[[#Headers],[No]])</f>
        <v>5</v>
      </c>
      <c r="B10" s="30" t="str">
        <f>VLOOKUP(Summary[[#This Row],[No]],Issuer[],2,0)</f>
        <v>KRLB</v>
      </c>
      <c r="C10" s="31" t="str">
        <f>VLOOKUP(Summary[[#This Row],[No]],Issuer[],3,0)</f>
        <v>HYPO ALPE- ADRIA- BANK A.D. BANJA LUKA</v>
      </c>
      <c r="D10" s="32">
        <f>IF(VLOOKUP(Summary[[#This Row],[Code]]&amp;D$2,Data[],1)=Summary[[#This Row],[Code]]&amp;D$2,VLOOKUP(Summary[[#This Row],[Code]]&amp;D$2,Data[],D$1)/Jedinica,"")</f>
        <v>1260044304</v>
      </c>
      <c r="E10" s="32">
        <f>IF(VLOOKUP(Summary[[#This Row],[Code]]&amp;E$2,Data[],1)=Summary[[#This Row],[Code]]&amp;E$2,VLOOKUP(Summary[[#This Row],[Code]]&amp;E$2,Data[],E$1)/Jedinica,"")</f>
        <v>1336829254</v>
      </c>
      <c r="F10" s="32">
        <f>IF(VLOOKUP(Summary[[#This Row],[Code]]&amp;F$2,Data[],1)=Summary[[#This Row],[Code]]&amp;F$2,VLOOKUP(Summary[[#This Row],[Code]]&amp;F$2,Data[],F$1)/Jedinica,"")</f>
        <v>60725302</v>
      </c>
      <c r="G10" s="32">
        <f>IF(VLOOKUP(Summary[[#This Row],[Code]]&amp;G$2,Data[],1)=Summary[[#This Row],[Code]]&amp;G$2,VLOOKUP(Summary[[#This Row],[Code]]&amp;G$2,Data[],G$1)/Jedinica,"")</f>
        <v>62242970</v>
      </c>
      <c r="H10" s="32">
        <f>IF(VLOOKUP(Summary[[#This Row],[Code]]&amp;H$2,Data[],1)=Summary[[#This Row],[Code]]&amp;H$2,VLOOKUP(Summary[[#This Row],[Code]]&amp;H$2,Data[],H$1)/Jedinica,"")</f>
        <v>1400638157</v>
      </c>
      <c r="I10" s="32">
        <f>IF(VLOOKUP(Summary[[#This Row],[Code]]&amp;I$2,Data[],1)=Summary[[#This Row],[Code]]&amp;I$2,VLOOKUP(Summary[[#This Row],[Code]]&amp;I$2,Data[],I$1)/Jedinica,"")</f>
        <v>1511237290</v>
      </c>
      <c r="J10" s="32">
        <f>IF(VLOOKUP(Summary[[#This Row],[Code]]&amp;J$2,Data[],1)=Summary[[#This Row],[Code]]&amp;J$2,VLOOKUP(Summary[[#This Row],[Code]]&amp;J$2,Data[],J$1)/Jedinica,"")</f>
        <v>1075774993</v>
      </c>
      <c r="K10" s="32">
        <f>IF(VLOOKUP(Summary[[#This Row],[Code]]&amp;K$2,Data[],1)=Summary[[#This Row],[Code]]&amp;K$2,VLOOKUP(Summary[[#This Row],[Code]]&amp;K$2,Data[],K$1)/Jedinica,"")</f>
        <v>1157070594</v>
      </c>
      <c r="L10" s="32">
        <f>IF(VLOOKUP(Summary[[#This Row],[Code]]&amp;L$2,Data[],1)=Summary[[#This Row],[Code]]&amp;L$2,VLOOKUP(Summary[[#This Row],[Code]]&amp;L$2,Data[],L$1)/Jedinica,"")</f>
        <v>244994613</v>
      </c>
      <c r="M10" s="32">
        <f>IF(VLOOKUP(Summary[[#This Row],[Code]]&amp;M$2,Data[],1)=Summary[[#This Row],[Code]]&amp;M$2,VLOOKUP(Summary[[#This Row],[Code]]&amp;M$2,Data[],M$1)/Jedinica,"")</f>
        <v>242001630</v>
      </c>
      <c r="N10" s="32">
        <f>IF(VLOOKUP(Summary[[#This Row],[Code]]&amp;N$2,Data[],1)=Summary[[#This Row],[Code]]&amp;N$2,VLOOKUP(Summary[[#This Row],[Code]]&amp;N$2,Data[],N$1)/Jedinica,"")</f>
        <v>29074171</v>
      </c>
      <c r="O10" s="32">
        <f>IF(VLOOKUP(Summary[[#This Row],[Code]]&amp;O$2,Data[],1)=Summary[[#This Row],[Code]]&amp;O$2,VLOOKUP(Summary[[#This Row],[Code]]&amp;O$2,Data[],O$1)/Jedinica,"")</f>
        <v>38386513</v>
      </c>
      <c r="P10" s="32">
        <f>IF(VLOOKUP(Summary[[#This Row],[Code]]&amp;P$2,Data[],1)=Summary[[#This Row],[Code]]&amp;P$2,VLOOKUP(Summary[[#This Row],[Code]]&amp;P$2,Data[],P$1)/Jedinica,"")</f>
        <v>8106300</v>
      </c>
      <c r="Q10" s="32">
        <f>IF(VLOOKUP(Summary[[#This Row],[Code]]&amp;Q$2,Data[],1)=Summary[[#This Row],[Code]]&amp;Q$2,VLOOKUP(Summary[[#This Row],[Code]]&amp;Q$2,Data[],Q$1)/Jedinica,"")</f>
        <v>8815292</v>
      </c>
      <c r="R10" s="32">
        <f>IF(VLOOKUP(Summary[[#This Row],[Code]]&amp;R$2,Data[],1)=Summary[[#This Row],[Code]]&amp;R$2,VLOOKUP(Summary[[#This Row],[Code]]&amp;R$2,Data[],R$1)/Jedinica,"")</f>
        <v>2992983</v>
      </c>
      <c r="S10" s="32">
        <f>IF(VLOOKUP(Summary[[#This Row],[Code]]&amp;S$2,Data[],1)=Summary[[#This Row],[Code]]&amp;S$2,VLOOKUP(Summary[[#This Row],[Code]]&amp;S$2,Data[],S$1)/Jedinica,"")</f>
        <v>14145434</v>
      </c>
      <c r="T10" s="29"/>
    </row>
    <row r="11" spans="1:20" x14ac:dyDescent="0.2">
      <c r="A11" s="73">
        <f>ROW()-ROW(Summary[[#Headers],[No]])</f>
        <v>6</v>
      </c>
      <c r="B11" s="30" t="str">
        <f>VLOOKUP(Summary[[#This Row],[No]],Issuer[],2,0)</f>
        <v>NBLB</v>
      </c>
      <c r="C11" s="31" t="str">
        <f>VLOOKUP(Summary[[#This Row],[No]],Issuer[],3,0)</f>
        <v>UNICREDIT BANK AD BANJA LUKA</v>
      </c>
      <c r="D11" s="32">
        <f>IF(VLOOKUP(Summary[[#This Row],[Code]]&amp;D$2,Data[],1)=Summary[[#This Row],[Code]]&amp;D$2,VLOOKUP(Summary[[#This Row],[Code]]&amp;D$2,Data[],D$1)/Jedinica,"")</f>
        <v>852654325</v>
      </c>
      <c r="E11" s="32">
        <f>IF(VLOOKUP(Summary[[#This Row],[Code]]&amp;E$2,Data[],1)=Summary[[#This Row],[Code]]&amp;E$2,VLOOKUP(Summary[[#This Row],[Code]]&amp;E$2,Data[],E$1)/Jedinica,"")</f>
        <v>889142214</v>
      </c>
      <c r="F11" s="32">
        <f>IF(VLOOKUP(Summary[[#This Row],[Code]]&amp;F$2,Data[],1)=Summary[[#This Row],[Code]]&amp;F$2,VLOOKUP(Summary[[#This Row],[Code]]&amp;F$2,Data[],F$1)/Jedinica,"")</f>
        <v>21061965</v>
      </c>
      <c r="G11" s="32">
        <f>IF(VLOOKUP(Summary[[#This Row],[Code]]&amp;G$2,Data[],1)=Summary[[#This Row],[Code]]&amp;G$2,VLOOKUP(Summary[[#This Row],[Code]]&amp;G$2,Data[],G$1)/Jedinica,"")</f>
        <v>22515735</v>
      </c>
      <c r="H11" s="32">
        <f>IF(VLOOKUP(Summary[[#This Row],[Code]]&amp;H$2,Data[],1)=Summary[[#This Row],[Code]]&amp;H$2,VLOOKUP(Summary[[#This Row],[Code]]&amp;H$2,Data[],H$1)/Jedinica,"")</f>
        <v>999943798</v>
      </c>
      <c r="I11" s="32">
        <f>IF(VLOOKUP(Summary[[#This Row],[Code]]&amp;I$2,Data[],1)=Summary[[#This Row],[Code]]&amp;I$2,VLOOKUP(Summary[[#This Row],[Code]]&amp;I$2,Data[],I$1)/Jedinica,"")</f>
        <v>1038296710</v>
      </c>
      <c r="J11" s="32">
        <f>IF(VLOOKUP(Summary[[#This Row],[Code]]&amp;J$2,Data[],1)=Summary[[#This Row],[Code]]&amp;J$2,VLOOKUP(Summary[[#This Row],[Code]]&amp;J$2,Data[],J$1)/Jedinica,"")</f>
        <v>732932689</v>
      </c>
      <c r="K11" s="32">
        <f>IF(VLOOKUP(Summary[[#This Row],[Code]]&amp;K$2,Data[],1)=Summary[[#This Row],[Code]]&amp;K$2,VLOOKUP(Summary[[#This Row],[Code]]&amp;K$2,Data[],K$1)/Jedinica,"")</f>
        <v>798818659</v>
      </c>
      <c r="L11" s="32">
        <f>IF(VLOOKUP(Summary[[#This Row],[Code]]&amp;L$2,Data[],1)=Summary[[#This Row],[Code]]&amp;L$2,VLOOKUP(Summary[[#This Row],[Code]]&amp;L$2,Data[],L$1)/Jedinica,"")</f>
        <v>140783601</v>
      </c>
      <c r="M11" s="32">
        <f>IF(VLOOKUP(Summary[[#This Row],[Code]]&amp;M$2,Data[],1)=Summary[[#This Row],[Code]]&amp;M$2,VLOOKUP(Summary[[#This Row],[Code]]&amp;M$2,Data[],M$1)/Jedinica,"")</f>
        <v>112839290</v>
      </c>
      <c r="N11" s="32">
        <f>IF(VLOOKUP(Summary[[#This Row],[Code]]&amp;N$2,Data[],1)=Summary[[#This Row],[Code]]&amp;N$2,VLOOKUP(Summary[[#This Row],[Code]]&amp;N$2,Data[],N$1)/Jedinica,"")</f>
        <v>26784574</v>
      </c>
      <c r="O11" s="32">
        <f>IF(VLOOKUP(Summary[[#This Row],[Code]]&amp;O$2,Data[],1)=Summary[[#This Row],[Code]]&amp;O$2,VLOOKUP(Summary[[#This Row],[Code]]&amp;O$2,Data[],O$1)/Jedinica,"")</f>
        <v>23376171</v>
      </c>
      <c r="P11" s="32">
        <f>IF(VLOOKUP(Summary[[#This Row],[Code]]&amp;P$2,Data[],1)=Summary[[#This Row],[Code]]&amp;P$2,VLOOKUP(Summary[[#This Row],[Code]]&amp;P$2,Data[],P$1)/Jedinica,"")</f>
        <v>5855854</v>
      </c>
      <c r="Q11" s="32">
        <f>IF(VLOOKUP(Summary[[#This Row],[Code]]&amp;Q$2,Data[],1)=Summary[[#This Row],[Code]]&amp;Q$2,VLOOKUP(Summary[[#This Row],[Code]]&amp;Q$2,Data[],Q$1)/Jedinica,"")</f>
        <v>6277341</v>
      </c>
      <c r="R11" s="32">
        <f>IF(VLOOKUP(Summary[[#This Row],[Code]]&amp;R$2,Data[],1)=Summary[[#This Row],[Code]]&amp;R$2,VLOOKUP(Summary[[#This Row],[Code]]&amp;R$2,Data[],R$1)/Jedinica,"")</f>
        <v>12944011</v>
      </c>
      <c r="S11" s="32">
        <f>IF(VLOOKUP(Summary[[#This Row],[Code]]&amp;S$2,Data[],1)=Summary[[#This Row],[Code]]&amp;S$2,VLOOKUP(Summary[[#This Row],[Code]]&amp;S$2,Data[],S$1)/Jedinica,"")</f>
        <v>6268092</v>
      </c>
      <c r="T11" s="29"/>
    </row>
    <row r="12" spans="1:20" x14ac:dyDescent="0.2">
      <c r="A12" s="73">
        <f>ROW()-ROW(Summary[[#Headers],[No]])</f>
        <v>7</v>
      </c>
      <c r="B12" s="30" t="str">
        <f>VLOOKUP(Summary[[#This Row],[No]],Issuer[],2,0)</f>
        <v>NOVB</v>
      </c>
      <c r="C12" s="31" t="str">
        <f>VLOOKUP(Summary[[#This Row],[No]],Issuer[],3,0)</f>
        <v>NOVA BANKA  AD BANJA LUKA</v>
      </c>
      <c r="D12" s="32">
        <f>IF(VLOOKUP(Summary[[#This Row],[Code]]&amp;D$2,Data[],1)=Summary[[#This Row],[Code]]&amp;D$2,VLOOKUP(Summary[[#This Row],[Code]]&amp;D$2,Data[],D$1)/Jedinica,"")</f>
        <v>1301772517</v>
      </c>
      <c r="E12" s="32">
        <f>IF(VLOOKUP(Summary[[#This Row],[Code]]&amp;E$2,Data[],1)=Summary[[#This Row],[Code]]&amp;E$2,VLOOKUP(Summary[[#This Row],[Code]]&amp;E$2,Data[],E$1)/Jedinica,"")</f>
        <v>1179212386</v>
      </c>
      <c r="F12" s="32">
        <f>IF(VLOOKUP(Summary[[#This Row],[Code]]&amp;F$2,Data[],1)=Summary[[#This Row],[Code]]&amp;F$2,VLOOKUP(Summary[[#This Row],[Code]]&amp;F$2,Data[],F$1)/Jedinica,"")</f>
        <v>33028354</v>
      </c>
      <c r="G12" s="32">
        <f>IF(VLOOKUP(Summary[[#This Row],[Code]]&amp;G$2,Data[],1)=Summary[[#This Row],[Code]]&amp;G$2,VLOOKUP(Summary[[#This Row],[Code]]&amp;G$2,Data[],G$1)/Jedinica,"")</f>
        <v>31648601</v>
      </c>
      <c r="H12" s="32">
        <f>IF(VLOOKUP(Summary[[#This Row],[Code]]&amp;H$2,Data[],1)=Summary[[#This Row],[Code]]&amp;H$2,VLOOKUP(Summary[[#This Row],[Code]]&amp;H$2,Data[],H$1)/Jedinica,"")</f>
        <v>1670869692</v>
      </c>
      <c r="I12" s="32">
        <f>IF(VLOOKUP(Summary[[#This Row],[Code]]&amp;I$2,Data[],1)=Summary[[#This Row],[Code]]&amp;I$2,VLOOKUP(Summary[[#This Row],[Code]]&amp;I$2,Data[],I$1)/Jedinica,"")</f>
        <v>1489325716</v>
      </c>
      <c r="J12" s="32">
        <f>IF(VLOOKUP(Summary[[#This Row],[Code]]&amp;J$2,Data[],1)=Summary[[#This Row],[Code]]&amp;J$2,VLOOKUP(Summary[[#This Row],[Code]]&amp;J$2,Data[],J$1)/Jedinica,"")</f>
        <v>1224299308</v>
      </c>
      <c r="K12" s="32">
        <f>IF(VLOOKUP(Summary[[#This Row],[Code]]&amp;K$2,Data[],1)=Summary[[#This Row],[Code]]&amp;K$2,VLOOKUP(Summary[[#This Row],[Code]]&amp;K$2,Data[],K$1)/Jedinica,"")</f>
        <v>1105334948</v>
      </c>
      <c r="L12" s="32">
        <f>IF(VLOOKUP(Summary[[#This Row],[Code]]&amp;L$2,Data[],1)=Summary[[#This Row],[Code]]&amp;L$2,VLOOKUP(Summary[[#This Row],[Code]]&amp;L$2,Data[],L$1)/Jedinica,"")</f>
        <v>110501563</v>
      </c>
      <c r="M12" s="32">
        <f>IF(VLOOKUP(Summary[[#This Row],[Code]]&amp;M$2,Data[],1)=Summary[[#This Row],[Code]]&amp;M$2,VLOOKUP(Summary[[#This Row],[Code]]&amp;M$2,Data[],M$1)/Jedinica,"")</f>
        <v>105526039</v>
      </c>
      <c r="N12" s="32">
        <f>IF(VLOOKUP(Summary[[#This Row],[Code]]&amp;N$2,Data[],1)=Summary[[#This Row],[Code]]&amp;N$2,VLOOKUP(Summary[[#This Row],[Code]]&amp;N$2,Data[],N$1)/Jedinica,"")</f>
        <v>35263523</v>
      </c>
      <c r="O12" s="32">
        <f>IF(VLOOKUP(Summary[[#This Row],[Code]]&amp;O$2,Data[],1)=Summary[[#This Row],[Code]]&amp;O$2,VLOOKUP(Summary[[#This Row],[Code]]&amp;O$2,Data[],O$1)/Jedinica,"")</f>
        <v>31033775</v>
      </c>
      <c r="P12" s="32">
        <f>IF(VLOOKUP(Summary[[#This Row],[Code]]&amp;P$2,Data[],1)=Summary[[#This Row],[Code]]&amp;P$2,VLOOKUP(Summary[[#This Row],[Code]]&amp;P$2,Data[],P$1)/Jedinica,"")</f>
        <v>13242628</v>
      </c>
      <c r="Q12" s="32">
        <f>IF(VLOOKUP(Summary[[#This Row],[Code]]&amp;Q$2,Data[],1)=Summary[[#This Row],[Code]]&amp;Q$2,VLOOKUP(Summary[[#This Row],[Code]]&amp;Q$2,Data[],Q$1)/Jedinica,"")</f>
        <v>9200745</v>
      </c>
      <c r="R12" s="32">
        <f>IF(VLOOKUP(Summary[[#This Row],[Code]]&amp;R$2,Data[],1)=Summary[[#This Row],[Code]]&amp;R$2,VLOOKUP(Summary[[#This Row],[Code]]&amp;R$2,Data[],R$1)/Jedinica,"")</f>
        <v>5055524</v>
      </c>
      <c r="S12" s="32">
        <f>IF(VLOOKUP(Summary[[#This Row],[Code]]&amp;S$2,Data[],1)=Summary[[#This Row],[Code]]&amp;S$2,VLOOKUP(Summary[[#This Row],[Code]]&amp;S$2,Data[],S$1)/Jedinica,"")</f>
        <v>6066994</v>
      </c>
      <c r="T12" s="29"/>
    </row>
    <row r="13" spans="1:20" x14ac:dyDescent="0.2">
      <c r="A13" s="73">
        <f>ROW()-ROW(Summary[[#Headers],[No]])</f>
        <v>8</v>
      </c>
      <c r="B13" s="30" t="str">
        <f>VLOOKUP(Summary[[#This Row],[No]],Issuer[],2,0)</f>
        <v>PIBB</v>
      </c>
      <c r="C13" s="31" t="str">
        <f>VLOOKUP(Summary[[#This Row],[No]],Issuer[],3,0)</f>
        <v>PAVLOVIĆ INTERNATIONAL BANK AD BIJELJINA</v>
      </c>
      <c r="D13" s="32">
        <f>IF(VLOOKUP(Summary[[#This Row],[Code]]&amp;D$2,Data[],1)=Summary[[#This Row],[Code]]&amp;D$2,VLOOKUP(Summary[[#This Row],[Code]]&amp;D$2,Data[],D$1)/Jedinica,"")</f>
        <v>222968275</v>
      </c>
      <c r="E13" s="32">
        <f>IF(VLOOKUP(Summary[[#This Row],[Code]]&amp;E$2,Data[],1)=Summary[[#This Row],[Code]]&amp;E$2,VLOOKUP(Summary[[#This Row],[Code]]&amp;E$2,Data[],E$1)/Jedinica,"")</f>
        <v>200168685</v>
      </c>
      <c r="F13" s="32">
        <f>IF(VLOOKUP(Summary[[#This Row],[Code]]&amp;F$2,Data[],1)=Summary[[#This Row],[Code]]&amp;F$2,VLOOKUP(Summary[[#This Row],[Code]]&amp;F$2,Data[],F$1)/Jedinica,"")</f>
        <v>15633005</v>
      </c>
      <c r="G13" s="32">
        <f>IF(VLOOKUP(Summary[[#This Row],[Code]]&amp;G$2,Data[],1)=Summary[[#This Row],[Code]]&amp;G$2,VLOOKUP(Summary[[#This Row],[Code]]&amp;G$2,Data[],G$1)/Jedinica,"")</f>
        <v>15687777</v>
      </c>
      <c r="H13" s="32">
        <f>IF(VLOOKUP(Summary[[#This Row],[Code]]&amp;H$2,Data[],1)=Summary[[#This Row],[Code]]&amp;H$2,VLOOKUP(Summary[[#This Row],[Code]]&amp;H$2,Data[],H$1)/Jedinica,"")</f>
        <v>262877748</v>
      </c>
      <c r="I13" s="32">
        <f>IF(VLOOKUP(Summary[[#This Row],[Code]]&amp;I$2,Data[],1)=Summary[[#This Row],[Code]]&amp;I$2,VLOOKUP(Summary[[#This Row],[Code]]&amp;I$2,Data[],I$1)/Jedinica,"")</f>
        <v>233110996</v>
      </c>
      <c r="J13" s="32">
        <f>IF(VLOOKUP(Summary[[#This Row],[Code]]&amp;J$2,Data[],1)=Summary[[#This Row],[Code]]&amp;J$2,VLOOKUP(Summary[[#This Row],[Code]]&amp;J$2,Data[],J$1)/Jedinica,"")</f>
        <v>203378650</v>
      </c>
      <c r="K13" s="32">
        <f>IF(VLOOKUP(Summary[[#This Row],[Code]]&amp;K$2,Data[],1)=Summary[[#This Row],[Code]]&amp;K$2,VLOOKUP(Summary[[#This Row],[Code]]&amp;K$2,Data[],K$1)/Jedinica,"")</f>
        <v>185804353</v>
      </c>
      <c r="L13" s="32">
        <f>IF(VLOOKUP(Summary[[#This Row],[Code]]&amp;L$2,Data[],1)=Summary[[#This Row],[Code]]&amp;L$2,VLOOKUP(Summary[[#This Row],[Code]]&amp;L$2,Data[],L$1)/Jedinica,"")</f>
        <v>35222630</v>
      </c>
      <c r="M13" s="32">
        <f>IF(VLOOKUP(Summary[[#This Row],[Code]]&amp;M$2,Data[],1)=Summary[[#This Row],[Code]]&amp;M$2,VLOOKUP(Summary[[#This Row],[Code]]&amp;M$2,Data[],M$1)/Jedinica,"")</f>
        <v>30052109</v>
      </c>
      <c r="N13" s="32">
        <f>IF(VLOOKUP(Summary[[#This Row],[Code]]&amp;N$2,Data[],1)=Summary[[#This Row],[Code]]&amp;N$2,VLOOKUP(Summary[[#This Row],[Code]]&amp;N$2,Data[],N$1)/Jedinica,"")</f>
        <v>6651297</v>
      </c>
      <c r="O13" s="32">
        <f>IF(VLOOKUP(Summary[[#This Row],[Code]]&amp;O$2,Data[],1)=Summary[[#This Row],[Code]]&amp;O$2,VLOOKUP(Summary[[#This Row],[Code]]&amp;O$2,Data[],O$1)/Jedinica,"")</f>
        <v>5307568</v>
      </c>
      <c r="P13" s="32">
        <f>IF(VLOOKUP(Summary[[#This Row],[Code]]&amp;P$2,Data[],1)=Summary[[#This Row],[Code]]&amp;P$2,VLOOKUP(Summary[[#This Row],[Code]]&amp;P$2,Data[],P$1)/Jedinica,"")</f>
        <v>2674752</v>
      </c>
      <c r="Q13" s="32">
        <f>IF(VLOOKUP(Summary[[#This Row],[Code]]&amp;Q$2,Data[],1)=Summary[[#This Row],[Code]]&amp;Q$2,VLOOKUP(Summary[[#This Row],[Code]]&amp;Q$2,Data[],Q$1)/Jedinica,"")</f>
        <v>2192512</v>
      </c>
      <c r="R13" s="32">
        <f>IF(VLOOKUP(Summary[[#This Row],[Code]]&amp;R$2,Data[],1)=Summary[[#This Row],[Code]]&amp;R$2,VLOOKUP(Summary[[#This Row],[Code]]&amp;R$2,Data[],R$1)/Jedinica,"")</f>
        <v>170521</v>
      </c>
      <c r="S13" s="32">
        <f>IF(VLOOKUP(Summary[[#This Row],[Code]]&amp;S$2,Data[],1)=Summary[[#This Row],[Code]]&amp;S$2,VLOOKUP(Summary[[#This Row],[Code]]&amp;S$2,Data[],S$1)/Jedinica,"")</f>
        <v>155144</v>
      </c>
      <c r="T13" s="29"/>
    </row>
    <row r="14" spans="1:20" x14ac:dyDescent="0.2">
      <c r="A14" s="73">
        <f>ROW()-ROW(Summary[[#Headers],[No]])</f>
        <v>9</v>
      </c>
      <c r="B14" s="30" t="str">
        <f>VLOOKUP(Summary[[#This Row],[No]],Issuer[],2,0)</f>
        <v>VBBB</v>
      </c>
      <c r="C14" s="31" t="str">
        <f>VLOOKUP(Summary[[#This Row],[No]],Issuer[],3,0)</f>
        <v>NLB RAZVOJNA BANKA AD BANJA LUKA</v>
      </c>
      <c r="D14" s="32">
        <f>IF(VLOOKUP(Summary[[#This Row],[Code]]&amp;D$2,Data[],1)=Summary[[#This Row],[Code]]&amp;D$2,VLOOKUP(Summary[[#This Row],[Code]]&amp;D$2,Data[],D$1)/Jedinica,"")</f>
        <v>1092160104</v>
      </c>
      <c r="E14" s="32">
        <f>IF(VLOOKUP(Summary[[#This Row],[Code]]&amp;E$2,Data[],1)=Summary[[#This Row],[Code]]&amp;E$2,VLOOKUP(Summary[[#This Row],[Code]]&amp;E$2,Data[],E$1)/Jedinica,"")</f>
        <v>1073746806</v>
      </c>
      <c r="F14" s="32">
        <f>IF(VLOOKUP(Summary[[#This Row],[Code]]&amp;F$2,Data[],1)=Summary[[#This Row],[Code]]&amp;F$2,VLOOKUP(Summary[[#This Row],[Code]]&amp;F$2,Data[],F$1)/Jedinica,"")</f>
        <v>36322470</v>
      </c>
      <c r="G14" s="32">
        <f>IF(VLOOKUP(Summary[[#This Row],[Code]]&amp;G$2,Data[],1)=Summary[[#This Row],[Code]]&amp;G$2,VLOOKUP(Summary[[#This Row],[Code]]&amp;G$2,Data[],G$1)/Jedinica,"")</f>
        <v>36679273</v>
      </c>
      <c r="H14" s="32">
        <f>IF(VLOOKUP(Summary[[#This Row],[Code]]&amp;H$2,Data[],1)=Summary[[#This Row],[Code]]&amp;H$2,VLOOKUP(Summary[[#This Row],[Code]]&amp;H$2,Data[],H$1)/Jedinica,"")</f>
        <v>1353613902</v>
      </c>
      <c r="I14" s="32">
        <f>IF(VLOOKUP(Summary[[#This Row],[Code]]&amp;I$2,Data[],1)=Summary[[#This Row],[Code]]&amp;I$2,VLOOKUP(Summary[[#This Row],[Code]]&amp;I$2,Data[],I$1)/Jedinica,"")</f>
        <v>1346790970</v>
      </c>
      <c r="J14" s="32">
        <f>IF(VLOOKUP(Summary[[#This Row],[Code]]&amp;J$2,Data[],1)=Summary[[#This Row],[Code]]&amp;J$2,VLOOKUP(Summary[[#This Row],[Code]]&amp;J$2,Data[],J$1)/Jedinica,"")</f>
        <v>1014039069</v>
      </c>
      <c r="K14" s="32">
        <f>IF(VLOOKUP(Summary[[#This Row],[Code]]&amp;K$2,Data[],1)=Summary[[#This Row],[Code]]&amp;K$2,VLOOKUP(Summary[[#This Row],[Code]]&amp;K$2,Data[],K$1)/Jedinica,"")</f>
        <v>1003468764</v>
      </c>
      <c r="L14" s="32">
        <f>IF(VLOOKUP(Summary[[#This Row],[Code]]&amp;L$2,Data[],1)=Summary[[#This Row],[Code]]&amp;L$2,VLOOKUP(Summary[[#This Row],[Code]]&amp;L$2,Data[],L$1)/Jedinica,"")</f>
        <v>114443505</v>
      </c>
      <c r="M14" s="32">
        <f>IF(VLOOKUP(Summary[[#This Row],[Code]]&amp;M$2,Data[],1)=Summary[[#This Row],[Code]]&amp;M$2,VLOOKUP(Summary[[#This Row],[Code]]&amp;M$2,Data[],M$1)/Jedinica,"")</f>
        <v>106957315</v>
      </c>
      <c r="N14" s="32">
        <f>IF(VLOOKUP(Summary[[#This Row],[Code]]&amp;N$2,Data[],1)=Summary[[#This Row],[Code]]&amp;N$2,VLOOKUP(Summary[[#This Row],[Code]]&amp;N$2,Data[],N$1)/Jedinica,"")</f>
        <v>23848614</v>
      </c>
      <c r="O14" s="32">
        <f>IF(VLOOKUP(Summary[[#This Row],[Code]]&amp;O$2,Data[],1)=Summary[[#This Row],[Code]]&amp;O$2,VLOOKUP(Summary[[#This Row],[Code]]&amp;O$2,Data[],O$1)/Jedinica,"")</f>
        <v>26918496</v>
      </c>
      <c r="P14" s="32">
        <f>IF(VLOOKUP(Summary[[#This Row],[Code]]&amp;P$2,Data[],1)=Summary[[#This Row],[Code]]&amp;P$2,VLOOKUP(Summary[[#This Row],[Code]]&amp;P$2,Data[],P$1)/Jedinica,"")</f>
        <v>9692371</v>
      </c>
      <c r="Q14" s="32">
        <f>IF(VLOOKUP(Summary[[#This Row],[Code]]&amp;Q$2,Data[],1)=Summary[[#This Row],[Code]]&amp;Q$2,VLOOKUP(Summary[[#This Row],[Code]]&amp;Q$2,Data[],Q$1)/Jedinica,"")</f>
        <v>9424244</v>
      </c>
      <c r="R14" s="32">
        <f>IF(VLOOKUP(Summary[[#This Row],[Code]]&amp;R$2,Data[],1)=Summary[[#This Row],[Code]]&amp;R$2,VLOOKUP(Summary[[#This Row],[Code]]&amp;R$2,Data[],R$1)/Jedinica,"")</f>
        <v>7486190</v>
      </c>
      <c r="S14" s="32">
        <f>IF(VLOOKUP(Summary[[#This Row],[Code]]&amp;S$2,Data[],1)=Summary[[#This Row],[Code]]&amp;S$2,VLOOKUP(Summary[[#This Row],[Code]]&amp;S$2,Data[],S$1)/Jedinica,"")</f>
        <v>6727192</v>
      </c>
      <c r="T14" s="29"/>
    </row>
    <row r="15" spans="1:20" x14ac:dyDescent="0.2">
      <c r="A15" s="73">
        <f>ROW()-ROW(Summary[[#Headers],[No]])</f>
        <v>10</v>
      </c>
      <c r="B15" s="30" t="str">
        <f>VLOOKUP(Summary[[#This Row],[No]],Issuer[],2,0)</f>
        <v>ZPKB</v>
      </c>
      <c r="C15" s="31" t="str">
        <f>VLOOKUP(Summary[[#This Row],[No]],Issuer[],3,0)</f>
        <v>SBERBANK AD BANJA LUKA</v>
      </c>
      <c r="D15" s="32">
        <f>IF(VLOOKUP(Summary[[#This Row],[Code]]&amp;D$2,Data[],1)=Summary[[#This Row],[Code]]&amp;D$2,VLOOKUP(Summary[[#This Row],[Code]]&amp;D$2,Data[],D$1)/Jedinica,"")</f>
        <v>533681174</v>
      </c>
      <c r="E15" s="32">
        <f>IF(VLOOKUP(Summary[[#This Row],[Code]]&amp;E$2,Data[],1)=Summary[[#This Row],[Code]]&amp;E$2,VLOOKUP(Summary[[#This Row],[Code]]&amp;E$2,Data[],E$1)/Jedinica,"")</f>
        <v>493590257</v>
      </c>
      <c r="F15" s="32">
        <f>IF(VLOOKUP(Summary[[#This Row],[Code]]&amp;F$2,Data[],1)=Summary[[#This Row],[Code]]&amp;F$2,VLOOKUP(Summary[[#This Row],[Code]]&amp;F$2,Data[],F$1)/Jedinica,"")</f>
        <v>10075098</v>
      </c>
      <c r="G15" s="32">
        <f>IF(VLOOKUP(Summary[[#This Row],[Code]]&amp;G$2,Data[],1)=Summary[[#This Row],[Code]]&amp;G$2,VLOOKUP(Summary[[#This Row],[Code]]&amp;G$2,Data[],G$1)/Jedinica,"")</f>
        <v>8774291</v>
      </c>
      <c r="H15" s="32">
        <f>IF(VLOOKUP(Summary[[#This Row],[Code]]&amp;H$2,Data[],1)=Summary[[#This Row],[Code]]&amp;H$2,VLOOKUP(Summary[[#This Row],[Code]]&amp;H$2,Data[],H$1)/Jedinica,"")</f>
        <v>672221484</v>
      </c>
      <c r="I15" s="32">
        <f>IF(VLOOKUP(Summary[[#This Row],[Code]]&amp;I$2,Data[],1)=Summary[[#This Row],[Code]]&amp;I$2,VLOOKUP(Summary[[#This Row],[Code]]&amp;I$2,Data[],I$1)/Jedinica,"")</f>
        <v>616620469</v>
      </c>
      <c r="J15" s="32">
        <f>IF(VLOOKUP(Summary[[#This Row],[Code]]&amp;J$2,Data[],1)=Summary[[#This Row],[Code]]&amp;J$2,VLOOKUP(Summary[[#This Row],[Code]]&amp;J$2,Data[],J$1)/Jedinica,"")</f>
        <v>459214560</v>
      </c>
      <c r="K15" s="32">
        <f>IF(VLOOKUP(Summary[[#This Row],[Code]]&amp;K$2,Data[],1)=Summary[[#This Row],[Code]]&amp;K$2,VLOOKUP(Summary[[#This Row],[Code]]&amp;K$2,Data[],K$1)/Jedinica,"")</f>
        <v>434616776</v>
      </c>
      <c r="L15" s="32">
        <f>IF(VLOOKUP(Summary[[#This Row],[Code]]&amp;L$2,Data[],1)=Summary[[#This Row],[Code]]&amp;L$2,VLOOKUP(Summary[[#This Row],[Code]]&amp;L$2,Data[],L$1)/Jedinica,"")</f>
        <v>84541712</v>
      </c>
      <c r="M15" s="32">
        <f>IF(VLOOKUP(Summary[[#This Row],[Code]]&amp;M$2,Data[],1)=Summary[[#This Row],[Code]]&amp;M$2,VLOOKUP(Summary[[#This Row],[Code]]&amp;M$2,Data[],M$1)/Jedinica,"")</f>
        <v>67747772</v>
      </c>
      <c r="N15" s="32">
        <f>IF(VLOOKUP(Summary[[#This Row],[Code]]&amp;N$2,Data[],1)=Summary[[#This Row],[Code]]&amp;N$2,VLOOKUP(Summary[[#This Row],[Code]]&amp;N$2,Data[],N$1)/Jedinica,"")</f>
        <v>15105429</v>
      </c>
      <c r="O15" s="32">
        <f>IF(VLOOKUP(Summary[[#This Row],[Code]]&amp;O$2,Data[],1)=Summary[[#This Row],[Code]]&amp;O$2,VLOOKUP(Summary[[#This Row],[Code]]&amp;O$2,Data[],O$1)/Jedinica,"")</f>
        <v>12643141</v>
      </c>
      <c r="P15" s="32">
        <f>IF(VLOOKUP(Summary[[#This Row],[Code]]&amp;P$2,Data[],1)=Summary[[#This Row],[Code]]&amp;P$2,VLOOKUP(Summary[[#This Row],[Code]]&amp;P$2,Data[],P$1)/Jedinica,"")</f>
        <v>4683819</v>
      </c>
      <c r="Q15" s="32">
        <f>IF(VLOOKUP(Summary[[#This Row],[Code]]&amp;Q$2,Data[],1)=Summary[[#This Row],[Code]]&amp;Q$2,VLOOKUP(Summary[[#This Row],[Code]]&amp;Q$2,Data[],Q$1)/Jedinica,"")</f>
        <v>4053415</v>
      </c>
      <c r="R15" s="32">
        <f>IF(VLOOKUP(Summary[[#This Row],[Code]]&amp;R$2,Data[],1)=Summary[[#This Row],[Code]]&amp;R$2,VLOOKUP(Summary[[#This Row],[Code]]&amp;R$2,Data[],R$1)/Jedinica,"")</f>
        <v>1793940</v>
      </c>
      <c r="S15" s="32">
        <f>IF(VLOOKUP(Summary[[#This Row],[Code]]&amp;S$2,Data[],1)=Summary[[#This Row],[Code]]&amp;S$2,VLOOKUP(Summary[[#This Row],[Code]]&amp;S$2,Data[],S$1)/Jedinica,"")</f>
        <v>1430327</v>
      </c>
      <c r="T15" s="29"/>
    </row>
    <row r="16" spans="1:20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3:20" x14ac:dyDescent="0.2">
      <c r="T17" s="29"/>
    </row>
    <row r="18" spans="3:20" x14ac:dyDescent="0.2">
      <c r="T18" s="29"/>
    </row>
    <row r="19" spans="3:20" x14ac:dyDescent="0.2">
      <c r="T19" s="29"/>
    </row>
    <row r="20" spans="3:20" x14ac:dyDescent="0.2">
      <c r="T20" s="29"/>
    </row>
    <row r="21" spans="3:20" ht="15" x14ac:dyDescent="0.25">
      <c r="C21"/>
      <c r="D21"/>
      <c r="T21" s="29"/>
    </row>
    <row r="22" spans="3:20" ht="15" x14ac:dyDescent="0.25">
      <c r="C22"/>
      <c r="D22"/>
      <c r="T22" s="29"/>
    </row>
    <row r="23" spans="3:20" ht="15" x14ac:dyDescent="0.25">
      <c r="C23"/>
      <c r="D23"/>
      <c r="T23" s="29"/>
    </row>
    <row r="24" spans="3:20" ht="15" x14ac:dyDescent="0.25">
      <c r="C24"/>
      <c r="D24"/>
      <c r="T24" s="29"/>
    </row>
    <row r="25" spans="3:20" ht="15" x14ac:dyDescent="0.25">
      <c r="C25"/>
      <c r="D25"/>
      <c r="T25" s="29"/>
    </row>
    <row r="26" spans="3:20" ht="15" x14ac:dyDescent="0.25">
      <c r="C26"/>
      <c r="D26"/>
      <c r="T26" s="29"/>
    </row>
    <row r="27" spans="3:20" ht="15" x14ac:dyDescent="0.25">
      <c r="C27"/>
      <c r="D27"/>
      <c r="T27" s="29"/>
    </row>
    <row r="28" spans="3:20" ht="15" x14ac:dyDescent="0.25">
      <c r="C28"/>
      <c r="D28"/>
      <c r="T28" s="29"/>
    </row>
    <row r="29" spans="3:20" x14ac:dyDescent="0.2">
      <c r="T29" s="29"/>
    </row>
    <row r="30" spans="3:20" x14ac:dyDescent="0.2">
      <c r="T30" s="29"/>
    </row>
    <row r="31" spans="3:20" x14ac:dyDescent="0.2">
      <c r="T31" s="29"/>
    </row>
    <row r="32" spans="3:20" x14ac:dyDescent="0.2">
      <c r="T32" s="29"/>
    </row>
    <row r="33" spans="20:20" x14ac:dyDescent="0.2">
      <c r="T33" s="29"/>
    </row>
    <row r="34" spans="20:20" x14ac:dyDescent="0.2">
      <c r="T34" s="29"/>
    </row>
    <row r="35" spans="20:20" x14ac:dyDescent="0.2">
      <c r="T35" s="29"/>
    </row>
    <row r="36" spans="20:20" x14ac:dyDescent="0.2">
      <c r="T36" s="29"/>
    </row>
    <row r="37" spans="20:20" x14ac:dyDescent="0.2">
      <c r="T37" s="29"/>
    </row>
    <row r="38" spans="20:20" x14ac:dyDescent="0.2">
      <c r="T38" s="29"/>
    </row>
    <row r="39" spans="20:20" x14ac:dyDescent="0.2">
      <c r="T39" s="29"/>
    </row>
    <row r="40" spans="20:20" x14ac:dyDescent="0.2">
      <c r="T40" s="29"/>
    </row>
    <row r="41" spans="20:20" x14ac:dyDescent="0.2">
      <c r="T41" s="29"/>
    </row>
    <row r="42" spans="20:20" x14ac:dyDescent="0.2">
      <c r="T42" s="29"/>
    </row>
    <row r="43" spans="20:20" x14ac:dyDescent="0.2">
      <c r="T43" s="29"/>
    </row>
    <row r="44" spans="20:20" x14ac:dyDescent="0.2">
      <c r="T44" s="29"/>
    </row>
    <row r="45" spans="20:20" x14ac:dyDescent="0.2">
      <c r="T45" s="29"/>
    </row>
    <row r="46" spans="20:20" x14ac:dyDescent="0.2">
      <c r="T46" s="29"/>
    </row>
    <row r="47" spans="20:20" x14ac:dyDescent="0.2">
      <c r="T47" s="29"/>
    </row>
    <row r="48" spans="20:20" x14ac:dyDescent="0.2">
      <c r="T48" s="29"/>
    </row>
    <row r="49" spans="20:20" x14ac:dyDescent="0.2">
      <c r="T49" s="29"/>
    </row>
    <row r="50" spans="20:20" x14ac:dyDescent="0.2">
      <c r="T50" s="29"/>
    </row>
    <row r="51" spans="20:20" x14ac:dyDescent="0.2">
      <c r="T51" s="29"/>
    </row>
    <row r="52" spans="20:20" x14ac:dyDescent="0.2">
      <c r="T52" s="29"/>
    </row>
    <row r="53" spans="20:20" x14ac:dyDescent="0.2">
      <c r="T53" s="29"/>
    </row>
    <row r="54" spans="20:20" x14ac:dyDescent="0.2">
      <c r="T54" s="29"/>
    </row>
    <row r="55" spans="20:20" x14ac:dyDescent="0.2">
      <c r="T55" s="29"/>
    </row>
    <row r="56" spans="20:20" x14ac:dyDescent="0.2">
      <c r="T56" s="29"/>
    </row>
    <row r="57" spans="20:20" x14ac:dyDescent="0.2">
      <c r="T57" s="29"/>
    </row>
    <row r="58" spans="20:20" x14ac:dyDescent="0.2">
      <c r="T58" s="29"/>
    </row>
    <row r="59" spans="20:20" x14ac:dyDescent="0.2">
      <c r="T59" s="29"/>
    </row>
    <row r="60" spans="20:20" x14ac:dyDescent="0.2">
      <c r="T60" s="29"/>
    </row>
    <row r="61" spans="20:20" x14ac:dyDescent="0.2">
      <c r="T61" s="29"/>
    </row>
    <row r="62" spans="20:20" x14ac:dyDescent="0.2">
      <c r="T62" s="29"/>
    </row>
    <row r="63" spans="20:20" x14ac:dyDescent="0.2">
      <c r="T63" s="29"/>
    </row>
    <row r="64" spans="20:20" x14ac:dyDescent="0.2">
      <c r="T64" s="29"/>
    </row>
    <row r="65" spans="20:20" x14ac:dyDescent="0.2">
      <c r="T65" s="29"/>
    </row>
    <row r="66" spans="20:20" x14ac:dyDescent="0.2">
      <c r="T66" s="29"/>
    </row>
    <row r="67" spans="20:20" x14ac:dyDescent="0.2">
      <c r="T67" s="29"/>
    </row>
    <row r="68" spans="20:20" x14ac:dyDescent="0.2">
      <c r="T68" s="29"/>
    </row>
    <row r="69" spans="20:20" x14ac:dyDescent="0.2">
      <c r="T69" s="29"/>
    </row>
    <row r="70" spans="20:20" x14ac:dyDescent="0.2">
      <c r="T70" s="29"/>
    </row>
    <row r="71" spans="20:20" x14ac:dyDescent="0.2">
      <c r="T71" s="29"/>
    </row>
    <row r="72" spans="20:20" x14ac:dyDescent="0.2">
      <c r="T72" s="29"/>
    </row>
    <row r="73" spans="20:20" x14ac:dyDescent="0.2">
      <c r="T73" s="29"/>
    </row>
    <row r="74" spans="20:20" x14ac:dyDescent="0.2">
      <c r="T74" s="29"/>
    </row>
    <row r="75" spans="20:20" x14ac:dyDescent="0.2">
      <c r="T75" s="29"/>
    </row>
    <row r="76" spans="20:20" x14ac:dyDescent="0.2">
      <c r="T76" s="29"/>
    </row>
    <row r="77" spans="20:20" x14ac:dyDescent="0.2">
      <c r="T77" s="29"/>
    </row>
    <row r="78" spans="20:20" x14ac:dyDescent="0.2">
      <c r="T78" s="29"/>
    </row>
    <row r="79" spans="20:20" x14ac:dyDescent="0.2">
      <c r="T79" s="29"/>
    </row>
    <row r="80" spans="20:20" x14ac:dyDescent="0.2">
      <c r="T80" s="29"/>
    </row>
    <row r="81" spans="20:20" x14ac:dyDescent="0.2">
      <c r="T81" s="29"/>
    </row>
    <row r="82" spans="20:20" x14ac:dyDescent="0.2">
      <c r="T82" s="29"/>
    </row>
    <row r="83" spans="20:20" x14ac:dyDescent="0.2">
      <c r="T83" s="29"/>
    </row>
    <row r="84" spans="20:20" x14ac:dyDescent="0.2">
      <c r="T84" s="29"/>
    </row>
    <row r="85" spans="20:20" x14ac:dyDescent="0.2">
      <c r="T85" s="29"/>
    </row>
    <row r="86" spans="20:20" x14ac:dyDescent="0.2">
      <c r="T86" s="29"/>
    </row>
    <row r="87" spans="20:20" x14ac:dyDescent="0.2">
      <c r="T87" s="29"/>
    </row>
    <row r="88" spans="20:20" x14ac:dyDescent="0.2">
      <c r="T88" s="29"/>
    </row>
    <row r="89" spans="20:20" x14ac:dyDescent="0.2">
      <c r="T89" s="29"/>
    </row>
    <row r="90" spans="20:20" x14ac:dyDescent="0.2">
      <c r="T90" s="29"/>
    </row>
    <row r="91" spans="20:20" x14ac:dyDescent="0.2">
      <c r="T91" s="29"/>
    </row>
    <row r="92" spans="20:20" x14ac:dyDescent="0.2">
      <c r="T92" s="29"/>
    </row>
    <row r="93" spans="20:20" x14ac:dyDescent="0.2">
      <c r="T93" s="29"/>
    </row>
    <row r="94" spans="20:20" x14ac:dyDescent="0.2">
      <c r="T94" s="29"/>
    </row>
    <row r="95" spans="20:20" x14ac:dyDescent="0.2">
      <c r="T95" s="29"/>
    </row>
    <row r="96" spans="20:20" x14ac:dyDescent="0.2">
      <c r="T96" s="29"/>
    </row>
    <row r="97" spans="20:20" x14ac:dyDescent="0.2">
      <c r="T97" s="29"/>
    </row>
    <row r="98" spans="20:20" x14ac:dyDescent="0.2">
      <c r="T98" s="29"/>
    </row>
    <row r="99" spans="20:20" x14ac:dyDescent="0.2">
      <c r="T99" s="29"/>
    </row>
    <row r="100" spans="20:20" x14ac:dyDescent="0.2">
      <c r="T100" s="29"/>
    </row>
    <row r="101" spans="20:20" x14ac:dyDescent="0.2">
      <c r="T101" s="29"/>
    </row>
    <row r="102" spans="20:20" x14ac:dyDescent="0.2">
      <c r="T102" s="29"/>
    </row>
    <row r="103" spans="20:20" x14ac:dyDescent="0.2">
      <c r="T103" s="29"/>
    </row>
    <row r="104" spans="20:20" x14ac:dyDescent="0.2">
      <c r="T104" s="29"/>
    </row>
    <row r="105" spans="20:20" x14ac:dyDescent="0.2">
      <c r="T105" s="29"/>
    </row>
    <row r="106" spans="20:20" x14ac:dyDescent="0.2">
      <c r="T106" s="29"/>
    </row>
    <row r="107" spans="20:20" x14ac:dyDescent="0.2">
      <c r="T107" s="29"/>
    </row>
    <row r="108" spans="20:20" x14ac:dyDescent="0.2">
      <c r="T108" s="29"/>
    </row>
    <row r="109" spans="20:20" x14ac:dyDescent="0.2">
      <c r="T109" s="29"/>
    </row>
    <row r="110" spans="20:20" x14ac:dyDescent="0.2">
      <c r="T110" s="29"/>
    </row>
    <row r="111" spans="20:20" x14ac:dyDescent="0.2">
      <c r="T111" s="29"/>
    </row>
    <row r="112" spans="20:20" x14ac:dyDescent="0.2">
      <c r="T112" s="29"/>
    </row>
    <row r="113" spans="20:20" x14ac:dyDescent="0.2">
      <c r="T113" s="29"/>
    </row>
    <row r="114" spans="20:20" x14ac:dyDescent="0.2">
      <c r="T114" s="29"/>
    </row>
    <row r="115" spans="20:20" x14ac:dyDescent="0.2">
      <c r="T115" s="29"/>
    </row>
    <row r="116" spans="20:20" x14ac:dyDescent="0.2">
      <c r="T116" s="29"/>
    </row>
    <row r="117" spans="20:20" x14ac:dyDescent="0.2">
      <c r="T117" s="29"/>
    </row>
    <row r="118" spans="20:20" x14ac:dyDescent="0.2">
      <c r="T118" s="29"/>
    </row>
    <row r="119" spans="20:20" x14ac:dyDescent="0.2">
      <c r="T119" s="29"/>
    </row>
    <row r="120" spans="20:20" x14ac:dyDescent="0.2">
      <c r="T120" s="29"/>
    </row>
    <row r="121" spans="20:20" x14ac:dyDescent="0.2">
      <c r="T121" s="29"/>
    </row>
    <row r="122" spans="20:20" x14ac:dyDescent="0.2">
      <c r="T122" s="29"/>
    </row>
    <row r="123" spans="20:20" x14ac:dyDescent="0.2">
      <c r="T123" s="29"/>
    </row>
    <row r="124" spans="20:20" x14ac:dyDescent="0.2">
      <c r="T124" s="29"/>
    </row>
    <row r="125" spans="20:20" x14ac:dyDescent="0.2">
      <c r="T125" s="29"/>
    </row>
    <row r="126" spans="20:20" x14ac:dyDescent="0.2">
      <c r="T126" s="29"/>
    </row>
    <row r="127" spans="20:20" x14ac:dyDescent="0.2">
      <c r="T127" s="29"/>
    </row>
    <row r="128" spans="20:20" x14ac:dyDescent="0.2">
      <c r="T128" s="29"/>
    </row>
    <row r="129" spans="20:20" x14ac:dyDescent="0.2">
      <c r="T129" s="29"/>
    </row>
    <row r="130" spans="20:20" x14ac:dyDescent="0.2">
      <c r="T130" s="29"/>
    </row>
    <row r="131" spans="20:20" x14ac:dyDescent="0.2">
      <c r="T131" s="29"/>
    </row>
    <row r="132" spans="20:20" x14ac:dyDescent="0.2">
      <c r="T132" s="29"/>
    </row>
    <row r="133" spans="20:20" x14ac:dyDescent="0.2">
      <c r="T133" s="29"/>
    </row>
    <row r="134" spans="20:20" x14ac:dyDescent="0.2">
      <c r="T134" s="29"/>
    </row>
    <row r="135" spans="20:20" x14ac:dyDescent="0.2">
      <c r="T135" s="29"/>
    </row>
    <row r="136" spans="20:20" x14ac:dyDescent="0.2">
      <c r="T136" s="29"/>
    </row>
    <row r="137" spans="20:20" x14ac:dyDescent="0.2">
      <c r="T137" s="29"/>
    </row>
    <row r="138" spans="20:20" x14ac:dyDescent="0.2">
      <c r="T138" s="29"/>
    </row>
    <row r="139" spans="20:20" x14ac:dyDescent="0.2">
      <c r="T139" s="29"/>
    </row>
    <row r="140" spans="20:20" x14ac:dyDescent="0.2">
      <c r="T140" s="29"/>
    </row>
    <row r="141" spans="20:20" x14ac:dyDescent="0.2">
      <c r="T141" s="29"/>
    </row>
    <row r="142" spans="20:20" x14ac:dyDescent="0.2">
      <c r="T142" s="29"/>
    </row>
    <row r="143" spans="20:20" x14ac:dyDescent="0.2">
      <c r="T143" s="29"/>
    </row>
    <row r="144" spans="20:20" x14ac:dyDescent="0.2">
      <c r="T144" s="29"/>
    </row>
    <row r="145" spans="20:20" x14ac:dyDescent="0.2">
      <c r="T145" s="29"/>
    </row>
    <row r="146" spans="20:20" x14ac:dyDescent="0.2">
      <c r="T146" s="29"/>
    </row>
    <row r="147" spans="20:20" x14ac:dyDescent="0.2">
      <c r="T147" s="29"/>
    </row>
    <row r="148" spans="20:20" x14ac:dyDescent="0.2">
      <c r="T148" s="29"/>
    </row>
    <row r="149" spans="20:20" x14ac:dyDescent="0.2">
      <c r="T149" s="29"/>
    </row>
    <row r="150" spans="20:20" x14ac:dyDescent="0.2">
      <c r="T150" s="29"/>
    </row>
    <row r="151" spans="20:20" x14ac:dyDescent="0.2">
      <c r="T151" s="29"/>
    </row>
    <row r="152" spans="20:20" x14ac:dyDescent="0.2">
      <c r="T152" s="29"/>
    </row>
    <row r="153" spans="20:20" x14ac:dyDescent="0.2">
      <c r="T153" s="29"/>
    </row>
    <row r="154" spans="20:20" x14ac:dyDescent="0.2">
      <c r="T154" s="29"/>
    </row>
    <row r="155" spans="20:20" x14ac:dyDescent="0.2">
      <c r="T155" s="29"/>
    </row>
    <row r="156" spans="20:20" x14ac:dyDescent="0.2">
      <c r="T156" s="29"/>
    </row>
    <row r="157" spans="20:20" x14ac:dyDescent="0.2">
      <c r="T157" s="29"/>
    </row>
    <row r="158" spans="20:20" x14ac:dyDescent="0.2">
      <c r="T158" s="29"/>
    </row>
    <row r="159" spans="20:20" x14ac:dyDescent="0.2">
      <c r="T159" s="29"/>
    </row>
    <row r="160" spans="20:20" x14ac:dyDescent="0.2">
      <c r="T160" s="29"/>
    </row>
    <row r="161" spans="20:20" x14ac:dyDescent="0.2">
      <c r="T161" s="29"/>
    </row>
    <row r="162" spans="20:20" x14ac:dyDescent="0.2">
      <c r="T162" s="29"/>
    </row>
    <row r="163" spans="20:20" x14ac:dyDescent="0.2">
      <c r="T163" s="29"/>
    </row>
    <row r="164" spans="20:20" x14ac:dyDescent="0.2">
      <c r="T164" s="29"/>
    </row>
    <row r="165" spans="20:20" x14ac:dyDescent="0.2">
      <c r="T165" s="29"/>
    </row>
    <row r="166" spans="20:20" x14ac:dyDescent="0.2">
      <c r="T166" s="29"/>
    </row>
    <row r="167" spans="20:20" x14ac:dyDescent="0.2">
      <c r="T167" s="29"/>
    </row>
    <row r="168" spans="20:20" x14ac:dyDescent="0.2">
      <c r="T168" s="29"/>
    </row>
    <row r="169" spans="20:20" x14ac:dyDescent="0.2">
      <c r="T169" s="29"/>
    </row>
    <row r="170" spans="20:20" x14ac:dyDescent="0.2">
      <c r="T170" s="29"/>
    </row>
    <row r="171" spans="20:20" x14ac:dyDescent="0.2">
      <c r="T171" s="29"/>
    </row>
    <row r="172" spans="20:20" x14ac:dyDescent="0.2">
      <c r="T172" s="29"/>
    </row>
    <row r="173" spans="20:20" x14ac:dyDescent="0.2">
      <c r="T173" s="29"/>
    </row>
    <row r="174" spans="20:20" x14ac:dyDescent="0.2">
      <c r="T174" s="29"/>
    </row>
    <row r="175" spans="20:20" x14ac:dyDescent="0.2">
      <c r="T175" s="29"/>
    </row>
    <row r="176" spans="20:20" x14ac:dyDescent="0.2">
      <c r="T176" s="29"/>
    </row>
    <row r="177" spans="20:20" x14ac:dyDescent="0.2">
      <c r="T177" s="29"/>
    </row>
    <row r="178" spans="20:20" x14ac:dyDescent="0.2">
      <c r="T178" s="29"/>
    </row>
    <row r="179" spans="20:20" x14ac:dyDescent="0.2">
      <c r="T179" s="29"/>
    </row>
    <row r="180" spans="20:20" x14ac:dyDescent="0.2">
      <c r="T180" s="29"/>
    </row>
    <row r="181" spans="20:20" x14ac:dyDescent="0.2">
      <c r="T181" s="29"/>
    </row>
    <row r="182" spans="20:20" x14ac:dyDescent="0.2">
      <c r="T182" s="29"/>
    </row>
    <row r="183" spans="20:20" x14ac:dyDescent="0.2">
      <c r="T183" s="29"/>
    </row>
    <row r="184" spans="20:20" x14ac:dyDescent="0.2">
      <c r="T184" s="29"/>
    </row>
    <row r="185" spans="20:20" x14ac:dyDescent="0.2">
      <c r="T185" s="29"/>
    </row>
    <row r="186" spans="20:20" x14ac:dyDescent="0.2">
      <c r="T186" s="29"/>
    </row>
    <row r="187" spans="20:20" x14ac:dyDescent="0.2">
      <c r="T187" s="29"/>
    </row>
    <row r="188" spans="20:20" x14ac:dyDescent="0.2">
      <c r="T188" s="29"/>
    </row>
    <row r="189" spans="20:20" x14ac:dyDescent="0.2">
      <c r="T189" s="29"/>
    </row>
    <row r="190" spans="20:20" x14ac:dyDescent="0.2">
      <c r="T190" s="29"/>
    </row>
    <row r="191" spans="20:20" x14ac:dyDescent="0.2">
      <c r="T191" s="29"/>
    </row>
    <row r="192" spans="20:20" x14ac:dyDescent="0.2">
      <c r="T192" s="29"/>
    </row>
    <row r="193" spans="20:20" x14ac:dyDescent="0.2">
      <c r="T193" s="29"/>
    </row>
    <row r="194" spans="20:20" x14ac:dyDescent="0.2">
      <c r="T194" s="29"/>
    </row>
    <row r="195" spans="20:20" x14ac:dyDescent="0.2">
      <c r="T195" s="29"/>
    </row>
    <row r="196" spans="20:20" x14ac:dyDescent="0.2">
      <c r="T196" s="29"/>
    </row>
    <row r="197" spans="20:20" x14ac:dyDescent="0.2">
      <c r="T197" s="29"/>
    </row>
    <row r="198" spans="20:20" x14ac:dyDescent="0.2">
      <c r="T198" s="29"/>
    </row>
    <row r="199" spans="20:20" x14ac:dyDescent="0.2">
      <c r="T199" s="29"/>
    </row>
    <row r="200" spans="20:20" x14ac:dyDescent="0.2">
      <c r="T200" s="29"/>
    </row>
    <row r="201" spans="20:20" x14ac:dyDescent="0.2">
      <c r="T201" s="29"/>
    </row>
    <row r="202" spans="20:20" x14ac:dyDescent="0.2">
      <c r="T202" s="29"/>
    </row>
    <row r="203" spans="20:20" x14ac:dyDescent="0.2">
      <c r="T203" s="29"/>
    </row>
    <row r="204" spans="20:20" x14ac:dyDescent="0.2">
      <c r="T204" s="29"/>
    </row>
    <row r="205" spans="20:20" x14ac:dyDescent="0.2">
      <c r="T205" s="29"/>
    </row>
    <row r="206" spans="20:20" x14ac:dyDescent="0.2">
      <c r="T206" s="29"/>
    </row>
    <row r="207" spans="20:20" x14ac:dyDescent="0.2">
      <c r="T207" s="29"/>
    </row>
    <row r="208" spans="20:20" x14ac:dyDescent="0.2">
      <c r="T208" s="29"/>
    </row>
    <row r="209" spans="20:20" x14ac:dyDescent="0.2">
      <c r="T209" s="29"/>
    </row>
    <row r="210" spans="20:20" x14ac:dyDescent="0.2">
      <c r="T210" s="29"/>
    </row>
    <row r="211" spans="20:20" x14ac:dyDescent="0.2">
      <c r="T211" s="29"/>
    </row>
    <row r="212" spans="20:20" x14ac:dyDescent="0.2">
      <c r="T212" s="29"/>
    </row>
    <row r="213" spans="20:20" x14ac:dyDescent="0.2">
      <c r="T213" s="29"/>
    </row>
    <row r="214" spans="20:20" x14ac:dyDescent="0.2">
      <c r="T214" s="29"/>
    </row>
    <row r="215" spans="20:20" x14ac:dyDescent="0.2">
      <c r="T215" s="29"/>
    </row>
    <row r="216" spans="20:20" x14ac:dyDescent="0.2">
      <c r="T216" s="29"/>
    </row>
    <row r="217" spans="20:20" x14ac:dyDescent="0.2">
      <c r="T217" s="29"/>
    </row>
    <row r="218" spans="20:20" x14ac:dyDescent="0.2">
      <c r="T218" s="29"/>
    </row>
    <row r="219" spans="20:20" x14ac:dyDescent="0.2">
      <c r="T219" s="29"/>
    </row>
    <row r="220" spans="20:20" x14ac:dyDescent="0.2">
      <c r="T220" s="29"/>
    </row>
    <row r="221" spans="20:20" x14ac:dyDescent="0.2">
      <c r="T221" s="29"/>
    </row>
    <row r="222" spans="20:20" x14ac:dyDescent="0.2">
      <c r="T222" s="29"/>
    </row>
    <row r="223" spans="20:20" x14ac:dyDescent="0.2">
      <c r="T223" s="29"/>
    </row>
    <row r="224" spans="20:20" x14ac:dyDescent="0.2">
      <c r="T224" s="29"/>
    </row>
    <row r="225" spans="20:20" x14ac:dyDescent="0.2">
      <c r="T225" s="29"/>
    </row>
    <row r="226" spans="20:20" x14ac:dyDescent="0.2">
      <c r="T226" s="29"/>
    </row>
    <row r="227" spans="20:20" x14ac:dyDescent="0.2">
      <c r="T227" s="29"/>
    </row>
    <row r="228" spans="20:20" x14ac:dyDescent="0.2">
      <c r="T228" s="29"/>
    </row>
    <row r="229" spans="20:20" x14ac:dyDescent="0.2">
      <c r="T229" s="29"/>
    </row>
    <row r="230" spans="20:20" x14ac:dyDescent="0.2">
      <c r="T230" s="29"/>
    </row>
    <row r="231" spans="20:20" x14ac:dyDescent="0.2">
      <c r="T231" s="29"/>
    </row>
    <row r="232" spans="20:20" x14ac:dyDescent="0.2">
      <c r="T232" s="29"/>
    </row>
    <row r="233" spans="20:20" x14ac:dyDescent="0.2">
      <c r="T233" s="29"/>
    </row>
    <row r="234" spans="20:20" x14ac:dyDescent="0.2">
      <c r="T234" s="29"/>
    </row>
    <row r="235" spans="20:20" x14ac:dyDescent="0.2">
      <c r="T235" s="29"/>
    </row>
    <row r="236" spans="20:20" x14ac:dyDescent="0.2">
      <c r="T236" s="29"/>
    </row>
    <row r="237" spans="20:20" x14ac:dyDescent="0.2">
      <c r="T237" s="29"/>
    </row>
    <row r="238" spans="20:20" x14ac:dyDescent="0.2">
      <c r="T238" s="29"/>
    </row>
    <row r="239" spans="20:20" x14ac:dyDescent="0.2">
      <c r="T239" s="29"/>
    </row>
    <row r="240" spans="20:20" x14ac:dyDescent="0.2">
      <c r="T240" s="29"/>
    </row>
    <row r="241" spans="20:20" x14ac:dyDescent="0.2">
      <c r="T241" s="29"/>
    </row>
    <row r="242" spans="20:20" x14ac:dyDescent="0.2">
      <c r="T242" s="29"/>
    </row>
    <row r="243" spans="20:20" x14ac:dyDescent="0.2">
      <c r="T243" s="29"/>
    </row>
    <row r="244" spans="20:20" x14ac:dyDescent="0.2">
      <c r="T244" s="29"/>
    </row>
    <row r="245" spans="20:20" x14ac:dyDescent="0.2">
      <c r="T245" s="29"/>
    </row>
    <row r="246" spans="20:20" x14ac:dyDescent="0.2">
      <c r="T246" s="29"/>
    </row>
    <row r="247" spans="20:20" x14ac:dyDescent="0.2">
      <c r="T247" s="29"/>
    </row>
    <row r="248" spans="20:20" x14ac:dyDescent="0.2">
      <c r="T248" s="29"/>
    </row>
    <row r="249" spans="20:20" x14ac:dyDescent="0.2">
      <c r="T249" s="29"/>
    </row>
    <row r="250" spans="20:20" x14ac:dyDescent="0.2">
      <c r="T250" s="29"/>
    </row>
    <row r="251" spans="20:20" x14ac:dyDescent="0.2">
      <c r="T251" s="29"/>
    </row>
    <row r="252" spans="20:20" x14ac:dyDescent="0.2">
      <c r="T252" s="29"/>
    </row>
    <row r="253" spans="20:20" x14ac:dyDescent="0.2">
      <c r="T253" s="29"/>
    </row>
    <row r="254" spans="20:20" x14ac:dyDescent="0.2">
      <c r="T254" s="29"/>
    </row>
    <row r="255" spans="20:20" x14ac:dyDescent="0.2">
      <c r="T255" s="29"/>
    </row>
    <row r="256" spans="20:20" x14ac:dyDescent="0.2">
      <c r="T256" s="29"/>
    </row>
    <row r="257" spans="20:20" x14ac:dyDescent="0.2">
      <c r="T257" s="29"/>
    </row>
    <row r="258" spans="20:20" x14ac:dyDescent="0.2">
      <c r="T258" s="29"/>
    </row>
    <row r="259" spans="20:20" x14ac:dyDescent="0.2">
      <c r="T259" s="29"/>
    </row>
    <row r="260" spans="20:20" x14ac:dyDescent="0.2">
      <c r="T260" s="29"/>
    </row>
    <row r="261" spans="20:20" x14ac:dyDescent="0.2">
      <c r="T261" s="29"/>
    </row>
    <row r="262" spans="20:20" x14ac:dyDescent="0.2">
      <c r="T262" s="29"/>
    </row>
    <row r="263" spans="20:20" x14ac:dyDescent="0.2">
      <c r="T263" s="29"/>
    </row>
    <row r="264" spans="20:20" x14ac:dyDescent="0.2">
      <c r="T264" s="29"/>
    </row>
    <row r="265" spans="20:20" x14ac:dyDescent="0.2">
      <c r="T265" s="29"/>
    </row>
    <row r="266" spans="20:20" x14ac:dyDescent="0.2">
      <c r="T266" s="29"/>
    </row>
    <row r="267" spans="20:20" x14ac:dyDescent="0.2">
      <c r="T267" s="29"/>
    </row>
    <row r="268" spans="20:20" x14ac:dyDescent="0.2">
      <c r="T268" s="29"/>
    </row>
    <row r="269" spans="20:20" x14ac:dyDescent="0.2">
      <c r="T269" s="29"/>
    </row>
    <row r="270" spans="20:20" x14ac:dyDescent="0.2">
      <c r="T270" s="29"/>
    </row>
    <row r="271" spans="20:20" x14ac:dyDescent="0.2">
      <c r="T271" s="29"/>
    </row>
    <row r="272" spans="20:20" x14ac:dyDescent="0.2">
      <c r="T272" s="29"/>
    </row>
    <row r="273" spans="20:20" x14ac:dyDescent="0.2">
      <c r="T273" s="29"/>
    </row>
    <row r="274" spans="20:20" x14ac:dyDescent="0.2">
      <c r="T274" s="29"/>
    </row>
    <row r="275" spans="20:20" x14ac:dyDescent="0.2">
      <c r="T275" s="29"/>
    </row>
    <row r="276" spans="20:20" x14ac:dyDescent="0.2">
      <c r="T276" s="29"/>
    </row>
    <row r="277" spans="20:20" x14ac:dyDescent="0.2">
      <c r="T277" s="29"/>
    </row>
    <row r="278" spans="20:20" x14ac:dyDescent="0.2">
      <c r="T278" s="29"/>
    </row>
    <row r="279" spans="20:20" x14ac:dyDescent="0.2">
      <c r="T279" s="29"/>
    </row>
    <row r="280" spans="20:20" x14ac:dyDescent="0.2">
      <c r="T280" s="29"/>
    </row>
    <row r="281" spans="20:20" x14ac:dyDescent="0.2">
      <c r="T281" s="29"/>
    </row>
    <row r="282" spans="20:20" x14ac:dyDescent="0.2">
      <c r="T282" s="29"/>
    </row>
    <row r="283" spans="20:20" x14ac:dyDescent="0.2">
      <c r="T283" s="29"/>
    </row>
    <row r="284" spans="20:20" x14ac:dyDescent="0.2">
      <c r="T284" s="29"/>
    </row>
    <row r="285" spans="20:20" x14ac:dyDescent="0.2">
      <c r="T285" s="29"/>
    </row>
    <row r="286" spans="20:20" x14ac:dyDescent="0.2">
      <c r="T286" s="29"/>
    </row>
    <row r="287" spans="20:20" x14ac:dyDescent="0.2">
      <c r="T287" s="29"/>
    </row>
    <row r="288" spans="20:20" x14ac:dyDescent="0.2">
      <c r="T288" s="29"/>
    </row>
    <row r="289" spans="20:20" x14ac:dyDescent="0.2">
      <c r="T289" s="29"/>
    </row>
    <row r="290" spans="20:20" x14ac:dyDescent="0.2">
      <c r="T290" s="29"/>
    </row>
    <row r="291" spans="20:20" x14ac:dyDescent="0.2">
      <c r="T291" s="29"/>
    </row>
    <row r="292" spans="20:20" x14ac:dyDescent="0.2">
      <c r="T292" s="29"/>
    </row>
    <row r="293" spans="20:20" x14ac:dyDescent="0.2">
      <c r="T293" s="29"/>
    </row>
    <row r="294" spans="20:20" x14ac:dyDescent="0.2">
      <c r="T294" s="29"/>
    </row>
    <row r="295" spans="20:20" x14ac:dyDescent="0.2">
      <c r="T295" s="29"/>
    </row>
    <row r="296" spans="20:20" x14ac:dyDescent="0.2">
      <c r="T296" s="29"/>
    </row>
    <row r="297" spans="20:20" x14ac:dyDescent="0.2">
      <c r="T297" s="29"/>
    </row>
    <row r="298" spans="20:20" x14ac:dyDescent="0.2">
      <c r="T298" s="29"/>
    </row>
    <row r="299" spans="20:20" x14ac:dyDescent="0.2">
      <c r="T299" s="29"/>
    </row>
    <row r="300" spans="20:20" x14ac:dyDescent="0.2">
      <c r="T300" s="29"/>
    </row>
    <row r="301" spans="20:20" x14ac:dyDescent="0.2">
      <c r="T301" s="29"/>
    </row>
    <row r="302" spans="20:20" x14ac:dyDescent="0.2">
      <c r="T302" s="29"/>
    </row>
    <row r="303" spans="20:20" x14ac:dyDescent="0.2">
      <c r="T303" s="29"/>
    </row>
    <row r="304" spans="20:20" x14ac:dyDescent="0.2">
      <c r="T304" s="29"/>
    </row>
    <row r="305" spans="20:20" x14ac:dyDescent="0.2">
      <c r="T305" s="29"/>
    </row>
    <row r="306" spans="20:20" x14ac:dyDescent="0.2">
      <c r="T306" s="29"/>
    </row>
    <row r="307" spans="20:20" x14ac:dyDescent="0.2">
      <c r="T307" s="29"/>
    </row>
    <row r="308" spans="20:20" x14ac:dyDescent="0.2">
      <c r="T308" s="29"/>
    </row>
    <row r="309" spans="20:20" x14ac:dyDescent="0.2">
      <c r="T309" s="29"/>
    </row>
    <row r="310" spans="20:20" x14ac:dyDescent="0.2">
      <c r="T310" s="29"/>
    </row>
    <row r="311" spans="20:20" x14ac:dyDescent="0.2">
      <c r="T311" s="29"/>
    </row>
    <row r="312" spans="20:20" x14ac:dyDescent="0.2">
      <c r="T312" s="29"/>
    </row>
    <row r="313" spans="20:20" x14ac:dyDescent="0.2">
      <c r="T313" s="29"/>
    </row>
    <row r="314" spans="20:20" x14ac:dyDescent="0.2">
      <c r="T314" s="29"/>
    </row>
    <row r="315" spans="20:20" x14ac:dyDescent="0.2">
      <c r="T315" s="29"/>
    </row>
    <row r="316" spans="20:20" x14ac:dyDescent="0.2">
      <c r="T316" s="29"/>
    </row>
    <row r="317" spans="20:20" x14ac:dyDescent="0.2">
      <c r="T317" s="29"/>
    </row>
    <row r="318" spans="20:20" x14ac:dyDescent="0.2">
      <c r="T318" s="29"/>
    </row>
    <row r="319" spans="20:20" x14ac:dyDescent="0.2">
      <c r="T319" s="29"/>
    </row>
    <row r="320" spans="20:20" x14ac:dyDescent="0.2">
      <c r="T320" s="29"/>
    </row>
    <row r="321" spans="20:20" x14ac:dyDescent="0.2">
      <c r="T321" s="29"/>
    </row>
    <row r="322" spans="20:20" x14ac:dyDescent="0.2">
      <c r="T322" s="29"/>
    </row>
    <row r="323" spans="20:20" x14ac:dyDescent="0.2">
      <c r="T323" s="29"/>
    </row>
    <row r="324" spans="20:20" x14ac:dyDescent="0.2">
      <c r="T324" s="29"/>
    </row>
    <row r="325" spans="20:20" x14ac:dyDescent="0.2">
      <c r="T325" s="29"/>
    </row>
    <row r="326" spans="20:20" x14ac:dyDescent="0.2">
      <c r="T326" s="29"/>
    </row>
    <row r="327" spans="20:20" x14ac:dyDescent="0.2">
      <c r="T327" s="29"/>
    </row>
    <row r="328" spans="20:20" x14ac:dyDescent="0.2">
      <c r="T328" s="29"/>
    </row>
    <row r="329" spans="20:20" x14ac:dyDescent="0.2">
      <c r="T329" s="29"/>
    </row>
    <row r="330" spans="20:20" x14ac:dyDescent="0.2">
      <c r="T330" s="29"/>
    </row>
    <row r="331" spans="20:20" x14ac:dyDescent="0.2">
      <c r="T331" s="29"/>
    </row>
    <row r="332" spans="20:20" x14ac:dyDescent="0.2">
      <c r="T332" s="29"/>
    </row>
    <row r="333" spans="20:20" x14ac:dyDescent="0.2">
      <c r="T333" s="29"/>
    </row>
    <row r="334" spans="20:20" x14ac:dyDescent="0.2">
      <c r="T334" s="29"/>
    </row>
    <row r="335" spans="20:20" x14ac:dyDescent="0.2">
      <c r="T335" s="29"/>
    </row>
    <row r="336" spans="20:20" x14ac:dyDescent="0.2">
      <c r="T336" s="29"/>
    </row>
    <row r="337" spans="20:20" x14ac:dyDescent="0.2">
      <c r="T337" s="29"/>
    </row>
    <row r="338" spans="20:20" x14ac:dyDescent="0.2">
      <c r="T338" s="29"/>
    </row>
    <row r="339" spans="20:20" x14ac:dyDescent="0.2">
      <c r="T339" s="29"/>
    </row>
    <row r="340" spans="20:20" x14ac:dyDescent="0.2">
      <c r="T340" s="29"/>
    </row>
    <row r="341" spans="20:20" x14ac:dyDescent="0.2">
      <c r="T341" s="29"/>
    </row>
    <row r="342" spans="20:20" x14ac:dyDescent="0.2">
      <c r="T342" s="29"/>
    </row>
    <row r="343" spans="20:20" x14ac:dyDescent="0.2">
      <c r="T343" s="29"/>
    </row>
    <row r="344" spans="20:20" x14ac:dyDescent="0.2">
      <c r="T344" s="29"/>
    </row>
    <row r="345" spans="20:20" x14ac:dyDescent="0.2">
      <c r="T345" s="29"/>
    </row>
    <row r="346" spans="20:20" x14ac:dyDescent="0.2">
      <c r="T346" s="29"/>
    </row>
    <row r="347" spans="20:20" x14ac:dyDescent="0.2">
      <c r="T347" s="29"/>
    </row>
    <row r="348" spans="20:20" x14ac:dyDescent="0.2">
      <c r="T348" s="29"/>
    </row>
    <row r="349" spans="20:20" x14ac:dyDescent="0.2">
      <c r="T349" s="29"/>
    </row>
    <row r="350" spans="20:20" x14ac:dyDescent="0.2">
      <c r="T350" s="29"/>
    </row>
    <row r="351" spans="20:20" x14ac:dyDescent="0.2">
      <c r="T351" s="29"/>
    </row>
    <row r="352" spans="20:20" x14ac:dyDescent="0.2">
      <c r="T352" s="29"/>
    </row>
    <row r="353" spans="20:20" x14ac:dyDescent="0.2">
      <c r="T353" s="29"/>
    </row>
    <row r="354" spans="20:20" x14ac:dyDescent="0.2">
      <c r="T354" s="29"/>
    </row>
    <row r="355" spans="20:20" x14ac:dyDescent="0.2">
      <c r="T355" s="29"/>
    </row>
    <row r="356" spans="20:20" x14ac:dyDescent="0.2">
      <c r="T356" s="29"/>
    </row>
    <row r="357" spans="20:20" x14ac:dyDescent="0.2">
      <c r="T357" s="29"/>
    </row>
    <row r="358" spans="20:20" x14ac:dyDescent="0.2">
      <c r="T358" s="29"/>
    </row>
    <row r="359" spans="20:20" x14ac:dyDescent="0.2">
      <c r="T359" s="29"/>
    </row>
    <row r="360" spans="20:20" x14ac:dyDescent="0.2">
      <c r="T360" s="29"/>
    </row>
    <row r="361" spans="20:20" x14ac:dyDescent="0.2">
      <c r="T361" s="29"/>
    </row>
    <row r="362" spans="20:20" x14ac:dyDescent="0.2">
      <c r="T362" s="29"/>
    </row>
    <row r="363" spans="20:20" x14ac:dyDescent="0.2">
      <c r="T363" s="29"/>
    </row>
    <row r="364" spans="20:20" x14ac:dyDescent="0.2">
      <c r="T364" s="29"/>
    </row>
    <row r="365" spans="20:20" x14ac:dyDescent="0.2">
      <c r="T365" s="29"/>
    </row>
    <row r="366" spans="20:20" x14ac:dyDescent="0.2">
      <c r="T366" s="29"/>
    </row>
    <row r="367" spans="20:20" x14ac:dyDescent="0.2">
      <c r="T367" s="29"/>
    </row>
    <row r="368" spans="20:20" x14ac:dyDescent="0.2">
      <c r="T368" s="29"/>
    </row>
    <row r="369" spans="20:20" x14ac:dyDescent="0.2">
      <c r="T369" s="29"/>
    </row>
    <row r="370" spans="20:20" x14ac:dyDescent="0.2">
      <c r="T370" s="29"/>
    </row>
    <row r="371" spans="20:20" x14ac:dyDescent="0.2">
      <c r="T371" s="29"/>
    </row>
    <row r="372" spans="20:20" x14ac:dyDescent="0.2">
      <c r="T372" s="29"/>
    </row>
    <row r="373" spans="20:20" x14ac:dyDescent="0.2">
      <c r="T373" s="29"/>
    </row>
    <row r="374" spans="20:20" x14ac:dyDescent="0.2">
      <c r="T374" s="29"/>
    </row>
    <row r="375" spans="20:20" x14ac:dyDescent="0.2">
      <c r="T375" s="29"/>
    </row>
    <row r="376" spans="20:20" x14ac:dyDescent="0.2">
      <c r="T376" s="29"/>
    </row>
    <row r="377" spans="20:20" x14ac:dyDescent="0.2">
      <c r="T377" s="29"/>
    </row>
    <row r="378" spans="20:20" x14ac:dyDescent="0.2">
      <c r="T378" s="29"/>
    </row>
    <row r="379" spans="20:20" x14ac:dyDescent="0.2">
      <c r="T379" s="29"/>
    </row>
    <row r="380" spans="20:20" x14ac:dyDescent="0.2">
      <c r="T380" s="29"/>
    </row>
    <row r="381" spans="20:20" x14ac:dyDescent="0.2">
      <c r="T381" s="29"/>
    </row>
    <row r="382" spans="20:20" x14ac:dyDescent="0.2">
      <c r="T382" s="29"/>
    </row>
    <row r="383" spans="20:20" x14ac:dyDescent="0.2">
      <c r="T383" s="29"/>
    </row>
    <row r="384" spans="20:20" x14ac:dyDescent="0.2">
      <c r="T384" s="29"/>
    </row>
    <row r="385" spans="20:20" x14ac:dyDescent="0.2">
      <c r="T385" s="29"/>
    </row>
    <row r="386" spans="20:20" x14ac:dyDescent="0.2">
      <c r="T386" s="29"/>
    </row>
    <row r="387" spans="20:20" x14ac:dyDescent="0.2">
      <c r="T387" s="29"/>
    </row>
    <row r="388" spans="20:20" x14ac:dyDescent="0.2">
      <c r="T388" s="29"/>
    </row>
    <row r="389" spans="20:20" x14ac:dyDescent="0.2">
      <c r="T389" s="29"/>
    </row>
    <row r="390" spans="20:20" x14ac:dyDescent="0.2">
      <c r="T390" s="29"/>
    </row>
    <row r="391" spans="20:20" x14ac:dyDescent="0.2">
      <c r="T391" s="29"/>
    </row>
    <row r="392" spans="20:20" x14ac:dyDescent="0.2">
      <c r="T392" s="29"/>
    </row>
    <row r="393" spans="20:20" x14ac:dyDescent="0.2">
      <c r="T393" s="29"/>
    </row>
    <row r="394" spans="20:20" x14ac:dyDescent="0.2">
      <c r="T394" s="29"/>
    </row>
    <row r="395" spans="20:20" x14ac:dyDescent="0.2">
      <c r="T395" s="29"/>
    </row>
    <row r="396" spans="20:20" x14ac:dyDescent="0.2">
      <c r="T396" s="29"/>
    </row>
    <row r="397" spans="20:20" x14ac:dyDescent="0.2">
      <c r="T397" s="29"/>
    </row>
    <row r="398" spans="20:20" x14ac:dyDescent="0.2">
      <c r="T398" s="29"/>
    </row>
    <row r="399" spans="20:20" x14ac:dyDescent="0.2">
      <c r="T399" s="29"/>
    </row>
    <row r="400" spans="20:20" x14ac:dyDescent="0.2">
      <c r="T400" s="29"/>
    </row>
    <row r="401" spans="20:20" x14ac:dyDescent="0.2">
      <c r="T401" s="29"/>
    </row>
    <row r="402" spans="20:20" x14ac:dyDescent="0.2">
      <c r="T402" s="29"/>
    </row>
    <row r="403" spans="20:20" x14ac:dyDescent="0.2">
      <c r="T403" s="29"/>
    </row>
    <row r="404" spans="20:20" x14ac:dyDescent="0.2">
      <c r="T404" s="29"/>
    </row>
    <row r="405" spans="20:20" x14ac:dyDescent="0.2">
      <c r="T405" s="29"/>
    </row>
    <row r="406" spans="20:20" x14ac:dyDescent="0.2">
      <c r="T406" s="29"/>
    </row>
    <row r="407" spans="20:20" x14ac:dyDescent="0.2">
      <c r="T407" s="29"/>
    </row>
    <row r="408" spans="20:20" x14ac:dyDescent="0.2">
      <c r="T408" s="29"/>
    </row>
    <row r="409" spans="20:20" x14ac:dyDescent="0.2">
      <c r="T409" s="29"/>
    </row>
    <row r="410" spans="20:20" x14ac:dyDescent="0.2">
      <c r="T410" s="29"/>
    </row>
    <row r="411" spans="20:20" x14ac:dyDescent="0.2">
      <c r="T411" s="29"/>
    </row>
    <row r="412" spans="20:20" x14ac:dyDescent="0.2">
      <c r="T412" s="29"/>
    </row>
    <row r="413" spans="20:20" x14ac:dyDescent="0.2">
      <c r="T413" s="29"/>
    </row>
    <row r="414" spans="20:20" x14ac:dyDescent="0.2">
      <c r="T414" s="29"/>
    </row>
    <row r="415" spans="20:20" x14ac:dyDescent="0.2">
      <c r="T415" s="29"/>
    </row>
    <row r="416" spans="20:20" x14ac:dyDescent="0.2">
      <c r="T416" s="29"/>
    </row>
    <row r="417" spans="20:20" x14ac:dyDescent="0.2">
      <c r="T417" s="29"/>
    </row>
    <row r="418" spans="20:20" x14ac:dyDescent="0.2">
      <c r="T418" s="29"/>
    </row>
    <row r="419" spans="20:20" x14ac:dyDescent="0.2">
      <c r="T419" s="29"/>
    </row>
    <row r="420" spans="20:20" x14ac:dyDescent="0.2">
      <c r="T420" s="29"/>
    </row>
    <row r="421" spans="20:20" x14ac:dyDescent="0.2">
      <c r="T421" s="29"/>
    </row>
    <row r="422" spans="20:20" x14ac:dyDescent="0.2">
      <c r="T422" s="29"/>
    </row>
    <row r="423" spans="20:20" x14ac:dyDescent="0.2">
      <c r="T423" s="29"/>
    </row>
    <row r="424" spans="20:20" x14ac:dyDescent="0.2">
      <c r="T424" s="29"/>
    </row>
    <row r="425" spans="20:20" x14ac:dyDescent="0.2">
      <c r="T425" s="29"/>
    </row>
    <row r="426" spans="20:20" x14ac:dyDescent="0.2">
      <c r="T426" s="29"/>
    </row>
    <row r="427" spans="20:20" x14ac:dyDescent="0.2">
      <c r="T427" s="29"/>
    </row>
    <row r="428" spans="20:20" x14ac:dyDescent="0.2">
      <c r="T428" s="29"/>
    </row>
    <row r="429" spans="20:20" x14ac:dyDescent="0.2">
      <c r="T429" s="29"/>
    </row>
    <row r="430" spans="20:20" x14ac:dyDescent="0.2">
      <c r="T430" s="29"/>
    </row>
    <row r="431" spans="20:20" x14ac:dyDescent="0.2">
      <c r="T431" s="29"/>
    </row>
    <row r="432" spans="20:20" x14ac:dyDescent="0.2">
      <c r="T432" s="29"/>
    </row>
    <row r="433" spans="20:20" x14ac:dyDescent="0.2">
      <c r="T433" s="29"/>
    </row>
    <row r="434" spans="20:20" x14ac:dyDescent="0.2">
      <c r="T434" s="29"/>
    </row>
    <row r="435" spans="20:20" x14ac:dyDescent="0.2">
      <c r="T435" s="29"/>
    </row>
    <row r="436" spans="20:20" x14ac:dyDescent="0.2">
      <c r="T436" s="29"/>
    </row>
    <row r="437" spans="20:20" x14ac:dyDescent="0.2">
      <c r="T437" s="29"/>
    </row>
    <row r="438" spans="20:20" x14ac:dyDescent="0.2">
      <c r="T438" s="29"/>
    </row>
    <row r="439" spans="20:20" x14ac:dyDescent="0.2">
      <c r="T439" s="29"/>
    </row>
    <row r="440" spans="20:20" x14ac:dyDescent="0.2">
      <c r="T440" s="29"/>
    </row>
    <row r="441" spans="20:20" x14ac:dyDescent="0.2">
      <c r="T441" s="29"/>
    </row>
    <row r="442" spans="20:20" x14ac:dyDescent="0.2">
      <c r="T442" s="29"/>
    </row>
    <row r="443" spans="20:20" x14ac:dyDescent="0.2">
      <c r="T443" s="29"/>
    </row>
    <row r="444" spans="20:20" x14ac:dyDescent="0.2">
      <c r="T444" s="29"/>
    </row>
    <row r="445" spans="20:20" x14ac:dyDescent="0.2">
      <c r="T445" s="29"/>
    </row>
    <row r="446" spans="20:20" x14ac:dyDescent="0.2">
      <c r="T446" s="29"/>
    </row>
    <row r="447" spans="20:20" x14ac:dyDescent="0.2">
      <c r="T447" s="29"/>
    </row>
    <row r="448" spans="20:20" x14ac:dyDescent="0.2">
      <c r="T448" s="29"/>
    </row>
    <row r="449" spans="20:20" x14ac:dyDescent="0.2">
      <c r="T449" s="29"/>
    </row>
    <row r="450" spans="20:20" x14ac:dyDescent="0.2">
      <c r="T450" s="29"/>
    </row>
    <row r="451" spans="20:20" x14ac:dyDescent="0.2">
      <c r="T451" s="29"/>
    </row>
    <row r="452" spans="20:20" x14ac:dyDescent="0.2">
      <c r="T452" s="29"/>
    </row>
    <row r="453" spans="20:20" x14ac:dyDescent="0.2">
      <c r="T453" s="29"/>
    </row>
    <row r="454" spans="20:20" x14ac:dyDescent="0.2">
      <c r="T454" s="29"/>
    </row>
    <row r="455" spans="20:20" x14ac:dyDescent="0.2">
      <c r="T455" s="29"/>
    </row>
    <row r="456" spans="20:20" x14ac:dyDescent="0.2">
      <c r="T456" s="29"/>
    </row>
    <row r="457" spans="20:20" x14ac:dyDescent="0.2">
      <c r="T457" s="29"/>
    </row>
    <row r="458" spans="20:20" x14ac:dyDescent="0.2">
      <c r="T458" s="29"/>
    </row>
    <row r="459" spans="20:20" x14ac:dyDescent="0.2">
      <c r="T459" s="29"/>
    </row>
    <row r="460" spans="20:20" x14ac:dyDescent="0.2">
      <c r="T460" s="29"/>
    </row>
    <row r="461" spans="20:20" x14ac:dyDescent="0.2">
      <c r="T461" s="29"/>
    </row>
    <row r="462" spans="20:20" x14ac:dyDescent="0.2">
      <c r="T462" s="29"/>
    </row>
    <row r="463" spans="20:20" x14ac:dyDescent="0.2">
      <c r="T463" s="29"/>
    </row>
    <row r="464" spans="20:20" x14ac:dyDescent="0.2">
      <c r="T464" s="29"/>
    </row>
    <row r="465" spans="20:20" x14ac:dyDescent="0.2">
      <c r="T465" s="29"/>
    </row>
    <row r="466" spans="20:20" x14ac:dyDescent="0.2">
      <c r="T466" s="29"/>
    </row>
    <row r="467" spans="20:20" x14ac:dyDescent="0.2">
      <c r="T467" s="29"/>
    </row>
    <row r="468" spans="20:20" x14ac:dyDescent="0.2">
      <c r="T468" s="29"/>
    </row>
    <row r="469" spans="20:20" x14ac:dyDescent="0.2">
      <c r="T469" s="29"/>
    </row>
    <row r="470" spans="20:20" x14ac:dyDescent="0.2">
      <c r="T470" s="29"/>
    </row>
    <row r="471" spans="20:20" x14ac:dyDescent="0.2">
      <c r="T471" s="29"/>
    </row>
    <row r="472" spans="20:20" x14ac:dyDescent="0.2">
      <c r="T472" s="29"/>
    </row>
    <row r="473" spans="20:20" x14ac:dyDescent="0.2">
      <c r="T473" s="29"/>
    </row>
    <row r="474" spans="20:20" x14ac:dyDescent="0.2">
      <c r="T474" s="29"/>
    </row>
    <row r="475" spans="20:20" x14ac:dyDescent="0.2">
      <c r="T475" s="29"/>
    </row>
    <row r="476" spans="20:20" x14ac:dyDescent="0.2">
      <c r="T476" s="29"/>
    </row>
    <row r="477" spans="20:20" x14ac:dyDescent="0.2">
      <c r="T477" s="29"/>
    </row>
    <row r="478" spans="20:20" x14ac:dyDescent="0.2">
      <c r="T478" s="29"/>
    </row>
    <row r="479" spans="20:20" x14ac:dyDescent="0.2">
      <c r="T479" s="29"/>
    </row>
    <row r="480" spans="20:20" x14ac:dyDescent="0.2">
      <c r="T480" s="29"/>
    </row>
    <row r="481" spans="20:20" x14ac:dyDescent="0.2">
      <c r="T481" s="29"/>
    </row>
    <row r="482" spans="20:20" x14ac:dyDescent="0.2">
      <c r="T482" s="29"/>
    </row>
    <row r="483" spans="20:20" x14ac:dyDescent="0.2">
      <c r="T483" s="29"/>
    </row>
    <row r="484" spans="20:20" x14ac:dyDescent="0.2">
      <c r="T484" s="29"/>
    </row>
    <row r="485" spans="20:20" x14ac:dyDescent="0.2">
      <c r="T485" s="29"/>
    </row>
    <row r="486" spans="20:20" x14ac:dyDescent="0.2">
      <c r="T486" s="29"/>
    </row>
    <row r="487" spans="20:20" x14ac:dyDescent="0.2">
      <c r="T487" s="29"/>
    </row>
    <row r="488" spans="20:20" x14ac:dyDescent="0.2">
      <c r="T488" s="29"/>
    </row>
    <row r="489" spans="20:20" x14ac:dyDescent="0.2">
      <c r="T489" s="29"/>
    </row>
    <row r="490" spans="20:20" x14ac:dyDescent="0.2">
      <c r="T490" s="29"/>
    </row>
    <row r="491" spans="20:20" x14ac:dyDescent="0.2">
      <c r="T491" s="29"/>
    </row>
    <row r="492" spans="20:20" x14ac:dyDescent="0.2">
      <c r="T492" s="29"/>
    </row>
    <row r="493" spans="20:20" x14ac:dyDescent="0.2">
      <c r="T493" s="29"/>
    </row>
    <row r="494" spans="20:20" x14ac:dyDescent="0.2">
      <c r="T494" s="29"/>
    </row>
    <row r="495" spans="20:20" x14ac:dyDescent="0.2">
      <c r="T495" s="29"/>
    </row>
    <row r="496" spans="20:20" x14ac:dyDescent="0.2">
      <c r="T496" s="29"/>
    </row>
    <row r="497" spans="20:20" x14ac:dyDescent="0.2">
      <c r="T497" s="29"/>
    </row>
    <row r="498" spans="20:20" x14ac:dyDescent="0.2">
      <c r="T498" s="29"/>
    </row>
    <row r="499" spans="20:20" x14ac:dyDescent="0.2">
      <c r="T499" s="29"/>
    </row>
    <row r="500" spans="20:20" x14ac:dyDescent="0.2">
      <c r="T500" s="29"/>
    </row>
    <row r="501" spans="20:20" x14ac:dyDescent="0.2">
      <c r="T501" s="29"/>
    </row>
    <row r="502" spans="20:20" x14ac:dyDescent="0.2">
      <c r="T502" s="29"/>
    </row>
    <row r="503" spans="20:20" x14ac:dyDescent="0.2">
      <c r="T503" s="29"/>
    </row>
    <row r="504" spans="20:20" x14ac:dyDescent="0.2">
      <c r="T504" s="29"/>
    </row>
    <row r="505" spans="20:20" x14ac:dyDescent="0.2">
      <c r="T505" s="29"/>
    </row>
    <row r="506" spans="20:20" x14ac:dyDescent="0.2">
      <c r="T506" s="29"/>
    </row>
    <row r="507" spans="20:20" x14ac:dyDescent="0.2">
      <c r="T507" s="29"/>
    </row>
    <row r="508" spans="20:20" x14ac:dyDescent="0.2">
      <c r="T508" s="29"/>
    </row>
    <row r="509" spans="20:20" x14ac:dyDescent="0.2">
      <c r="T509" s="29"/>
    </row>
    <row r="510" spans="20:20" x14ac:dyDescent="0.2">
      <c r="T510" s="29"/>
    </row>
    <row r="511" spans="20:20" x14ac:dyDescent="0.2">
      <c r="T511" s="29"/>
    </row>
    <row r="512" spans="20:20" x14ac:dyDescent="0.2">
      <c r="T512" s="29"/>
    </row>
    <row r="513" spans="20:20" x14ac:dyDescent="0.2">
      <c r="T513" s="29"/>
    </row>
    <row r="514" spans="20:20" x14ac:dyDescent="0.2">
      <c r="T514" s="29"/>
    </row>
    <row r="515" spans="20:20" x14ac:dyDescent="0.2">
      <c r="T515" s="29"/>
    </row>
    <row r="516" spans="20:20" x14ac:dyDescent="0.2">
      <c r="T516" s="29"/>
    </row>
    <row r="517" spans="20:20" x14ac:dyDescent="0.2">
      <c r="T517" s="29"/>
    </row>
    <row r="518" spans="20:20" x14ac:dyDescent="0.2">
      <c r="T518" s="29"/>
    </row>
    <row r="519" spans="20:20" x14ac:dyDescent="0.2">
      <c r="T519" s="29"/>
    </row>
    <row r="520" spans="20:20" x14ac:dyDescent="0.2">
      <c r="T520" s="29"/>
    </row>
    <row r="521" spans="20:20" x14ac:dyDescent="0.2">
      <c r="T521" s="29"/>
    </row>
    <row r="522" spans="20:20" x14ac:dyDescent="0.2">
      <c r="T522" s="29"/>
    </row>
    <row r="523" spans="20:20" x14ac:dyDescent="0.2">
      <c r="T523" s="29"/>
    </row>
    <row r="524" spans="20:20" x14ac:dyDescent="0.2">
      <c r="T524" s="29"/>
    </row>
    <row r="525" spans="20:20" x14ac:dyDescent="0.2">
      <c r="T525" s="29"/>
    </row>
    <row r="526" spans="20:20" x14ac:dyDescent="0.2">
      <c r="T526" s="29"/>
    </row>
    <row r="527" spans="20:20" x14ac:dyDescent="0.2">
      <c r="T527" s="29"/>
    </row>
    <row r="528" spans="20:20" x14ac:dyDescent="0.2">
      <c r="T528" s="29"/>
    </row>
    <row r="529" spans="20:20" x14ac:dyDescent="0.2">
      <c r="T529" s="29"/>
    </row>
    <row r="530" spans="20:20" x14ac:dyDescent="0.2">
      <c r="T530" s="29"/>
    </row>
    <row r="531" spans="20:20" x14ac:dyDescent="0.2">
      <c r="T531" s="29"/>
    </row>
    <row r="532" spans="20:20" x14ac:dyDescent="0.2">
      <c r="T532" s="29"/>
    </row>
    <row r="533" spans="20:20" x14ac:dyDescent="0.2">
      <c r="T533" s="29"/>
    </row>
    <row r="534" spans="20:20" x14ac:dyDescent="0.2">
      <c r="T534" s="29"/>
    </row>
    <row r="535" spans="20:20" x14ac:dyDescent="0.2">
      <c r="T535" s="29"/>
    </row>
    <row r="536" spans="20:20" x14ac:dyDescent="0.2">
      <c r="T536" s="29"/>
    </row>
    <row r="537" spans="20:20" x14ac:dyDescent="0.2">
      <c r="T537" s="29"/>
    </row>
    <row r="538" spans="20:20" x14ac:dyDescent="0.2">
      <c r="T538" s="29"/>
    </row>
    <row r="539" spans="20:20" x14ac:dyDescent="0.2">
      <c r="T539" s="29"/>
    </row>
    <row r="540" spans="20:20" x14ac:dyDescent="0.2">
      <c r="T540" s="29"/>
    </row>
    <row r="541" spans="20:20" x14ac:dyDescent="0.2">
      <c r="T541" s="29"/>
    </row>
    <row r="542" spans="20:20" x14ac:dyDescent="0.2">
      <c r="T542" s="29"/>
    </row>
    <row r="543" spans="20:20" x14ac:dyDescent="0.2">
      <c r="T543" s="29"/>
    </row>
    <row r="544" spans="20:20" x14ac:dyDescent="0.2">
      <c r="T544" s="29"/>
    </row>
    <row r="545" spans="20:20" x14ac:dyDescent="0.2">
      <c r="T545" s="29"/>
    </row>
    <row r="546" spans="20:20" x14ac:dyDescent="0.2">
      <c r="T546" s="29"/>
    </row>
    <row r="547" spans="20:20" x14ac:dyDescent="0.2">
      <c r="T547" s="29"/>
    </row>
    <row r="548" spans="20:20" x14ac:dyDescent="0.2">
      <c r="T548" s="29"/>
    </row>
    <row r="549" spans="20:20" x14ac:dyDescent="0.2">
      <c r="T549" s="29"/>
    </row>
    <row r="550" spans="20:20" x14ac:dyDescent="0.2">
      <c r="T550" s="29"/>
    </row>
    <row r="551" spans="20:20" x14ac:dyDescent="0.2">
      <c r="T551" s="29"/>
    </row>
    <row r="552" spans="20:20" x14ac:dyDescent="0.2">
      <c r="T552" s="29"/>
    </row>
    <row r="553" spans="20:20" x14ac:dyDescent="0.2">
      <c r="T553" s="29"/>
    </row>
    <row r="554" spans="20:20" x14ac:dyDescent="0.2">
      <c r="T554" s="29"/>
    </row>
    <row r="555" spans="20:20" x14ac:dyDescent="0.2">
      <c r="T555" s="29"/>
    </row>
    <row r="556" spans="20:20" x14ac:dyDescent="0.2">
      <c r="T556" s="29"/>
    </row>
    <row r="557" spans="20:20" x14ac:dyDescent="0.2">
      <c r="T557" s="29"/>
    </row>
    <row r="558" spans="20:20" x14ac:dyDescent="0.2">
      <c r="T558" s="29"/>
    </row>
    <row r="559" spans="20:20" x14ac:dyDescent="0.2">
      <c r="T559" s="29"/>
    </row>
    <row r="560" spans="20:20" x14ac:dyDescent="0.2">
      <c r="T560" s="29"/>
    </row>
    <row r="561" spans="20:20" x14ac:dyDescent="0.2">
      <c r="T561" s="29"/>
    </row>
    <row r="562" spans="20:20" x14ac:dyDescent="0.2">
      <c r="T562" s="29"/>
    </row>
    <row r="563" spans="20:20" x14ac:dyDescent="0.2">
      <c r="T563" s="29"/>
    </row>
    <row r="564" spans="20:20" x14ac:dyDescent="0.2">
      <c r="T564" s="29"/>
    </row>
    <row r="565" spans="20:20" x14ac:dyDescent="0.2">
      <c r="T565" s="29"/>
    </row>
    <row r="566" spans="20:20" x14ac:dyDescent="0.2">
      <c r="T566" s="29"/>
    </row>
    <row r="567" spans="20:20" x14ac:dyDescent="0.2">
      <c r="T567" s="29"/>
    </row>
    <row r="568" spans="20:20" x14ac:dyDescent="0.2">
      <c r="T568" s="29"/>
    </row>
    <row r="569" spans="20:20" x14ac:dyDescent="0.2">
      <c r="T569" s="29"/>
    </row>
    <row r="570" spans="20:20" x14ac:dyDescent="0.2">
      <c r="T570" s="29"/>
    </row>
    <row r="571" spans="20:20" x14ac:dyDescent="0.2">
      <c r="T571" s="29"/>
    </row>
    <row r="572" spans="20:20" x14ac:dyDescent="0.2">
      <c r="T572" s="29"/>
    </row>
    <row r="573" spans="20:20" x14ac:dyDescent="0.2">
      <c r="T573" s="29"/>
    </row>
    <row r="574" spans="20:20" x14ac:dyDescent="0.2">
      <c r="T574" s="29"/>
    </row>
    <row r="575" spans="20:20" x14ac:dyDescent="0.2">
      <c r="T575" s="29"/>
    </row>
    <row r="576" spans="20:20" x14ac:dyDescent="0.2">
      <c r="T576" s="29"/>
    </row>
    <row r="577" spans="20:20" x14ac:dyDescent="0.2">
      <c r="T577" s="29"/>
    </row>
    <row r="578" spans="20:20" x14ac:dyDescent="0.2">
      <c r="T578" s="29"/>
    </row>
    <row r="579" spans="20:20" x14ac:dyDescent="0.2">
      <c r="T579" s="29"/>
    </row>
    <row r="580" spans="20:20" x14ac:dyDescent="0.2">
      <c r="T580" s="29"/>
    </row>
    <row r="581" spans="20:20" x14ac:dyDescent="0.2">
      <c r="T581" s="29"/>
    </row>
    <row r="582" spans="20:20" x14ac:dyDescent="0.2">
      <c r="T582" s="29"/>
    </row>
    <row r="583" spans="20:20" x14ac:dyDescent="0.2">
      <c r="T583" s="29"/>
    </row>
    <row r="584" spans="20:20" x14ac:dyDescent="0.2">
      <c r="T584" s="29"/>
    </row>
    <row r="585" spans="20:20" x14ac:dyDescent="0.2">
      <c r="T585" s="29"/>
    </row>
    <row r="586" spans="20:20" x14ac:dyDescent="0.2">
      <c r="T586" s="29"/>
    </row>
    <row r="587" spans="20:20" x14ac:dyDescent="0.2">
      <c r="T587" s="29"/>
    </row>
    <row r="588" spans="20:20" x14ac:dyDescent="0.2">
      <c r="T588" s="29"/>
    </row>
    <row r="589" spans="20:20" x14ac:dyDescent="0.2">
      <c r="T589" s="29"/>
    </row>
    <row r="590" spans="20:20" x14ac:dyDescent="0.2">
      <c r="T590" s="29"/>
    </row>
    <row r="591" spans="20:20" x14ac:dyDescent="0.2">
      <c r="T591" s="29"/>
    </row>
    <row r="592" spans="20:20" x14ac:dyDescent="0.2">
      <c r="T592" s="29"/>
    </row>
    <row r="593" spans="20:20" x14ac:dyDescent="0.2">
      <c r="T593" s="29"/>
    </row>
    <row r="594" spans="20:20" x14ac:dyDescent="0.2">
      <c r="T594" s="29"/>
    </row>
    <row r="595" spans="20:20" x14ac:dyDescent="0.2">
      <c r="T595" s="29"/>
    </row>
    <row r="596" spans="20:20" x14ac:dyDescent="0.2">
      <c r="T596" s="29"/>
    </row>
    <row r="597" spans="20:20" x14ac:dyDescent="0.2">
      <c r="T597" s="29"/>
    </row>
    <row r="598" spans="20:20" x14ac:dyDescent="0.2">
      <c r="T598" s="29"/>
    </row>
    <row r="599" spans="20:20" x14ac:dyDescent="0.2">
      <c r="T599" s="29"/>
    </row>
    <row r="600" spans="20:20" x14ac:dyDescent="0.2">
      <c r="T600" s="29"/>
    </row>
    <row r="601" spans="20:20" x14ac:dyDescent="0.2">
      <c r="T601" s="29"/>
    </row>
    <row r="602" spans="20:20" x14ac:dyDescent="0.2">
      <c r="T602" s="29"/>
    </row>
    <row r="603" spans="20:20" x14ac:dyDescent="0.2">
      <c r="T603" s="29"/>
    </row>
    <row r="604" spans="20:20" x14ac:dyDescent="0.2">
      <c r="T604" s="29"/>
    </row>
    <row r="605" spans="20:20" x14ac:dyDescent="0.2">
      <c r="T605" s="29"/>
    </row>
    <row r="606" spans="20:20" x14ac:dyDescent="0.2">
      <c r="T606" s="29"/>
    </row>
    <row r="607" spans="20:20" x14ac:dyDescent="0.2">
      <c r="T607" s="29"/>
    </row>
    <row r="608" spans="20:20" x14ac:dyDescent="0.2">
      <c r="T608" s="29"/>
    </row>
    <row r="609" spans="20:20" x14ac:dyDescent="0.2">
      <c r="T609" s="29"/>
    </row>
  </sheetData>
  <sheetProtection password="CBEB" sheet="1" objects="1" scenarios="1"/>
  <mergeCells count="8">
    <mergeCell ref="P3:Q3"/>
    <mergeCell ref="R3:S3"/>
    <mergeCell ref="D3:E3"/>
    <mergeCell ref="F3:G3"/>
    <mergeCell ref="H3:I3"/>
    <mergeCell ref="J3:K3"/>
    <mergeCell ref="L3:M3"/>
    <mergeCell ref="N3:O3"/>
  </mergeCells>
  <dataValidations count="1">
    <dataValidation type="list" allowBlank="1" showInputMessage="1" sqref="D3:S3">
      <formula1>AOP_Drop_Down</formula1>
    </dataValidation>
  </dataValidations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</sheetPr>
  <dimension ref="A1:AF110"/>
  <sheetViews>
    <sheetView showGridLines="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D20" sqref="D20"/>
    </sheetView>
  </sheetViews>
  <sheetFormatPr defaultRowHeight="12.75" x14ac:dyDescent="0.2"/>
  <cols>
    <col min="1" max="1" width="5.5703125" style="7" hidden="1" customWidth="1"/>
    <col min="2" max="2" width="7.42578125" style="7" hidden="1" customWidth="1"/>
    <col min="3" max="3" width="7.5703125" style="7" customWidth="1"/>
    <col min="4" max="4" width="81.42578125" style="7" customWidth="1"/>
    <col min="5" max="32" width="14.28515625" style="7" customWidth="1"/>
    <col min="33" max="16384" width="9.140625" style="7"/>
  </cols>
  <sheetData>
    <row r="1" spans="1:32" hidden="1" x14ac:dyDescent="0.2">
      <c r="A1" s="86"/>
      <c r="B1" s="86"/>
      <c r="E1" s="8">
        <v>2</v>
      </c>
      <c r="F1" s="8">
        <v>3</v>
      </c>
      <c r="G1" s="8">
        <v>4</v>
      </c>
      <c r="H1" s="8">
        <v>5</v>
      </c>
      <c r="I1" s="8">
        <v>2</v>
      </c>
      <c r="J1" s="8">
        <v>3</v>
      </c>
      <c r="K1" s="8">
        <v>4</v>
      </c>
      <c r="L1" s="8">
        <v>5</v>
      </c>
      <c r="M1" s="8">
        <v>2</v>
      </c>
      <c r="N1" s="8">
        <v>3</v>
      </c>
      <c r="O1" s="8">
        <v>4</v>
      </c>
      <c r="P1" s="8">
        <v>5</v>
      </c>
      <c r="Q1" s="8">
        <v>2</v>
      </c>
      <c r="R1" s="8">
        <v>3</v>
      </c>
      <c r="S1" s="8">
        <v>4</v>
      </c>
      <c r="T1" s="8">
        <v>5</v>
      </c>
      <c r="U1" s="8">
        <v>2</v>
      </c>
      <c r="V1" s="8">
        <v>3</v>
      </c>
      <c r="W1" s="8">
        <v>4</v>
      </c>
      <c r="X1" s="8">
        <v>5</v>
      </c>
      <c r="Y1" s="8">
        <v>2</v>
      </c>
      <c r="Z1" s="8">
        <v>3</v>
      </c>
      <c r="AA1" s="8">
        <v>4</v>
      </c>
      <c r="AB1" s="8">
        <v>5</v>
      </c>
      <c r="AC1" s="8">
        <v>2</v>
      </c>
      <c r="AD1" s="8">
        <v>3</v>
      </c>
      <c r="AE1" s="8">
        <v>4</v>
      </c>
      <c r="AF1" s="8">
        <v>5</v>
      </c>
    </row>
    <row r="2" spans="1:32" hidden="1" x14ac:dyDescent="0.2">
      <c r="A2" s="86"/>
      <c r="B2" s="86"/>
      <c r="E2" s="8" t="str">
        <f>LEFT(E3,4)</f>
        <v>BBRB</v>
      </c>
      <c r="F2" s="8" t="str">
        <f>LEFT(E3,4)</f>
        <v>BBRB</v>
      </c>
      <c r="G2" s="8" t="str">
        <f>LEFT(E3,4)</f>
        <v>BBRB</v>
      </c>
      <c r="H2" s="8" t="str">
        <f>LEFT(E3,4)</f>
        <v>BBRB</v>
      </c>
      <c r="I2" s="8" t="str">
        <f>LEFT(I3,4)</f>
        <v>BLKB</v>
      </c>
      <c r="J2" s="8" t="str">
        <f>LEFT(I3,4)</f>
        <v>BLKB</v>
      </c>
      <c r="K2" s="8" t="str">
        <f>LEFT(I3,4)</f>
        <v>BLKB</v>
      </c>
      <c r="L2" s="8" t="str">
        <f>LEFT(I3,4)</f>
        <v>BLKB</v>
      </c>
      <c r="M2" s="8" t="str">
        <f>LEFT(M3,4)</f>
        <v>KMCB</v>
      </c>
      <c r="N2" s="8" t="str">
        <f>LEFT(M3,4)</f>
        <v>KMCB</v>
      </c>
      <c r="O2" s="8" t="str">
        <f>LEFT(M3,4)</f>
        <v>KMCB</v>
      </c>
      <c r="P2" s="8" t="str">
        <f>LEFT(M3,4)</f>
        <v>KMCB</v>
      </c>
      <c r="Q2" s="8" t="str">
        <f>LEFT(Q3,4)</f>
        <v>IEFB</v>
      </c>
      <c r="R2" s="8" t="str">
        <f>LEFT(Q3,4)</f>
        <v>IEFB</v>
      </c>
      <c r="S2" s="8" t="str">
        <f>LEFT(Q3,4)</f>
        <v>IEFB</v>
      </c>
      <c r="T2" s="8" t="str">
        <f>LEFT(Q3,4)</f>
        <v>IEFB</v>
      </c>
      <c r="U2" s="8" t="str">
        <f>LEFT(U3,4)</f>
        <v>NBLB</v>
      </c>
      <c r="V2" s="8" t="str">
        <f>LEFT(U3,4)</f>
        <v>NBLB</v>
      </c>
      <c r="W2" s="8" t="str">
        <f>LEFT(U3,4)</f>
        <v>NBLB</v>
      </c>
      <c r="X2" s="8" t="str">
        <f>LEFT(U3,4)</f>
        <v>NBLB</v>
      </c>
      <c r="Y2" s="8" t="str">
        <f>LEFT(Y3,4)</f>
        <v>IEFB</v>
      </c>
      <c r="Z2" s="8" t="str">
        <f>LEFT(Y3,4)</f>
        <v>IEFB</v>
      </c>
      <c r="AA2" s="8" t="str">
        <f>LEFT(Y3,4)</f>
        <v>IEFB</v>
      </c>
      <c r="AB2" s="8" t="str">
        <f>LEFT(Y3,4)</f>
        <v>IEFB</v>
      </c>
      <c r="AC2" s="8" t="str">
        <f>LEFT(AC3,4)</f>
        <v>VBBB</v>
      </c>
      <c r="AD2" s="8" t="str">
        <f>LEFT(AC3,4)</f>
        <v>VBBB</v>
      </c>
      <c r="AE2" s="8" t="str">
        <f>LEFT(AC3,4)</f>
        <v>VBBB</v>
      </c>
      <c r="AF2" s="8" t="str">
        <f>LEFT(AC3,4)</f>
        <v>VBBB</v>
      </c>
    </row>
    <row r="3" spans="1:32" ht="38.25" customHeight="1" x14ac:dyDescent="0.2">
      <c r="A3" s="55" t="s">
        <v>21</v>
      </c>
      <c r="C3" s="72" t="str">
        <f>Current</f>
        <v>2013 (PG)</v>
      </c>
      <c r="D3" s="58" t="str">
        <f>IF(Jezik=2,"Issuer","Emitent")</f>
        <v>Emitent</v>
      </c>
      <c r="E3" s="89" t="s">
        <v>1883</v>
      </c>
      <c r="F3" s="89"/>
      <c r="G3" s="89"/>
      <c r="H3" s="89"/>
      <c r="I3" s="89" t="s">
        <v>1884</v>
      </c>
      <c r="J3" s="89"/>
      <c r="K3" s="89"/>
      <c r="L3" s="89"/>
      <c r="M3" s="89" t="s">
        <v>1886</v>
      </c>
      <c r="N3" s="89"/>
      <c r="O3" s="89"/>
      <c r="P3" s="89"/>
      <c r="Q3" s="89" t="s">
        <v>1885</v>
      </c>
      <c r="R3" s="89"/>
      <c r="S3" s="89"/>
      <c r="T3" s="89"/>
      <c r="U3" s="89" t="s">
        <v>1887</v>
      </c>
      <c r="V3" s="89"/>
      <c r="W3" s="89"/>
      <c r="X3" s="89"/>
      <c r="Y3" s="89" t="s">
        <v>1885</v>
      </c>
      <c r="Z3" s="89"/>
      <c r="AA3" s="89"/>
      <c r="AB3" s="89"/>
      <c r="AC3" s="89" t="s">
        <v>1889</v>
      </c>
      <c r="AD3" s="89"/>
      <c r="AE3" s="89"/>
      <c r="AF3" s="89"/>
    </row>
    <row r="4" spans="1:32" ht="12.75" customHeight="1" x14ac:dyDescent="0.2">
      <c r="C4" s="59" t="s">
        <v>0</v>
      </c>
      <c r="D4" s="59" t="str">
        <f>Item</f>
        <v>Pozicija (KM)</v>
      </c>
      <c r="E4" s="60" t="str">
        <f>Gross_Current</f>
        <v>Bruto tekuća</v>
      </c>
      <c r="F4" s="60" t="str">
        <f>Allowance_Current</f>
        <v>Ispravka</v>
      </c>
      <c r="G4" s="60" t="str">
        <f>Net_Current</f>
        <v>Neto tekuća</v>
      </c>
      <c r="H4" s="60" t="str">
        <f>Net_Previous</f>
        <v>Neto prethodna</v>
      </c>
      <c r="I4" s="60" t="str">
        <f>Gross_Current</f>
        <v>Bruto tekuća</v>
      </c>
      <c r="J4" s="60" t="str">
        <f>Allowance_Current</f>
        <v>Ispravka</v>
      </c>
      <c r="K4" s="60" t="str">
        <f>Net_Current</f>
        <v>Neto tekuća</v>
      </c>
      <c r="L4" s="60" t="str">
        <f>Net_Previous</f>
        <v>Neto prethodna</v>
      </c>
      <c r="M4" s="60" t="str">
        <f>Gross_Current</f>
        <v>Bruto tekuća</v>
      </c>
      <c r="N4" s="60" t="str">
        <f>Allowance_Current</f>
        <v>Ispravka</v>
      </c>
      <c r="O4" s="60" t="str">
        <f>Net_Current</f>
        <v>Neto tekuća</v>
      </c>
      <c r="P4" s="60" t="str">
        <f>Net_Previous</f>
        <v>Neto prethodna</v>
      </c>
      <c r="Q4" s="60" t="str">
        <f>Gross_Current</f>
        <v>Bruto tekuća</v>
      </c>
      <c r="R4" s="60" t="str">
        <f>Allowance_Current</f>
        <v>Ispravka</v>
      </c>
      <c r="S4" s="60" t="str">
        <f>Net_Current</f>
        <v>Neto tekuća</v>
      </c>
      <c r="T4" s="60" t="str">
        <f>Net_Previous</f>
        <v>Neto prethodna</v>
      </c>
      <c r="U4" s="60" t="str">
        <f>Gross_Current</f>
        <v>Bruto tekuća</v>
      </c>
      <c r="V4" s="60" t="str">
        <f>Allowance_Current</f>
        <v>Ispravka</v>
      </c>
      <c r="W4" s="60" t="str">
        <f>Net_Current</f>
        <v>Neto tekuća</v>
      </c>
      <c r="X4" s="60" t="str">
        <f>Net_Previous</f>
        <v>Neto prethodna</v>
      </c>
      <c r="Y4" s="60" t="str">
        <f>Gross_Current</f>
        <v>Bruto tekuća</v>
      </c>
      <c r="Z4" s="60" t="str">
        <f>Allowance_Current</f>
        <v>Ispravka</v>
      </c>
      <c r="AA4" s="60" t="str">
        <f>Net_Current</f>
        <v>Neto tekuća</v>
      </c>
      <c r="AB4" s="60" t="str">
        <f>Net_Previous</f>
        <v>Neto prethodna</v>
      </c>
      <c r="AC4" s="60" t="str">
        <f>Gross_Current</f>
        <v>Bruto tekuća</v>
      </c>
      <c r="AD4" s="60" t="str">
        <f>Allowance_Current</f>
        <v>Ispravka</v>
      </c>
      <c r="AE4" s="60" t="str">
        <f>Net_Current</f>
        <v>Neto tekuća</v>
      </c>
      <c r="AF4" s="60" t="str">
        <f>Net_Previous</f>
        <v>Neto prethodna</v>
      </c>
    </row>
    <row r="5" spans="1:32" hidden="1" x14ac:dyDescent="0.2">
      <c r="A5" s="54" t="s">
        <v>65</v>
      </c>
      <c r="B5" s="54" t="s">
        <v>102</v>
      </c>
      <c r="C5" s="54" t="s">
        <v>110</v>
      </c>
      <c r="D5" s="8" t="s">
        <v>73</v>
      </c>
      <c r="E5" s="8" t="s">
        <v>74</v>
      </c>
      <c r="F5" s="8" t="s">
        <v>75</v>
      </c>
      <c r="G5" s="8" t="s">
        <v>76</v>
      </c>
      <c r="H5" s="8" t="s">
        <v>77</v>
      </c>
      <c r="I5" s="8" t="s">
        <v>78</v>
      </c>
      <c r="J5" s="8" t="s">
        <v>79</v>
      </c>
      <c r="K5" s="8" t="s">
        <v>80</v>
      </c>
      <c r="L5" s="8" t="s">
        <v>81</v>
      </c>
      <c r="M5" s="8" t="s">
        <v>82</v>
      </c>
      <c r="N5" s="8" t="s">
        <v>83</v>
      </c>
      <c r="O5" s="8" t="s">
        <v>84</v>
      </c>
      <c r="P5" s="8" t="s">
        <v>85</v>
      </c>
      <c r="Q5" s="8" t="s">
        <v>86</v>
      </c>
      <c r="R5" s="8" t="s">
        <v>87</v>
      </c>
      <c r="S5" s="8" t="s">
        <v>88</v>
      </c>
      <c r="T5" s="8" t="s">
        <v>89</v>
      </c>
      <c r="U5" s="8" t="s">
        <v>90</v>
      </c>
      <c r="V5" s="8" t="s">
        <v>91</v>
      </c>
      <c r="W5" s="8" t="s">
        <v>92</v>
      </c>
      <c r="X5" s="8" t="s">
        <v>93</v>
      </c>
      <c r="Y5" s="8" t="s">
        <v>94</v>
      </c>
      <c r="Z5" s="8" t="s">
        <v>95</v>
      </c>
      <c r="AA5" s="8" t="s">
        <v>96</v>
      </c>
      <c r="AB5" s="8" t="s">
        <v>97</v>
      </c>
      <c r="AC5" s="8" t="s">
        <v>98</v>
      </c>
      <c r="AD5" s="8" t="s">
        <v>99</v>
      </c>
      <c r="AE5" s="8" t="s">
        <v>100</v>
      </c>
      <c r="AF5" s="8" t="s">
        <v>101</v>
      </c>
    </row>
    <row r="6" spans="1:32" ht="12.75" customHeight="1" x14ac:dyDescent="0.2">
      <c r="A6" s="74">
        <v>1</v>
      </c>
      <c r="B6" s="75">
        <v>0</v>
      </c>
      <c r="C6" s="76" t="str">
        <f>VLOOKUP(Balance_Sheet[[#This Row],[No]],AOP_Balance,3,0)</f>
        <v/>
      </c>
      <c r="D6" s="52" t="str">
        <f>VLOOKUP(Balance_Sheet[[#This Row],[No]],AOP_Balance,7,0)</f>
        <v>AKTIVA</v>
      </c>
      <c r="E6" s="38" t="e">
        <f>IF(VLOOKUP(E$2&amp;Balance_Sheet[[#This Row],[Aop]],Data[],1)=E$2&amp;Balance_Sheet[[#This Row],[Aop]],VLOOKUP(E$2&amp;Balance_Sheet[[#This Row],[Aop]],Data[],E$1)/Jedinica,"")</f>
        <v>#N/A</v>
      </c>
      <c r="F6" s="38" t="e">
        <f>IF(VLOOKUP(F$2&amp;Balance_Sheet[[#This Row],[Aop]],Data[],1)=F$2&amp;Balance_Sheet[[#This Row],[Aop]],VLOOKUP(F$2&amp;Balance_Sheet[[#This Row],[Aop]],Data[],F$1)/Jedinica,"")</f>
        <v>#N/A</v>
      </c>
      <c r="G6" s="38" t="e">
        <f>IF(VLOOKUP(G$2&amp;Balance_Sheet[[#This Row],[Aop]],Data[],1)=G$2&amp;Balance_Sheet[[#This Row],[Aop]],VLOOKUP(G$2&amp;Balance_Sheet[[#This Row],[Aop]],Data[],G$1)/Jedinica,"")</f>
        <v>#N/A</v>
      </c>
      <c r="H6" s="38" t="e">
        <f>IF(VLOOKUP(H$2&amp;Balance_Sheet[[#This Row],[Aop]],Data[],1)=H$2&amp;Balance_Sheet[[#This Row],[Aop]],VLOOKUP(H$2&amp;Balance_Sheet[[#This Row],[Aop]],Data[],H$1)/Jedinica,"")</f>
        <v>#N/A</v>
      </c>
      <c r="I6" s="38" t="str">
        <f>IF(VLOOKUP(I$2&amp;Balance_Sheet[[#This Row],[Aop]],Data[],1)=I$2&amp;Balance_Sheet[[#This Row],[Aop]],VLOOKUP(I$2&amp;Balance_Sheet[[#This Row],[Aop]],Data[],I$1)/Jedinica,"")</f>
        <v/>
      </c>
      <c r="J6" s="38" t="str">
        <f>IF(VLOOKUP(J$2&amp;Balance_Sheet[[#This Row],[Aop]],Data[],1)=J$2&amp;Balance_Sheet[[#This Row],[Aop]],VLOOKUP(J$2&amp;Balance_Sheet[[#This Row],[Aop]],Data[],J$1)/Jedinica,"")</f>
        <v/>
      </c>
      <c r="K6" s="38" t="str">
        <f>IF(VLOOKUP(K$2&amp;Balance_Sheet[[#This Row],[Aop]],Data[],1)=K$2&amp;Balance_Sheet[[#This Row],[Aop]],VLOOKUP(K$2&amp;Balance_Sheet[[#This Row],[Aop]],Data[],K$1)/Jedinica,"")</f>
        <v/>
      </c>
      <c r="L6" s="38" t="str">
        <f>IF(VLOOKUP(L$2&amp;Balance_Sheet[[#This Row],[Aop]],Data[],1)=L$2&amp;Balance_Sheet[[#This Row],[Aop]],VLOOKUP(L$2&amp;Balance_Sheet[[#This Row],[Aop]],Data[],L$1)/Jedinica,"")</f>
        <v/>
      </c>
      <c r="M6" s="38" t="str">
        <f>IF(VLOOKUP(M$2&amp;Balance_Sheet[[#This Row],[Aop]],Data[],1)=M$2&amp;Balance_Sheet[[#This Row],[Aop]],VLOOKUP(M$2&amp;Balance_Sheet[[#This Row],[Aop]],Data[],M$1)/Jedinica,"")</f>
        <v/>
      </c>
      <c r="N6" s="38" t="str">
        <f>IF(VLOOKUP(N$2&amp;Balance_Sheet[[#This Row],[Aop]],Data[],1)=N$2&amp;Balance_Sheet[[#This Row],[Aop]],VLOOKUP(N$2&amp;Balance_Sheet[[#This Row],[Aop]],Data[],N$1)/Jedinica,"")</f>
        <v/>
      </c>
      <c r="O6" s="38" t="str">
        <f>IF(VLOOKUP(O$2&amp;Balance_Sheet[[#This Row],[Aop]],Data[],1)=O$2&amp;Balance_Sheet[[#This Row],[Aop]],VLOOKUP(O$2&amp;Balance_Sheet[[#This Row],[Aop]],Data[],O$1)/Jedinica,"")</f>
        <v/>
      </c>
      <c r="P6" s="38" t="str">
        <f>IF(VLOOKUP(P$2&amp;Balance_Sheet[[#This Row],[Aop]],Data[],1)=P$2&amp;Balance_Sheet[[#This Row],[Aop]],VLOOKUP(P$2&amp;Balance_Sheet[[#This Row],[Aop]],Data[],P$1)/Jedinica,"")</f>
        <v/>
      </c>
      <c r="Q6" s="38" t="str">
        <f>IF(VLOOKUP(Q$2&amp;Balance_Sheet[[#This Row],[Aop]],Data[],1)=Q$2&amp;Balance_Sheet[[#This Row],[Aop]],VLOOKUP(Q$2&amp;Balance_Sheet[[#This Row],[Aop]],Data[],Q$1)/Jedinica,"")</f>
        <v/>
      </c>
      <c r="R6" s="38" t="str">
        <f>IF(VLOOKUP(R$2&amp;Balance_Sheet[[#This Row],[Aop]],Data[],1)=R$2&amp;Balance_Sheet[[#This Row],[Aop]],VLOOKUP(R$2&amp;Balance_Sheet[[#This Row],[Aop]],Data[],R$1)/Jedinica,"")</f>
        <v/>
      </c>
      <c r="S6" s="38" t="str">
        <f>IF(VLOOKUP(S$2&amp;Balance_Sheet[[#This Row],[Aop]],Data[],1)=S$2&amp;Balance_Sheet[[#This Row],[Aop]],VLOOKUP(S$2&amp;Balance_Sheet[[#This Row],[Aop]],Data[],S$1)/Jedinica,"")</f>
        <v/>
      </c>
      <c r="T6" s="38" t="str">
        <f>IF(VLOOKUP(T$2&amp;Balance_Sheet[[#This Row],[Aop]],Data[],1)=T$2&amp;Balance_Sheet[[#This Row],[Aop]],VLOOKUP(T$2&amp;Balance_Sheet[[#This Row],[Aop]],Data[],T$1)/Jedinica,"")</f>
        <v/>
      </c>
      <c r="U6" s="38" t="str">
        <f>IF(VLOOKUP(U$2&amp;Balance_Sheet[[#This Row],[Aop]],Data[],1)=U$2&amp;Balance_Sheet[[#This Row],[Aop]],VLOOKUP(U$2&amp;Balance_Sheet[[#This Row],[Aop]],Data[],U$1)/Jedinica,"")</f>
        <v/>
      </c>
      <c r="V6" s="38" t="str">
        <f>IF(VLOOKUP(V$2&amp;Balance_Sheet[[#This Row],[Aop]],Data[],1)=V$2&amp;Balance_Sheet[[#This Row],[Aop]],VLOOKUP(V$2&amp;Balance_Sheet[[#This Row],[Aop]],Data[],V$1)/Jedinica,"")</f>
        <v/>
      </c>
      <c r="W6" s="38" t="str">
        <f>IF(VLOOKUP(W$2&amp;Balance_Sheet[[#This Row],[Aop]],Data[],1)=W$2&amp;Balance_Sheet[[#This Row],[Aop]],VLOOKUP(W$2&amp;Balance_Sheet[[#This Row],[Aop]],Data[],W$1)/Jedinica,"")</f>
        <v/>
      </c>
      <c r="X6" s="38" t="str">
        <f>IF(VLOOKUP(X$2&amp;Balance_Sheet[[#This Row],[Aop]],Data[],1)=X$2&amp;Balance_Sheet[[#This Row],[Aop]],VLOOKUP(X$2&amp;Balance_Sheet[[#This Row],[Aop]],Data[],X$1)/Jedinica,"")</f>
        <v/>
      </c>
      <c r="Y6" s="38" t="str">
        <f>IF(VLOOKUP(Y$2&amp;Balance_Sheet[[#This Row],[Aop]],Data[],1)=Y$2&amp;Balance_Sheet[[#This Row],[Aop]],VLOOKUP(Y$2&amp;Balance_Sheet[[#This Row],[Aop]],Data[],Y$1)/Jedinica,"")</f>
        <v/>
      </c>
      <c r="Z6" s="38" t="str">
        <f>IF(VLOOKUP(Z$2&amp;Balance_Sheet[[#This Row],[Aop]],Data[],1)=Z$2&amp;Balance_Sheet[[#This Row],[Aop]],VLOOKUP(Z$2&amp;Balance_Sheet[[#This Row],[Aop]],Data[],Z$1)/Jedinica,"")</f>
        <v/>
      </c>
      <c r="AA6" s="38" t="str">
        <f>IF(VLOOKUP(AA$2&amp;Balance_Sheet[[#This Row],[Aop]],Data[],1)=AA$2&amp;Balance_Sheet[[#This Row],[Aop]],VLOOKUP(AA$2&amp;Balance_Sheet[[#This Row],[Aop]],Data[],AA$1)/Jedinica,"")</f>
        <v/>
      </c>
      <c r="AB6" s="38" t="str">
        <f>IF(VLOOKUP(AB$2&amp;Balance_Sheet[[#This Row],[Aop]],Data[],1)=AB$2&amp;Balance_Sheet[[#This Row],[Aop]],VLOOKUP(AB$2&amp;Balance_Sheet[[#This Row],[Aop]],Data[],AB$1)/Jedinica,"")</f>
        <v/>
      </c>
      <c r="AC6" s="38" t="str">
        <f>IF(VLOOKUP(AC$2&amp;Balance_Sheet[[#This Row],[Aop]],Data[],1)=AC$2&amp;Balance_Sheet[[#This Row],[Aop]],VLOOKUP(AC$2&amp;Balance_Sheet[[#This Row],[Aop]],Data[],AC$1)/Jedinica,"")</f>
        <v/>
      </c>
      <c r="AD6" s="38" t="str">
        <f>IF(VLOOKUP(AD$2&amp;Balance_Sheet[[#This Row],[Aop]],Data[],1)=AD$2&amp;Balance_Sheet[[#This Row],[Aop]],VLOOKUP(AD$2&amp;Balance_Sheet[[#This Row],[Aop]],Data[],AD$1)/Jedinica,"")</f>
        <v/>
      </c>
      <c r="AE6" s="38" t="str">
        <f>IF(VLOOKUP(AE$2&amp;Balance_Sheet[[#This Row],[Aop]],Data[],1)=AE$2&amp;Balance_Sheet[[#This Row],[Aop]],VLOOKUP(AE$2&amp;Balance_Sheet[[#This Row],[Aop]],Data[],AE$1)/Jedinica,"")</f>
        <v/>
      </c>
      <c r="AF6" s="38" t="str">
        <f>IF(VLOOKUP(AF$2&amp;Balance_Sheet[[#This Row],[Aop]],Data[],1)=AF$2&amp;Balance_Sheet[[#This Row],[Aop]],VLOOKUP(AF$2&amp;Balance_Sheet[[#This Row],[Aop]],Data[],AF$1)/Jedinica,"")</f>
        <v/>
      </c>
    </row>
    <row r="7" spans="1:32" ht="12.75" customHeight="1" x14ac:dyDescent="0.2">
      <c r="A7" s="74">
        <v>2</v>
      </c>
      <c r="B7" s="75">
        <v>1</v>
      </c>
      <c r="C7" s="76" t="str">
        <f>VLOOKUP(Balance_Sheet[[#This Row],[No]],AOP_Balance,3,0)</f>
        <v>001</v>
      </c>
      <c r="D7" s="52" t="str">
        <f>VLOOKUP(Balance_Sheet[[#This Row],[No]],AOP_Balance,7,0)</f>
        <v xml:space="preserve">  A. TEKUĆA SREDSTVA (002+008+011+014+018+022+030+031+032+033+034)</v>
      </c>
      <c r="E7" s="38">
        <f>IF(VLOOKUP(E$2&amp;Balance_Sheet[[#This Row],[Aop]],Data[],1)=E$2&amp;Balance_Sheet[[#This Row],[Aop]],VLOOKUP(E$2&amp;Balance_Sheet[[#This Row],[Aop]],Data[],E$1)/Jedinica,"")</f>
        <v>290422321</v>
      </c>
      <c r="F7" s="38">
        <f>IF(VLOOKUP(F$2&amp;Balance_Sheet[[#This Row],[Aop]],Data[],1)=F$2&amp;Balance_Sheet[[#This Row],[Aop]],VLOOKUP(F$2&amp;Balance_Sheet[[#This Row],[Aop]],Data[],F$1)/Jedinica,"")</f>
        <v>18263364</v>
      </c>
      <c r="G7" s="38">
        <f>IF(VLOOKUP(G$2&amp;Balance_Sheet[[#This Row],[Aop]],Data[],1)=G$2&amp;Balance_Sheet[[#This Row],[Aop]],VLOOKUP(G$2&amp;Balance_Sheet[[#This Row],[Aop]],Data[],G$1)/Jedinica,"")</f>
        <v>272158957</v>
      </c>
      <c r="H7" s="38">
        <f>IF(VLOOKUP(H$2&amp;Balance_Sheet[[#This Row],[Aop]],Data[],1)=H$2&amp;Balance_Sheet[[#This Row],[Aop]],VLOOKUP(H$2&amp;Balance_Sheet[[#This Row],[Aop]],Data[],H$1)/Jedinica,"")</f>
        <v>242996433</v>
      </c>
      <c r="I7" s="38">
        <f>IF(VLOOKUP(I$2&amp;Balance_Sheet[[#This Row],[Aop]],Data[],1)=I$2&amp;Balance_Sheet[[#This Row],[Aop]],VLOOKUP(I$2&amp;Balance_Sheet[[#This Row],[Aop]],Data[],I$1)/Jedinica,"")</f>
        <v>289181936</v>
      </c>
      <c r="J7" s="38">
        <f>IF(VLOOKUP(J$2&amp;Balance_Sheet[[#This Row],[Aop]],Data[],1)=J$2&amp;Balance_Sheet[[#This Row],[Aop]],VLOOKUP(J$2&amp;Balance_Sheet[[#This Row],[Aop]],Data[],J$1)/Jedinica,"")</f>
        <v>53996032</v>
      </c>
      <c r="K7" s="38">
        <f>IF(VLOOKUP(K$2&amp;Balance_Sheet[[#This Row],[Aop]],Data[],1)=K$2&amp;Balance_Sheet[[#This Row],[Aop]],VLOOKUP(K$2&amp;Balance_Sheet[[#This Row],[Aop]],Data[],K$1)/Jedinica,"")</f>
        <v>235185904</v>
      </c>
      <c r="L7" s="38">
        <f>IF(VLOOKUP(L$2&amp;Balance_Sheet[[#This Row],[Aop]],Data[],1)=L$2&amp;Balance_Sheet[[#This Row],[Aop]],VLOOKUP(L$2&amp;Balance_Sheet[[#This Row],[Aop]],Data[],L$1)/Jedinica,"")</f>
        <v>227107965</v>
      </c>
      <c r="M7" s="38">
        <f>IF(VLOOKUP(M$2&amp;Balance_Sheet[[#This Row],[Aop]],Data[],1)=M$2&amp;Balance_Sheet[[#This Row],[Aop]],VLOOKUP(M$2&amp;Balance_Sheet[[#This Row],[Aop]],Data[],M$1)/Jedinica,"")</f>
        <v>261941063</v>
      </c>
      <c r="N7" s="38">
        <f>IF(VLOOKUP(N$2&amp;Balance_Sheet[[#This Row],[Aop]],Data[],1)=N$2&amp;Balance_Sheet[[#This Row],[Aop]],VLOOKUP(N$2&amp;Balance_Sheet[[#This Row],[Aop]],Data[],N$1)/Jedinica,"")</f>
        <v>8696786</v>
      </c>
      <c r="O7" s="38">
        <f>IF(VLOOKUP(O$2&amp;Balance_Sheet[[#This Row],[Aop]],Data[],1)=O$2&amp;Balance_Sheet[[#This Row],[Aop]],VLOOKUP(O$2&amp;Balance_Sheet[[#This Row],[Aop]],Data[],O$1)/Jedinica,"")</f>
        <v>253244277</v>
      </c>
      <c r="P7" s="38">
        <f>IF(VLOOKUP(P$2&amp;Balance_Sheet[[#This Row],[Aop]],Data[],1)=P$2&amp;Balance_Sheet[[#This Row],[Aop]],VLOOKUP(P$2&amp;Balance_Sheet[[#This Row],[Aop]],Data[],P$1)/Jedinica,"")</f>
        <v>234776869</v>
      </c>
      <c r="Q7" s="38">
        <f>IF(VLOOKUP(Q$2&amp;Balance_Sheet[[#This Row],[Aop]],Data[],1)=Q$2&amp;Balance_Sheet[[#This Row],[Aop]],VLOOKUP(Q$2&amp;Balance_Sheet[[#This Row],[Aop]],Data[],Q$1)/Jedinica,"")</f>
        <v>122041560</v>
      </c>
      <c r="R7" s="38">
        <f>IF(VLOOKUP(R$2&amp;Balance_Sheet[[#This Row],[Aop]],Data[],1)=R$2&amp;Balance_Sheet[[#This Row],[Aop]],VLOOKUP(R$2&amp;Balance_Sheet[[#This Row],[Aop]],Data[],R$1)/Jedinica,"")</f>
        <v>3239070</v>
      </c>
      <c r="S7" s="38">
        <f>IF(VLOOKUP(S$2&amp;Balance_Sheet[[#This Row],[Aop]],Data[],1)=S$2&amp;Balance_Sheet[[#This Row],[Aop]],VLOOKUP(S$2&amp;Balance_Sheet[[#This Row],[Aop]],Data[],S$1)/Jedinica,"")</f>
        <v>118802490</v>
      </c>
      <c r="T7" s="38">
        <f>IF(VLOOKUP(T$2&amp;Balance_Sheet[[#This Row],[Aop]],Data[],1)=T$2&amp;Balance_Sheet[[#This Row],[Aop]],VLOOKUP(T$2&amp;Balance_Sheet[[#This Row],[Aop]],Data[],T$1)/Jedinica,"")</f>
        <v>101901103</v>
      </c>
      <c r="U7" s="38">
        <f>IF(VLOOKUP(U$2&amp;Balance_Sheet[[#This Row],[Aop]],Data[],1)=U$2&amp;Balance_Sheet[[#This Row],[Aop]],VLOOKUP(U$2&amp;Balance_Sheet[[#This Row],[Aop]],Data[],U$1)/Jedinica,"")</f>
        <v>903614421</v>
      </c>
      <c r="V7" s="38">
        <f>IF(VLOOKUP(V$2&amp;Balance_Sheet[[#This Row],[Aop]],Data[],1)=V$2&amp;Balance_Sheet[[#This Row],[Aop]],VLOOKUP(V$2&amp;Balance_Sheet[[#This Row],[Aop]],Data[],V$1)/Jedinica,"")</f>
        <v>50960096</v>
      </c>
      <c r="W7" s="38">
        <f>IF(VLOOKUP(W$2&amp;Balance_Sheet[[#This Row],[Aop]],Data[],1)=W$2&amp;Balance_Sheet[[#This Row],[Aop]],VLOOKUP(W$2&amp;Balance_Sheet[[#This Row],[Aop]],Data[],W$1)/Jedinica,"")</f>
        <v>852654325</v>
      </c>
      <c r="X7" s="38">
        <f>IF(VLOOKUP(X$2&amp;Balance_Sheet[[#This Row],[Aop]],Data[],1)=X$2&amp;Balance_Sheet[[#This Row],[Aop]],VLOOKUP(X$2&amp;Balance_Sheet[[#This Row],[Aop]],Data[],X$1)/Jedinica,"")</f>
        <v>889142214</v>
      </c>
      <c r="Y7" s="38">
        <f>IF(VLOOKUP(Y$2&amp;Balance_Sheet[[#This Row],[Aop]],Data[],1)=Y$2&amp;Balance_Sheet[[#This Row],[Aop]],VLOOKUP(Y$2&amp;Balance_Sheet[[#This Row],[Aop]],Data[],Y$1)/Jedinica,"")</f>
        <v>122041560</v>
      </c>
      <c r="Z7" s="38">
        <f>IF(VLOOKUP(Z$2&amp;Balance_Sheet[[#This Row],[Aop]],Data[],1)=Z$2&amp;Balance_Sheet[[#This Row],[Aop]],VLOOKUP(Z$2&amp;Balance_Sheet[[#This Row],[Aop]],Data[],Z$1)/Jedinica,"")</f>
        <v>3239070</v>
      </c>
      <c r="AA7" s="38">
        <f>IF(VLOOKUP(AA$2&amp;Balance_Sheet[[#This Row],[Aop]],Data[],1)=AA$2&amp;Balance_Sheet[[#This Row],[Aop]],VLOOKUP(AA$2&amp;Balance_Sheet[[#This Row],[Aop]],Data[],AA$1)/Jedinica,"")</f>
        <v>118802490</v>
      </c>
      <c r="AB7" s="38">
        <f>IF(VLOOKUP(AB$2&amp;Balance_Sheet[[#This Row],[Aop]],Data[],1)=AB$2&amp;Balance_Sheet[[#This Row],[Aop]],VLOOKUP(AB$2&amp;Balance_Sheet[[#This Row],[Aop]],Data[],AB$1)/Jedinica,"")</f>
        <v>101901103</v>
      </c>
      <c r="AC7" s="38">
        <f>IF(VLOOKUP(AC$2&amp;Balance_Sheet[[#This Row],[Aop]],Data[],1)=AC$2&amp;Balance_Sheet[[#This Row],[Aop]],VLOOKUP(AC$2&amp;Balance_Sheet[[#This Row],[Aop]],Data[],AC$1)/Jedinica,"")</f>
        <v>1194786754</v>
      </c>
      <c r="AD7" s="38">
        <f>IF(VLOOKUP(AD$2&amp;Balance_Sheet[[#This Row],[Aop]],Data[],1)=AD$2&amp;Balance_Sheet[[#This Row],[Aop]],VLOOKUP(AD$2&amp;Balance_Sheet[[#This Row],[Aop]],Data[],AD$1)/Jedinica,"")</f>
        <v>102626650</v>
      </c>
      <c r="AE7" s="38">
        <f>IF(VLOOKUP(AE$2&amp;Balance_Sheet[[#This Row],[Aop]],Data[],1)=AE$2&amp;Balance_Sheet[[#This Row],[Aop]],VLOOKUP(AE$2&amp;Balance_Sheet[[#This Row],[Aop]],Data[],AE$1)/Jedinica,"")</f>
        <v>1092160104</v>
      </c>
      <c r="AF7" s="38">
        <f>IF(VLOOKUP(AF$2&amp;Balance_Sheet[[#This Row],[Aop]],Data[],1)=AF$2&amp;Balance_Sheet[[#This Row],[Aop]],VLOOKUP(AF$2&amp;Balance_Sheet[[#This Row],[Aop]],Data[],AF$1)/Jedinica,"")</f>
        <v>1073746806</v>
      </c>
    </row>
    <row r="8" spans="1:32" ht="12.75" customHeight="1" x14ac:dyDescent="0.2">
      <c r="A8" s="74">
        <v>3</v>
      </c>
      <c r="B8" s="75">
        <v>2</v>
      </c>
      <c r="C8" s="76" t="str">
        <f>VLOOKUP(Balance_Sheet[[#This Row],[No]],AOP_Balance,3,0)</f>
        <v>002</v>
      </c>
      <c r="D8" s="52" t="str">
        <f>VLOOKUP(Balance_Sheet[[#This Row],[No]],AOP_Balance,7,0)</f>
        <v xml:space="preserve">    1. Gotovina, gotovinski ekvivalenti, zlato i potraživanja iz operativnog poslovanja (003 do 007)</v>
      </c>
      <c r="E8" s="38">
        <f>IF(VLOOKUP(E$2&amp;Balance_Sheet[[#This Row],[Aop]],Data[],1)=E$2&amp;Balance_Sheet[[#This Row],[Aop]],VLOOKUP(E$2&amp;Balance_Sheet[[#This Row],[Aop]],Data[],E$1)/Jedinica,"")</f>
        <v>21101817</v>
      </c>
      <c r="F8" s="38">
        <f>IF(VLOOKUP(F$2&amp;Balance_Sheet[[#This Row],[Aop]],Data[],1)=F$2&amp;Balance_Sheet[[#This Row],[Aop]],VLOOKUP(F$2&amp;Balance_Sheet[[#This Row],[Aop]],Data[],F$1)/Jedinica,"")</f>
        <v>79882</v>
      </c>
      <c r="G8" s="38">
        <f>IF(VLOOKUP(G$2&amp;Balance_Sheet[[#This Row],[Aop]],Data[],1)=G$2&amp;Balance_Sheet[[#This Row],[Aop]],VLOOKUP(G$2&amp;Balance_Sheet[[#This Row],[Aop]],Data[],G$1)/Jedinica,"")</f>
        <v>21021935</v>
      </c>
      <c r="H8" s="38">
        <f>IF(VLOOKUP(H$2&amp;Balance_Sheet[[#This Row],[Aop]],Data[],1)=H$2&amp;Balance_Sheet[[#This Row],[Aop]],VLOOKUP(H$2&amp;Balance_Sheet[[#This Row],[Aop]],Data[],H$1)/Jedinica,"")</f>
        <v>19507384</v>
      </c>
      <c r="I8" s="38">
        <f>IF(VLOOKUP(I$2&amp;Balance_Sheet[[#This Row],[Aop]],Data[],1)=I$2&amp;Balance_Sheet[[#This Row],[Aop]],VLOOKUP(I$2&amp;Balance_Sheet[[#This Row],[Aop]],Data[],I$1)/Jedinica,"")</f>
        <v>18807685</v>
      </c>
      <c r="J8" s="38">
        <f>IF(VLOOKUP(J$2&amp;Balance_Sheet[[#This Row],[Aop]],Data[],1)=J$2&amp;Balance_Sheet[[#This Row],[Aop]],VLOOKUP(J$2&amp;Balance_Sheet[[#This Row],[Aop]],Data[],J$1)/Jedinica,"")</f>
        <v>7074906</v>
      </c>
      <c r="K8" s="38">
        <f>IF(VLOOKUP(K$2&amp;Balance_Sheet[[#This Row],[Aop]],Data[],1)=K$2&amp;Balance_Sheet[[#This Row],[Aop]],VLOOKUP(K$2&amp;Balance_Sheet[[#This Row],[Aop]],Data[],K$1)/Jedinica,"")</f>
        <v>11732779</v>
      </c>
      <c r="L8" s="38">
        <f>IF(VLOOKUP(L$2&amp;Balance_Sheet[[#This Row],[Aop]],Data[],1)=L$2&amp;Balance_Sheet[[#This Row],[Aop]],VLOOKUP(L$2&amp;Balance_Sheet[[#This Row],[Aop]],Data[],L$1)/Jedinica,"")</f>
        <v>15960237</v>
      </c>
      <c r="M8" s="38">
        <f>IF(VLOOKUP(M$2&amp;Balance_Sheet[[#This Row],[Aop]],Data[],1)=M$2&amp;Balance_Sheet[[#This Row],[Aop]],VLOOKUP(M$2&amp;Balance_Sheet[[#This Row],[Aop]],Data[],M$1)/Jedinica,"")</f>
        <v>8937384</v>
      </c>
      <c r="N8" s="38">
        <f>IF(VLOOKUP(N$2&amp;Balance_Sheet[[#This Row],[Aop]],Data[],1)=N$2&amp;Balance_Sheet[[#This Row],[Aop]],VLOOKUP(N$2&amp;Balance_Sheet[[#This Row],[Aop]],Data[],N$1)/Jedinica,"")</f>
        <v>87082</v>
      </c>
      <c r="O8" s="38">
        <f>IF(VLOOKUP(O$2&amp;Balance_Sheet[[#This Row],[Aop]],Data[],1)=O$2&amp;Balance_Sheet[[#This Row],[Aop]],VLOOKUP(O$2&amp;Balance_Sheet[[#This Row],[Aop]],Data[],O$1)/Jedinica,"")</f>
        <v>8850302</v>
      </c>
      <c r="P8" s="38">
        <f>IF(VLOOKUP(P$2&amp;Balance_Sheet[[#This Row],[Aop]],Data[],1)=P$2&amp;Balance_Sheet[[#This Row],[Aop]],VLOOKUP(P$2&amp;Balance_Sheet[[#This Row],[Aop]],Data[],P$1)/Jedinica,"")</f>
        <v>8917449</v>
      </c>
      <c r="Q8" s="38">
        <f>IF(VLOOKUP(Q$2&amp;Balance_Sheet[[#This Row],[Aop]],Data[],1)=Q$2&amp;Balance_Sheet[[#This Row],[Aop]],VLOOKUP(Q$2&amp;Balance_Sheet[[#This Row],[Aop]],Data[],Q$1)/Jedinica,"")</f>
        <v>5961897</v>
      </c>
      <c r="R8" s="38">
        <f>IF(VLOOKUP(R$2&amp;Balance_Sheet[[#This Row],[Aop]],Data[],1)=R$2&amp;Balance_Sheet[[#This Row],[Aop]],VLOOKUP(R$2&amp;Balance_Sheet[[#This Row],[Aop]],Data[],R$1)/Jedinica,"")</f>
        <v>39240</v>
      </c>
      <c r="S8" s="38">
        <f>IF(VLOOKUP(S$2&amp;Balance_Sheet[[#This Row],[Aop]],Data[],1)=S$2&amp;Balance_Sheet[[#This Row],[Aop]],VLOOKUP(S$2&amp;Balance_Sheet[[#This Row],[Aop]],Data[],S$1)/Jedinica,"")</f>
        <v>5922657</v>
      </c>
      <c r="T8" s="38">
        <f>IF(VLOOKUP(T$2&amp;Balance_Sheet[[#This Row],[Aop]],Data[],1)=T$2&amp;Balance_Sheet[[#This Row],[Aop]],VLOOKUP(T$2&amp;Balance_Sheet[[#This Row],[Aop]],Data[],T$1)/Jedinica,"")</f>
        <v>6834759</v>
      </c>
      <c r="U8" s="38">
        <f>IF(VLOOKUP(U$2&amp;Balance_Sheet[[#This Row],[Aop]],Data[],1)=U$2&amp;Balance_Sheet[[#This Row],[Aop]],VLOOKUP(U$2&amp;Balance_Sheet[[#This Row],[Aop]],Data[],U$1)/Jedinica,"")</f>
        <v>25868055</v>
      </c>
      <c r="V8" s="38">
        <f>IF(VLOOKUP(V$2&amp;Balance_Sheet[[#This Row],[Aop]],Data[],1)=V$2&amp;Balance_Sheet[[#This Row],[Aop]],VLOOKUP(V$2&amp;Balance_Sheet[[#This Row],[Aop]],Data[],V$1)/Jedinica,"")</f>
        <v>1963907</v>
      </c>
      <c r="W8" s="38">
        <f>IF(VLOOKUP(W$2&amp;Balance_Sheet[[#This Row],[Aop]],Data[],1)=W$2&amp;Balance_Sheet[[#This Row],[Aop]],VLOOKUP(W$2&amp;Balance_Sheet[[#This Row],[Aop]],Data[],W$1)/Jedinica,"")</f>
        <v>23904148</v>
      </c>
      <c r="X8" s="38">
        <f>IF(VLOOKUP(X$2&amp;Balance_Sheet[[#This Row],[Aop]],Data[],1)=X$2&amp;Balance_Sheet[[#This Row],[Aop]],VLOOKUP(X$2&amp;Balance_Sheet[[#This Row],[Aop]],Data[],X$1)/Jedinica,"")</f>
        <v>92354589</v>
      </c>
      <c r="Y8" s="38">
        <f>IF(VLOOKUP(Y$2&amp;Balance_Sheet[[#This Row],[Aop]],Data[],1)=Y$2&amp;Balance_Sheet[[#This Row],[Aop]],VLOOKUP(Y$2&amp;Balance_Sheet[[#This Row],[Aop]],Data[],Y$1)/Jedinica,"")</f>
        <v>5961897</v>
      </c>
      <c r="Z8" s="38">
        <f>IF(VLOOKUP(Z$2&amp;Balance_Sheet[[#This Row],[Aop]],Data[],1)=Z$2&amp;Balance_Sheet[[#This Row],[Aop]],VLOOKUP(Z$2&amp;Balance_Sheet[[#This Row],[Aop]],Data[],Z$1)/Jedinica,"")</f>
        <v>39240</v>
      </c>
      <c r="AA8" s="38">
        <f>IF(VLOOKUP(AA$2&amp;Balance_Sheet[[#This Row],[Aop]],Data[],1)=AA$2&amp;Balance_Sheet[[#This Row],[Aop]],VLOOKUP(AA$2&amp;Balance_Sheet[[#This Row],[Aop]],Data[],AA$1)/Jedinica,"")</f>
        <v>5922657</v>
      </c>
      <c r="AB8" s="38">
        <f>IF(VLOOKUP(AB$2&amp;Balance_Sheet[[#This Row],[Aop]],Data[],1)=AB$2&amp;Balance_Sheet[[#This Row],[Aop]],VLOOKUP(AB$2&amp;Balance_Sheet[[#This Row],[Aop]],Data[],AB$1)/Jedinica,"")</f>
        <v>6834759</v>
      </c>
      <c r="AC8" s="38">
        <f>IF(VLOOKUP(AC$2&amp;Balance_Sheet[[#This Row],[Aop]],Data[],1)=AC$2&amp;Balance_Sheet[[#This Row],[Aop]],VLOOKUP(AC$2&amp;Balance_Sheet[[#This Row],[Aop]],Data[],AC$1)/Jedinica,"")</f>
        <v>117989751</v>
      </c>
      <c r="AD8" s="38">
        <f>IF(VLOOKUP(AD$2&amp;Balance_Sheet[[#This Row],[Aop]],Data[],1)=AD$2&amp;Balance_Sheet[[#This Row],[Aop]],VLOOKUP(AD$2&amp;Balance_Sheet[[#This Row],[Aop]],Data[],AD$1)/Jedinica,"")</f>
        <v>273909</v>
      </c>
      <c r="AE8" s="38">
        <f>IF(VLOOKUP(AE$2&amp;Balance_Sheet[[#This Row],[Aop]],Data[],1)=AE$2&amp;Balance_Sheet[[#This Row],[Aop]],VLOOKUP(AE$2&amp;Balance_Sheet[[#This Row],[Aop]],Data[],AE$1)/Jedinica,"")</f>
        <v>117715842</v>
      </c>
      <c r="AF8" s="38">
        <f>IF(VLOOKUP(AF$2&amp;Balance_Sheet[[#This Row],[Aop]],Data[],1)=AF$2&amp;Balance_Sheet[[#This Row],[Aop]],VLOOKUP(AF$2&amp;Balance_Sheet[[#This Row],[Aop]],Data[],AF$1)/Jedinica,"")</f>
        <v>49958930</v>
      </c>
    </row>
    <row r="9" spans="1:32" ht="12.75" customHeight="1" x14ac:dyDescent="0.2">
      <c r="A9" s="74">
        <v>4</v>
      </c>
      <c r="B9" s="75">
        <v>3</v>
      </c>
      <c r="C9" s="76" t="str">
        <f>VLOOKUP(Balance_Sheet[[#This Row],[No]],AOP_Balance,3,0)</f>
        <v>003</v>
      </c>
      <c r="D9" s="52" t="str">
        <f>VLOOKUP(Balance_Sheet[[#This Row],[No]],AOP_Balance,7,0)</f>
        <v xml:space="preserve">      a) Gotovina i gotovinski ekvivalenti u domaćoj valuti</v>
      </c>
      <c r="E9" s="38">
        <f>IF(VLOOKUP(E$2&amp;Balance_Sheet[[#This Row],[Aop]],Data[],1)=E$2&amp;Balance_Sheet[[#This Row],[Aop]],VLOOKUP(E$2&amp;Balance_Sheet[[#This Row],[Aop]],Data[],E$1)/Jedinica,"")</f>
        <v>9614018</v>
      </c>
      <c r="F9" s="38">
        <f>IF(VLOOKUP(F$2&amp;Balance_Sheet[[#This Row],[Aop]],Data[],1)=F$2&amp;Balance_Sheet[[#This Row],[Aop]],VLOOKUP(F$2&amp;Balance_Sheet[[#This Row],[Aop]],Data[],F$1)/Jedinica,"")</f>
        <v>0</v>
      </c>
      <c r="G9" s="38">
        <f>IF(VLOOKUP(G$2&amp;Balance_Sheet[[#This Row],[Aop]],Data[],1)=G$2&amp;Balance_Sheet[[#This Row],[Aop]],VLOOKUP(G$2&amp;Balance_Sheet[[#This Row],[Aop]],Data[],G$1)/Jedinica,"")</f>
        <v>9614018</v>
      </c>
      <c r="H9" s="38">
        <f>IF(VLOOKUP(H$2&amp;Balance_Sheet[[#This Row],[Aop]],Data[],1)=H$2&amp;Balance_Sheet[[#This Row],[Aop]],VLOOKUP(H$2&amp;Balance_Sheet[[#This Row],[Aop]],Data[],H$1)/Jedinica,"")</f>
        <v>7725000</v>
      </c>
      <c r="I9" s="38">
        <f>IF(VLOOKUP(I$2&amp;Balance_Sheet[[#This Row],[Aop]],Data[],1)=I$2&amp;Balance_Sheet[[#This Row],[Aop]],VLOOKUP(I$2&amp;Balance_Sheet[[#This Row],[Aop]],Data[],I$1)/Jedinica,"")</f>
        <v>4242464</v>
      </c>
      <c r="J9" s="38">
        <f>IF(VLOOKUP(J$2&amp;Balance_Sheet[[#This Row],[Aop]],Data[],1)=J$2&amp;Balance_Sheet[[#This Row],[Aop]],VLOOKUP(J$2&amp;Balance_Sheet[[#This Row],[Aop]],Data[],J$1)/Jedinica,"")</f>
        <v>0</v>
      </c>
      <c r="K9" s="38">
        <f>IF(VLOOKUP(K$2&amp;Balance_Sheet[[#This Row],[Aop]],Data[],1)=K$2&amp;Balance_Sheet[[#This Row],[Aop]],VLOOKUP(K$2&amp;Balance_Sheet[[#This Row],[Aop]],Data[],K$1)/Jedinica,"")</f>
        <v>4242464</v>
      </c>
      <c r="L9" s="38">
        <f>IF(VLOOKUP(L$2&amp;Balance_Sheet[[#This Row],[Aop]],Data[],1)=L$2&amp;Balance_Sheet[[#This Row],[Aop]],VLOOKUP(L$2&amp;Balance_Sheet[[#This Row],[Aop]],Data[],L$1)/Jedinica,"")</f>
        <v>3739673</v>
      </c>
      <c r="M9" s="38">
        <f>IF(VLOOKUP(M$2&amp;Balance_Sheet[[#This Row],[Aop]],Data[],1)=M$2&amp;Balance_Sheet[[#This Row],[Aop]],VLOOKUP(M$2&amp;Balance_Sheet[[#This Row],[Aop]],Data[],M$1)/Jedinica,"")</f>
        <v>2855587</v>
      </c>
      <c r="N9" s="38">
        <f>IF(VLOOKUP(N$2&amp;Balance_Sheet[[#This Row],[Aop]],Data[],1)=N$2&amp;Balance_Sheet[[#This Row],[Aop]],VLOOKUP(N$2&amp;Balance_Sheet[[#This Row],[Aop]],Data[],N$1)/Jedinica,"")</f>
        <v>0</v>
      </c>
      <c r="O9" s="38">
        <f>IF(VLOOKUP(O$2&amp;Balance_Sheet[[#This Row],[Aop]],Data[],1)=O$2&amp;Balance_Sheet[[#This Row],[Aop]],VLOOKUP(O$2&amp;Balance_Sheet[[#This Row],[Aop]],Data[],O$1)/Jedinica,"")</f>
        <v>2855587</v>
      </c>
      <c r="P9" s="38">
        <f>IF(VLOOKUP(P$2&amp;Balance_Sheet[[#This Row],[Aop]],Data[],1)=P$2&amp;Balance_Sheet[[#This Row],[Aop]],VLOOKUP(P$2&amp;Balance_Sheet[[#This Row],[Aop]],Data[],P$1)/Jedinica,"")</f>
        <v>2829547</v>
      </c>
      <c r="Q9" s="38">
        <f>IF(VLOOKUP(Q$2&amp;Balance_Sheet[[#This Row],[Aop]],Data[],1)=Q$2&amp;Balance_Sheet[[#This Row],[Aop]],VLOOKUP(Q$2&amp;Balance_Sheet[[#This Row],[Aop]],Data[],Q$1)/Jedinica,"")</f>
        <v>1862228</v>
      </c>
      <c r="R9" s="38">
        <f>IF(VLOOKUP(R$2&amp;Balance_Sheet[[#This Row],[Aop]],Data[],1)=R$2&amp;Balance_Sheet[[#This Row],[Aop]],VLOOKUP(R$2&amp;Balance_Sheet[[#This Row],[Aop]],Data[],R$1)/Jedinica,"")</f>
        <v>0</v>
      </c>
      <c r="S9" s="38">
        <f>IF(VLOOKUP(S$2&amp;Balance_Sheet[[#This Row],[Aop]],Data[],1)=S$2&amp;Balance_Sheet[[#This Row],[Aop]],VLOOKUP(S$2&amp;Balance_Sheet[[#This Row],[Aop]],Data[],S$1)/Jedinica,"")</f>
        <v>1862228</v>
      </c>
      <c r="T9" s="38">
        <f>IF(VLOOKUP(T$2&amp;Balance_Sheet[[#This Row],[Aop]],Data[],1)=T$2&amp;Balance_Sheet[[#This Row],[Aop]],VLOOKUP(T$2&amp;Balance_Sheet[[#This Row],[Aop]],Data[],T$1)/Jedinica,"")</f>
        <v>1573561</v>
      </c>
      <c r="U9" s="38">
        <f>IF(VLOOKUP(U$2&amp;Balance_Sheet[[#This Row],[Aop]],Data[],1)=U$2&amp;Balance_Sheet[[#This Row],[Aop]],VLOOKUP(U$2&amp;Balance_Sheet[[#This Row],[Aop]],Data[],U$1)/Jedinica,"")</f>
        <v>8028752</v>
      </c>
      <c r="V9" s="38">
        <f>IF(VLOOKUP(V$2&amp;Balance_Sheet[[#This Row],[Aop]],Data[],1)=V$2&amp;Balance_Sheet[[#This Row],[Aop]],VLOOKUP(V$2&amp;Balance_Sheet[[#This Row],[Aop]],Data[],V$1)/Jedinica,"")</f>
        <v>0</v>
      </c>
      <c r="W9" s="38">
        <f>IF(VLOOKUP(W$2&amp;Balance_Sheet[[#This Row],[Aop]],Data[],1)=W$2&amp;Balance_Sheet[[#This Row],[Aop]],VLOOKUP(W$2&amp;Balance_Sheet[[#This Row],[Aop]],Data[],W$1)/Jedinica,"")</f>
        <v>8028752</v>
      </c>
      <c r="X9" s="38">
        <f>IF(VLOOKUP(X$2&amp;Balance_Sheet[[#This Row],[Aop]],Data[],1)=X$2&amp;Balance_Sheet[[#This Row],[Aop]],VLOOKUP(X$2&amp;Balance_Sheet[[#This Row],[Aop]],Data[],X$1)/Jedinica,"")</f>
        <v>8608263</v>
      </c>
      <c r="Y9" s="38">
        <f>IF(VLOOKUP(Y$2&amp;Balance_Sheet[[#This Row],[Aop]],Data[],1)=Y$2&amp;Balance_Sheet[[#This Row],[Aop]],VLOOKUP(Y$2&amp;Balance_Sheet[[#This Row],[Aop]],Data[],Y$1)/Jedinica,"")</f>
        <v>1862228</v>
      </c>
      <c r="Z9" s="38">
        <f>IF(VLOOKUP(Z$2&amp;Balance_Sheet[[#This Row],[Aop]],Data[],1)=Z$2&amp;Balance_Sheet[[#This Row],[Aop]],VLOOKUP(Z$2&amp;Balance_Sheet[[#This Row],[Aop]],Data[],Z$1)/Jedinica,"")</f>
        <v>0</v>
      </c>
      <c r="AA9" s="38">
        <f>IF(VLOOKUP(AA$2&amp;Balance_Sheet[[#This Row],[Aop]],Data[],1)=AA$2&amp;Balance_Sheet[[#This Row],[Aop]],VLOOKUP(AA$2&amp;Balance_Sheet[[#This Row],[Aop]],Data[],AA$1)/Jedinica,"")</f>
        <v>1862228</v>
      </c>
      <c r="AB9" s="38">
        <f>IF(VLOOKUP(AB$2&amp;Balance_Sheet[[#This Row],[Aop]],Data[],1)=AB$2&amp;Balance_Sheet[[#This Row],[Aop]],VLOOKUP(AB$2&amp;Balance_Sheet[[#This Row],[Aop]],Data[],AB$1)/Jedinica,"")</f>
        <v>1573561</v>
      </c>
      <c r="AC9" s="38">
        <f>IF(VLOOKUP(AC$2&amp;Balance_Sheet[[#This Row],[Aop]],Data[],1)=AC$2&amp;Balance_Sheet[[#This Row],[Aop]],VLOOKUP(AC$2&amp;Balance_Sheet[[#This Row],[Aop]],Data[],AC$1)/Jedinica,"")</f>
        <v>10733277</v>
      </c>
      <c r="AD9" s="38">
        <f>IF(VLOOKUP(AD$2&amp;Balance_Sheet[[#This Row],[Aop]],Data[],1)=AD$2&amp;Balance_Sheet[[#This Row],[Aop]],VLOOKUP(AD$2&amp;Balance_Sheet[[#This Row],[Aop]],Data[],AD$1)/Jedinica,"")</f>
        <v>0</v>
      </c>
      <c r="AE9" s="38">
        <f>IF(VLOOKUP(AE$2&amp;Balance_Sheet[[#This Row],[Aop]],Data[],1)=AE$2&amp;Balance_Sheet[[#This Row],[Aop]],VLOOKUP(AE$2&amp;Balance_Sheet[[#This Row],[Aop]],Data[],AE$1)/Jedinica,"")</f>
        <v>10733277</v>
      </c>
      <c r="AF9" s="38">
        <f>IF(VLOOKUP(AF$2&amp;Balance_Sheet[[#This Row],[Aop]],Data[],1)=AF$2&amp;Balance_Sheet[[#This Row],[Aop]],VLOOKUP(AF$2&amp;Balance_Sheet[[#This Row],[Aop]],Data[],AF$1)/Jedinica,"")</f>
        <v>12608009</v>
      </c>
    </row>
    <row r="10" spans="1:32" ht="12.75" customHeight="1" x14ac:dyDescent="0.2">
      <c r="A10" s="74">
        <v>5</v>
      </c>
      <c r="B10" s="75">
        <v>3</v>
      </c>
      <c r="C10" s="76" t="str">
        <f>VLOOKUP(Balance_Sheet[[#This Row],[No]],AOP_Balance,3,0)</f>
        <v>004</v>
      </c>
      <c r="D10" s="52" t="str">
        <f>VLOOKUP(Balance_Sheet[[#This Row],[No]],AOP_Balance,7,0)</f>
        <v xml:space="preserve">      b) Ostala potraživanja u domaćoj valuti</v>
      </c>
      <c r="E10" s="38">
        <f>IF(VLOOKUP(E$2&amp;Balance_Sheet[[#This Row],[Aop]],Data[],1)=E$2&amp;Balance_Sheet[[#This Row],[Aop]],VLOOKUP(E$2&amp;Balance_Sheet[[#This Row],[Aop]],Data[],E$1)/Jedinica,"")</f>
        <v>1967736</v>
      </c>
      <c r="F10" s="38">
        <f>IF(VLOOKUP(F$2&amp;Balance_Sheet[[#This Row],[Aop]],Data[],1)=F$2&amp;Balance_Sheet[[#This Row],[Aop]],VLOOKUP(F$2&amp;Balance_Sheet[[#This Row],[Aop]],Data[],F$1)/Jedinica,"")</f>
        <v>47315</v>
      </c>
      <c r="G10" s="38">
        <f>IF(VLOOKUP(G$2&amp;Balance_Sheet[[#This Row],[Aop]],Data[],1)=G$2&amp;Balance_Sheet[[#This Row],[Aop]],VLOOKUP(G$2&amp;Balance_Sheet[[#This Row],[Aop]],Data[],G$1)/Jedinica,"")</f>
        <v>1920421</v>
      </c>
      <c r="H10" s="38">
        <f>IF(VLOOKUP(H$2&amp;Balance_Sheet[[#This Row],[Aop]],Data[],1)=H$2&amp;Balance_Sheet[[#This Row],[Aop]],VLOOKUP(H$2&amp;Balance_Sheet[[#This Row],[Aop]],Data[],H$1)/Jedinica,"")</f>
        <v>681518</v>
      </c>
      <c r="I10" s="38">
        <f>IF(VLOOKUP(I$2&amp;Balance_Sheet[[#This Row],[Aop]],Data[],1)=I$2&amp;Balance_Sheet[[#This Row],[Aop]],VLOOKUP(I$2&amp;Balance_Sheet[[#This Row],[Aop]],Data[],I$1)/Jedinica,"")</f>
        <v>5552808</v>
      </c>
      <c r="J10" s="38">
        <f>IF(VLOOKUP(J$2&amp;Balance_Sheet[[#This Row],[Aop]],Data[],1)=J$2&amp;Balance_Sheet[[#This Row],[Aop]],VLOOKUP(J$2&amp;Balance_Sheet[[#This Row],[Aop]],Data[],J$1)/Jedinica,"")</f>
        <v>1499543</v>
      </c>
      <c r="K10" s="38">
        <f>IF(VLOOKUP(K$2&amp;Balance_Sheet[[#This Row],[Aop]],Data[],1)=K$2&amp;Balance_Sheet[[#This Row],[Aop]],VLOOKUP(K$2&amp;Balance_Sheet[[#This Row],[Aop]],Data[],K$1)/Jedinica,"")</f>
        <v>4053265</v>
      </c>
      <c r="L10" s="38">
        <f>IF(VLOOKUP(L$2&amp;Balance_Sheet[[#This Row],[Aop]],Data[],1)=L$2&amp;Balance_Sheet[[#This Row],[Aop]],VLOOKUP(L$2&amp;Balance_Sheet[[#This Row],[Aop]],Data[],L$1)/Jedinica,"")</f>
        <v>3251498</v>
      </c>
      <c r="M10" s="38">
        <f>IF(VLOOKUP(M$2&amp;Balance_Sheet[[#This Row],[Aop]],Data[],1)=M$2&amp;Balance_Sheet[[#This Row],[Aop]],VLOOKUP(M$2&amp;Balance_Sheet[[#This Row],[Aop]],Data[],M$1)/Jedinica,"")</f>
        <v>436471</v>
      </c>
      <c r="N10" s="38">
        <f>IF(VLOOKUP(N$2&amp;Balance_Sheet[[#This Row],[Aop]],Data[],1)=N$2&amp;Balance_Sheet[[#This Row],[Aop]],VLOOKUP(N$2&amp;Balance_Sheet[[#This Row],[Aop]],Data[],N$1)/Jedinica,"")</f>
        <v>87082</v>
      </c>
      <c r="O10" s="38">
        <f>IF(VLOOKUP(O$2&amp;Balance_Sheet[[#This Row],[Aop]],Data[],1)=O$2&amp;Balance_Sheet[[#This Row],[Aop]],VLOOKUP(O$2&amp;Balance_Sheet[[#This Row],[Aop]],Data[],O$1)/Jedinica,"")</f>
        <v>349389</v>
      </c>
      <c r="P10" s="38">
        <f>IF(VLOOKUP(P$2&amp;Balance_Sheet[[#This Row],[Aop]],Data[],1)=P$2&amp;Balance_Sheet[[#This Row],[Aop]],VLOOKUP(P$2&amp;Balance_Sheet[[#This Row],[Aop]],Data[],P$1)/Jedinica,"")</f>
        <v>112748</v>
      </c>
      <c r="Q10" s="38">
        <f>IF(VLOOKUP(Q$2&amp;Balance_Sheet[[#This Row],[Aop]],Data[],1)=Q$2&amp;Balance_Sheet[[#This Row],[Aop]],VLOOKUP(Q$2&amp;Balance_Sheet[[#This Row],[Aop]],Data[],Q$1)/Jedinica,"")</f>
        <v>103923</v>
      </c>
      <c r="R10" s="38">
        <f>IF(VLOOKUP(R$2&amp;Balance_Sheet[[#This Row],[Aop]],Data[],1)=R$2&amp;Balance_Sheet[[#This Row],[Aop]],VLOOKUP(R$2&amp;Balance_Sheet[[#This Row],[Aop]],Data[],R$1)/Jedinica,"")</f>
        <v>27502</v>
      </c>
      <c r="S10" s="38">
        <f>IF(VLOOKUP(S$2&amp;Balance_Sheet[[#This Row],[Aop]],Data[],1)=S$2&amp;Balance_Sheet[[#This Row],[Aop]],VLOOKUP(S$2&amp;Balance_Sheet[[#This Row],[Aop]],Data[],S$1)/Jedinica,"")</f>
        <v>76421</v>
      </c>
      <c r="T10" s="38">
        <f>IF(VLOOKUP(T$2&amp;Balance_Sheet[[#This Row],[Aop]],Data[],1)=T$2&amp;Balance_Sheet[[#This Row],[Aop]],VLOOKUP(T$2&amp;Balance_Sheet[[#This Row],[Aop]],Data[],T$1)/Jedinica,"")</f>
        <v>35739</v>
      </c>
      <c r="U10" s="38">
        <f>IF(VLOOKUP(U$2&amp;Balance_Sheet[[#This Row],[Aop]],Data[],1)=U$2&amp;Balance_Sheet[[#This Row],[Aop]],VLOOKUP(U$2&amp;Balance_Sheet[[#This Row],[Aop]],Data[],U$1)/Jedinica,"")</f>
        <v>2645320</v>
      </c>
      <c r="V10" s="38">
        <f>IF(VLOOKUP(V$2&amp;Balance_Sheet[[#This Row],[Aop]],Data[],1)=V$2&amp;Balance_Sheet[[#This Row],[Aop]],VLOOKUP(V$2&amp;Balance_Sheet[[#This Row],[Aop]],Data[],V$1)/Jedinica,"")</f>
        <v>1941056</v>
      </c>
      <c r="W10" s="38">
        <f>IF(VLOOKUP(W$2&amp;Balance_Sheet[[#This Row],[Aop]],Data[],1)=W$2&amp;Balance_Sheet[[#This Row],[Aop]],VLOOKUP(W$2&amp;Balance_Sheet[[#This Row],[Aop]],Data[],W$1)/Jedinica,"")</f>
        <v>704264</v>
      </c>
      <c r="X10" s="38">
        <f>IF(VLOOKUP(X$2&amp;Balance_Sheet[[#This Row],[Aop]],Data[],1)=X$2&amp;Balance_Sheet[[#This Row],[Aop]],VLOOKUP(X$2&amp;Balance_Sheet[[#This Row],[Aop]],Data[],X$1)/Jedinica,"")</f>
        <v>1981854</v>
      </c>
      <c r="Y10" s="38">
        <f>IF(VLOOKUP(Y$2&amp;Balance_Sheet[[#This Row],[Aop]],Data[],1)=Y$2&amp;Balance_Sheet[[#This Row],[Aop]],VLOOKUP(Y$2&amp;Balance_Sheet[[#This Row],[Aop]],Data[],Y$1)/Jedinica,"")</f>
        <v>103923</v>
      </c>
      <c r="Z10" s="38">
        <f>IF(VLOOKUP(Z$2&amp;Balance_Sheet[[#This Row],[Aop]],Data[],1)=Z$2&amp;Balance_Sheet[[#This Row],[Aop]],VLOOKUP(Z$2&amp;Balance_Sheet[[#This Row],[Aop]],Data[],Z$1)/Jedinica,"")</f>
        <v>27502</v>
      </c>
      <c r="AA10" s="38">
        <f>IF(VLOOKUP(AA$2&amp;Balance_Sheet[[#This Row],[Aop]],Data[],1)=AA$2&amp;Balance_Sheet[[#This Row],[Aop]],VLOOKUP(AA$2&amp;Balance_Sheet[[#This Row],[Aop]],Data[],AA$1)/Jedinica,"")</f>
        <v>76421</v>
      </c>
      <c r="AB10" s="38">
        <f>IF(VLOOKUP(AB$2&amp;Balance_Sheet[[#This Row],[Aop]],Data[],1)=AB$2&amp;Balance_Sheet[[#This Row],[Aop]],VLOOKUP(AB$2&amp;Balance_Sheet[[#This Row],[Aop]],Data[],AB$1)/Jedinica,"")</f>
        <v>35739</v>
      </c>
      <c r="AC10" s="38">
        <f>IF(VLOOKUP(AC$2&amp;Balance_Sheet[[#This Row],[Aop]],Data[],1)=AC$2&amp;Balance_Sheet[[#This Row],[Aop]],VLOOKUP(AC$2&amp;Balance_Sheet[[#This Row],[Aop]],Data[],AC$1)/Jedinica,"")</f>
        <v>3535796</v>
      </c>
      <c r="AD10" s="38">
        <f>IF(VLOOKUP(AD$2&amp;Balance_Sheet[[#This Row],[Aop]],Data[],1)=AD$2&amp;Balance_Sheet[[#This Row],[Aop]],VLOOKUP(AD$2&amp;Balance_Sheet[[#This Row],[Aop]],Data[],AD$1)/Jedinica,"")</f>
        <v>220640</v>
      </c>
      <c r="AE10" s="38">
        <f>IF(VLOOKUP(AE$2&amp;Balance_Sheet[[#This Row],[Aop]],Data[],1)=AE$2&amp;Balance_Sheet[[#This Row],[Aop]],VLOOKUP(AE$2&amp;Balance_Sheet[[#This Row],[Aop]],Data[],AE$1)/Jedinica,"")</f>
        <v>3315156</v>
      </c>
      <c r="AF10" s="38">
        <f>IF(VLOOKUP(AF$2&amp;Balance_Sheet[[#This Row],[Aop]],Data[],1)=AF$2&amp;Balance_Sheet[[#This Row],[Aop]],VLOOKUP(AF$2&amp;Balance_Sheet[[#This Row],[Aop]],Data[],AF$1)/Jedinica,"")</f>
        <v>2572514</v>
      </c>
    </row>
    <row r="11" spans="1:32" ht="12.75" customHeight="1" x14ac:dyDescent="0.2">
      <c r="A11" s="74">
        <v>6</v>
      </c>
      <c r="B11" s="75">
        <v>3</v>
      </c>
      <c r="C11" s="76" t="str">
        <f>VLOOKUP(Balance_Sheet[[#This Row],[No]],AOP_Balance,3,0)</f>
        <v>005</v>
      </c>
      <c r="D11" s="52" t="str">
        <f>VLOOKUP(Balance_Sheet[[#This Row],[No]],AOP_Balance,7,0)</f>
        <v xml:space="preserve">      v) Gotovina i gotovinski ekvivalenti u stranoj valuti</v>
      </c>
      <c r="E11" s="38">
        <f>IF(VLOOKUP(E$2&amp;Balance_Sheet[[#This Row],[Aop]],Data[],1)=E$2&amp;Balance_Sheet[[#This Row],[Aop]],VLOOKUP(E$2&amp;Balance_Sheet[[#This Row],[Aop]],Data[],E$1)/Jedinica,"")</f>
        <v>9473020</v>
      </c>
      <c r="F11" s="38">
        <f>IF(VLOOKUP(F$2&amp;Balance_Sheet[[#This Row],[Aop]],Data[],1)=F$2&amp;Balance_Sheet[[#This Row],[Aop]],VLOOKUP(F$2&amp;Balance_Sheet[[#This Row],[Aop]],Data[],F$1)/Jedinica,"")</f>
        <v>616</v>
      </c>
      <c r="G11" s="38">
        <f>IF(VLOOKUP(G$2&amp;Balance_Sheet[[#This Row],[Aop]],Data[],1)=G$2&amp;Balance_Sheet[[#This Row],[Aop]],VLOOKUP(G$2&amp;Balance_Sheet[[#This Row],[Aop]],Data[],G$1)/Jedinica,"")</f>
        <v>9472404</v>
      </c>
      <c r="H11" s="38">
        <f>IF(VLOOKUP(H$2&amp;Balance_Sheet[[#This Row],[Aop]],Data[],1)=H$2&amp;Balance_Sheet[[#This Row],[Aop]],VLOOKUP(H$2&amp;Balance_Sheet[[#This Row],[Aop]],Data[],H$1)/Jedinica,"")</f>
        <v>10895424</v>
      </c>
      <c r="I11" s="38">
        <f>IF(VLOOKUP(I$2&amp;Balance_Sheet[[#This Row],[Aop]],Data[],1)=I$2&amp;Balance_Sheet[[#This Row],[Aop]],VLOOKUP(I$2&amp;Balance_Sheet[[#This Row],[Aop]],Data[],I$1)/Jedinica,"")</f>
        <v>2416520</v>
      </c>
      <c r="J11" s="38">
        <f>IF(VLOOKUP(J$2&amp;Balance_Sheet[[#This Row],[Aop]],Data[],1)=J$2&amp;Balance_Sheet[[#This Row],[Aop]],VLOOKUP(J$2&amp;Balance_Sheet[[#This Row],[Aop]],Data[],J$1)/Jedinica,"")</f>
        <v>0</v>
      </c>
      <c r="K11" s="38">
        <f>IF(VLOOKUP(K$2&amp;Balance_Sheet[[#This Row],[Aop]],Data[],1)=K$2&amp;Balance_Sheet[[#This Row],[Aop]],VLOOKUP(K$2&amp;Balance_Sheet[[#This Row],[Aop]],Data[],K$1)/Jedinica,"")</f>
        <v>2416520</v>
      </c>
      <c r="L11" s="38">
        <f>IF(VLOOKUP(L$2&amp;Balance_Sheet[[#This Row],[Aop]],Data[],1)=L$2&amp;Balance_Sheet[[#This Row],[Aop]],VLOOKUP(L$2&amp;Balance_Sheet[[#This Row],[Aop]],Data[],L$1)/Jedinica,"")</f>
        <v>8842317</v>
      </c>
      <c r="M11" s="38">
        <f>IF(VLOOKUP(M$2&amp;Balance_Sheet[[#This Row],[Aop]],Data[],1)=M$2&amp;Balance_Sheet[[#This Row],[Aop]],VLOOKUP(M$2&amp;Balance_Sheet[[#This Row],[Aop]],Data[],M$1)/Jedinica,"")</f>
        <v>5334000</v>
      </c>
      <c r="N11" s="38">
        <f>IF(VLOOKUP(N$2&amp;Balance_Sheet[[#This Row],[Aop]],Data[],1)=N$2&amp;Balance_Sheet[[#This Row],[Aop]],VLOOKUP(N$2&amp;Balance_Sheet[[#This Row],[Aop]],Data[],N$1)/Jedinica,"")</f>
        <v>0</v>
      </c>
      <c r="O11" s="38">
        <f>IF(VLOOKUP(O$2&amp;Balance_Sheet[[#This Row],[Aop]],Data[],1)=O$2&amp;Balance_Sheet[[#This Row],[Aop]],VLOOKUP(O$2&amp;Balance_Sheet[[#This Row],[Aop]],Data[],O$1)/Jedinica,"")</f>
        <v>5334000</v>
      </c>
      <c r="P11" s="38">
        <f>IF(VLOOKUP(P$2&amp;Balance_Sheet[[#This Row],[Aop]],Data[],1)=P$2&amp;Balance_Sheet[[#This Row],[Aop]],VLOOKUP(P$2&amp;Balance_Sheet[[#This Row],[Aop]],Data[],P$1)/Jedinica,"")</f>
        <v>5931655</v>
      </c>
      <c r="Q11" s="38">
        <f>IF(VLOOKUP(Q$2&amp;Balance_Sheet[[#This Row],[Aop]],Data[],1)=Q$2&amp;Balance_Sheet[[#This Row],[Aop]],VLOOKUP(Q$2&amp;Balance_Sheet[[#This Row],[Aop]],Data[],Q$1)/Jedinica,"")</f>
        <v>3977465</v>
      </c>
      <c r="R11" s="38">
        <f>IF(VLOOKUP(R$2&amp;Balance_Sheet[[#This Row],[Aop]],Data[],1)=R$2&amp;Balance_Sheet[[#This Row],[Aop]],VLOOKUP(R$2&amp;Balance_Sheet[[#This Row],[Aop]],Data[],R$1)/Jedinica,"")</f>
        <v>746</v>
      </c>
      <c r="S11" s="38">
        <f>IF(VLOOKUP(S$2&amp;Balance_Sheet[[#This Row],[Aop]],Data[],1)=S$2&amp;Balance_Sheet[[#This Row],[Aop]],VLOOKUP(S$2&amp;Balance_Sheet[[#This Row],[Aop]],Data[],S$1)/Jedinica,"")</f>
        <v>3976719</v>
      </c>
      <c r="T11" s="38">
        <f>IF(VLOOKUP(T$2&amp;Balance_Sheet[[#This Row],[Aop]],Data[],1)=T$2&amp;Balance_Sheet[[#This Row],[Aop]],VLOOKUP(T$2&amp;Balance_Sheet[[#This Row],[Aop]],Data[],T$1)/Jedinica,"")</f>
        <v>5215374</v>
      </c>
      <c r="U11" s="38">
        <f>IF(VLOOKUP(U$2&amp;Balance_Sheet[[#This Row],[Aop]],Data[],1)=U$2&amp;Balance_Sheet[[#This Row],[Aop]],VLOOKUP(U$2&amp;Balance_Sheet[[#This Row],[Aop]],Data[],U$1)/Jedinica,"")</f>
        <v>15098872</v>
      </c>
      <c r="V11" s="38">
        <f>IF(VLOOKUP(V$2&amp;Balance_Sheet[[#This Row],[Aop]],Data[],1)=V$2&amp;Balance_Sheet[[#This Row],[Aop]],VLOOKUP(V$2&amp;Balance_Sheet[[#This Row],[Aop]],Data[],V$1)/Jedinica,"")</f>
        <v>0</v>
      </c>
      <c r="W11" s="38">
        <f>IF(VLOOKUP(W$2&amp;Balance_Sheet[[#This Row],[Aop]],Data[],1)=W$2&amp;Balance_Sheet[[#This Row],[Aop]],VLOOKUP(W$2&amp;Balance_Sheet[[#This Row],[Aop]],Data[],W$1)/Jedinica,"")</f>
        <v>15098872</v>
      </c>
      <c r="X11" s="38">
        <f>IF(VLOOKUP(X$2&amp;Balance_Sheet[[#This Row],[Aop]],Data[],1)=X$2&amp;Balance_Sheet[[#This Row],[Aop]],VLOOKUP(X$2&amp;Balance_Sheet[[#This Row],[Aop]],Data[],X$1)/Jedinica,"")</f>
        <v>80265065</v>
      </c>
      <c r="Y11" s="38">
        <f>IF(VLOOKUP(Y$2&amp;Balance_Sheet[[#This Row],[Aop]],Data[],1)=Y$2&amp;Balance_Sheet[[#This Row],[Aop]],VLOOKUP(Y$2&amp;Balance_Sheet[[#This Row],[Aop]],Data[],Y$1)/Jedinica,"")</f>
        <v>3977465</v>
      </c>
      <c r="Z11" s="38">
        <f>IF(VLOOKUP(Z$2&amp;Balance_Sheet[[#This Row],[Aop]],Data[],1)=Z$2&amp;Balance_Sheet[[#This Row],[Aop]],VLOOKUP(Z$2&amp;Balance_Sheet[[#This Row],[Aop]],Data[],Z$1)/Jedinica,"")</f>
        <v>746</v>
      </c>
      <c r="AA11" s="38">
        <f>IF(VLOOKUP(AA$2&amp;Balance_Sheet[[#This Row],[Aop]],Data[],1)=AA$2&amp;Balance_Sheet[[#This Row],[Aop]],VLOOKUP(AA$2&amp;Balance_Sheet[[#This Row],[Aop]],Data[],AA$1)/Jedinica,"")</f>
        <v>3976719</v>
      </c>
      <c r="AB11" s="38">
        <f>IF(VLOOKUP(AB$2&amp;Balance_Sheet[[#This Row],[Aop]],Data[],1)=AB$2&amp;Balance_Sheet[[#This Row],[Aop]],VLOOKUP(AB$2&amp;Balance_Sheet[[#This Row],[Aop]],Data[],AB$1)/Jedinica,"")</f>
        <v>5215374</v>
      </c>
      <c r="AC11" s="38">
        <f>IF(VLOOKUP(AC$2&amp;Balance_Sheet[[#This Row],[Aop]],Data[],1)=AC$2&amp;Balance_Sheet[[#This Row],[Aop]],VLOOKUP(AC$2&amp;Balance_Sheet[[#This Row],[Aop]],Data[],AC$1)/Jedinica,"")</f>
        <v>101593770</v>
      </c>
      <c r="AD11" s="38">
        <f>IF(VLOOKUP(AD$2&amp;Balance_Sheet[[#This Row],[Aop]],Data[],1)=AD$2&amp;Balance_Sheet[[#This Row],[Aop]],VLOOKUP(AD$2&amp;Balance_Sheet[[#This Row],[Aop]],Data[],AD$1)/Jedinica,"")</f>
        <v>0</v>
      </c>
      <c r="AE11" s="38">
        <f>IF(VLOOKUP(AE$2&amp;Balance_Sheet[[#This Row],[Aop]],Data[],1)=AE$2&amp;Balance_Sheet[[#This Row],[Aop]],VLOOKUP(AE$2&amp;Balance_Sheet[[#This Row],[Aop]],Data[],AE$1)/Jedinica,"")</f>
        <v>101593770</v>
      </c>
      <c r="AF11" s="38">
        <f>IF(VLOOKUP(AF$2&amp;Balance_Sheet[[#This Row],[Aop]],Data[],1)=AF$2&amp;Balance_Sheet[[#This Row],[Aop]],VLOOKUP(AF$2&amp;Balance_Sheet[[#This Row],[Aop]],Data[],AF$1)/Jedinica,"")</f>
        <v>34585021</v>
      </c>
    </row>
    <row r="12" spans="1:32" ht="12.75" customHeight="1" x14ac:dyDescent="0.2">
      <c r="A12" s="74">
        <v>7</v>
      </c>
      <c r="B12" s="75">
        <v>3</v>
      </c>
      <c r="C12" s="76" t="str">
        <f>VLOOKUP(Balance_Sheet[[#This Row],[No]],AOP_Balance,3,0)</f>
        <v>006</v>
      </c>
      <c r="D12" s="52" t="str">
        <f>VLOOKUP(Balance_Sheet[[#This Row],[No]],AOP_Balance,7,0)</f>
        <v xml:space="preserve">      g) Zlato i ostali plemeniti metali</v>
      </c>
      <c r="E12" s="38" t="str">
        <f>IF(VLOOKUP(E$2&amp;Balance_Sheet[[#This Row],[Aop]],Data[],1)=E$2&amp;Balance_Sheet[[#This Row],[Aop]],VLOOKUP(E$2&amp;Balance_Sheet[[#This Row],[Aop]],Data[],E$1)/Jedinica,"")</f>
        <v/>
      </c>
      <c r="F12" s="38" t="str">
        <f>IF(VLOOKUP(F$2&amp;Balance_Sheet[[#This Row],[Aop]],Data[],1)=F$2&amp;Balance_Sheet[[#This Row],[Aop]],VLOOKUP(F$2&amp;Balance_Sheet[[#This Row],[Aop]],Data[],F$1)/Jedinica,"")</f>
        <v/>
      </c>
      <c r="G12" s="38" t="str">
        <f>IF(VLOOKUP(G$2&amp;Balance_Sheet[[#This Row],[Aop]],Data[],1)=G$2&amp;Balance_Sheet[[#This Row],[Aop]],VLOOKUP(G$2&amp;Balance_Sheet[[#This Row],[Aop]],Data[],G$1)/Jedinica,"")</f>
        <v/>
      </c>
      <c r="H12" s="38" t="str">
        <f>IF(VLOOKUP(H$2&amp;Balance_Sheet[[#This Row],[Aop]],Data[],1)=H$2&amp;Balance_Sheet[[#This Row],[Aop]],VLOOKUP(H$2&amp;Balance_Sheet[[#This Row],[Aop]],Data[],H$1)/Jedinica,"")</f>
        <v/>
      </c>
      <c r="I12" s="38" t="str">
        <f>IF(VLOOKUP(I$2&amp;Balance_Sheet[[#This Row],[Aop]],Data[],1)=I$2&amp;Balance_Sheet[[#This Row],[Aop]],VLOOKUP(I$2&amp;Balance_Sheet[[#This Row],[Aop]],Data[],I$1)/Jedinica,"")</f>
        <v/>
      </c>
      <c r="J12" s="38" t="str">
        <f>IF(VLOOKUP(J$2&amp;Balance_Sheet[[#This Row],[Aop]],Data[],1)=J$2&amp;Balance_Sheet[[#This Row],[Aop]],VLOOKUP(J$2&amp;Balance_Sheet[[#This Row],[Aop]],Data[],J$1)/Jedinica,"")</f>
        <v/>
      </c>
      <c r="K12" s="38" t="str">
        <f>IF(VLOOKUP(K$2&amp;Balance_Sheet[[#This Row],[Aop]],Data[],1)=K$2&amp;Balance_Sheet[[#This Row],[Aop]],VLOOKUP(K$2&amp;Balance_Sheet[[#This Row],[Aop]],Data[],K$1)/Jedinica,"")</f>
        <v/>
      </c>
      <c r="L12" s="38" t="str">
        <f>IF(VLOOKUP(L$2&amp;Balance_Sheet[[#This Row],[Aop]],Data[],1)=L$2&amp;Balance_Sheet[[#This Row],[Aop]],VLOOKUP(L$2&amp;Balance_Sheet[[#This Row],[Aop]],Data[],L$1)/Jedinica,"")</f>
        <v/>
      </c>
      <c r="M12" s="38" t="str">
        <f>IF(VLOOKUP(M$2&amp;Balance_Sheet[[#This Row],[Aop]],Data[],1)=M$2&amp;Balance_Sheet[[#This Row],[Aop]],VLOOKUP(M$2&amp;Balance_Sheet[[#This Row],[Aop]],Data[],M$1)/Jedinica,"")</f>
        <v/>
      </c>
      <c r="N12" s="38" t="str">
        <f>IF(VLOOKUP(N$2&amp;Balance_Sheet[[#This Row],[Aop]],Data[],1)=N$2&amp;Balance_Sheet[[#This Row],[Aop]],VLOOKUP(N$2&amp;Balance_Sheet[[#This Row],[Aop]],Data[],N$1)/Jedinica,"")</f>
        <v/>
      </c>
      <c r="O12" s="38" t="str">
        <f>IF(VLOOKUP(O$2&amp;Balance_Sheet[[#This Row],[Aop]],Data[],1)=O$2&amp;Balance_Sheet[[#This Row],[Aop]],VLOOKUP(O$2&amp;Balance_Sheet[[#This Row],[Aop]],Data[],O$1)/Jedinica,"")</f>
        <v/>
      </c>
      <c r="P12" s="38" t="str">
        <f>IF(VLOOKUP(P$2&amp;Balance_Sheet[[#This Row],[Aop]],Data[],1)=P$2&amp;Balance_Sheet[[#This Row],[Aop]],VLOOKUP(P$2&amp;Balance_Sheet[[#This Row],[Aop]],Data[],P$1)/Jedinica,"")</f>
        <v/>
      </c>
      <c r="Q12" s="38" t="str">
        <f>IF(VLOOKUP(Q$2&amp;Balance_Sheet[[#This Row],[Aop]],Data[],1)=Q$2&amp;Balance_Sheet[[#This Row],[Aop]],VLOOKUP(Q$2&amp;Balance_Sheet[[#This Row],[Aop]],Data[],Q$1)/Jedinica,"")</f>
        <v/>
      </c>
      <c r="R12" s="38" t="str">
        <f>IF(VLOOKUP(R$2&amp;Balance_Sheet[[#This Row],[Aop]],Data[],1)=R$2&amp;Balance_Sheet[[#This Row],[Aop]],VLOOKUP(R$2&amp;Balance_Sheet[[#This Row],[Aop]],Data[],R$1)/Jedinica,"")</f>
        <v/>
      </c>
      <c r="S12" s="38" t="str">
        <f>IF(VLOOKUP(S$2&amp;Balance_Sheet[[#This Row],[Aop]],Data[],1)=S$2&amp;Balance_Sheet[[#This Row],[Aop]],VLOOKUP(S$2&amp;Balance_Sheet[[#This Row],[Aop]],Data[],S$1)/Jedinica,"")</f>
        <v/>
      </c>
      <c r="T12" s="38" t="str">
        <f>IF(VLOOKUP(T$2&amp;Balance_Sheet[[#This Row],[Aop]],Data[],1)=T$2&amp;Balance_Sheet[[#This Row],[Aop]],VLOOKUP(T$2&amp;Balance_Sheet[[#This Row],[Aop]],Data[],T$1)/Jedinica,"")</f>
        <v/>
      </c>
      <c r="U12" s="38">
        <f>IF(VLOOKUP(U$2&amp;Balance_Sheet[[#This Row],[Aop]],Data[],1)=U$2&amp;Balance_Sheet[[#This Row],[Aop]],VLOOKUP(U$2&amp;Balance_Sheet[[#This Row],[Aop]],Data[],U$1)/Jedinica,"")</f>
        <v>17142</v>
      </c>
      <c r="V12" s="38">
        <f>IF(VLOOKUP(V$2&amp;Balance_Sheet[[#This Row],[Aop]],Data[],1)=V$2&amp;Balance_Sheet[[#This Row],[Aop]],VLOOKUP(V$2&amp;Balance_Sheet[[#This Row],[Aop]],Data[],V$1)/Jedinica,"")</f>
        <v>0</v>
      </c>
      <c r="W12" s="38">
        <f>IF(VLOOKUP(W$2&amp;Balance_Sheet[[#This Row],[Aop]],Data[],1)=W$2&amp;Balance_Sheet[[#This Row],[Aop]],VLOOKUP(W$2&amp;Balance_Sheet[[#This Row],[Aop]],Data[],W$1)/Jedinica,"")</f>
        <v>17142</v>
      </c>
      <c r="X12" s="38">
        <f>IF(VLOOKUP(X$2&amp;Balance_Sheet[[#This Row],[Aop]],Data[],1)=X$2&amp;Balance_Sheet[[#This Row],[Aop]],VLOOKUP(X$2&amp;Balance_Sheet[[#This Row],[Aop]],Data[],X$1)/Jedinica,"")</f>
        <v>17142</v>
      </c>
      <c r="Y12" s="38" t="str">
        <f>IF(VLOOKUP(Y$2&amp;Balance_Sheet[[#This Row],[Aop]],Data[],1)=Y$2&amp;Balance_Sheet[[#This Row],[Aop]],VLOOKUP(Y$2&amp;Balance_Sheet[[#This Row],[Aop]],Data[],Y$1)/Jedinica,"")</f>
        <v/>
      </c>
      <c r="Z12" s="38" t="str">
        <f>IF(VLOOKUP(Z$2&amp;Balance_Sheet[[#This Row],[Aop]],Data[],1)=Z$2&amp;Balance_Sheet[[#This Row],[Aop]],VLOOKUP(Z$2&amp;Balance_Sheet[[#This Row],[Aop]],Data[],Z$1)/Jedinica,"")</f>
        <v/>
      </c>
      <c r="AA12" s="38" t="str">
        <f>IF(VLOOKUP(AA$2&amp;Balance_Sheet[[#This Row],[Aop]],Data[],1)=AA$2&amp;Balance_Sheet[[#This Row],[Aop]],VLOOKUP(AA$2&amp;Balance_Sheet[[#This Row],[Aop]],Data[],AA$1)/Jedinica,"")</f>
        <v/>
      </c>
      <c r="AB12" s="38" t="str">
        <f>IF(VLOOKUP(AB$2&amp;Balance_Sheet[[#This Row],[Aop]],Data[],1)=AB$2&amp;Balance_Sheet[[#This Row],[Aop]],VLOOKUP(AB$2&amp;Balance_Sheet[[#This Row],[Aop]],Data[],AB$1)/Jedinica,"")</f>
        <v/>
      </c>
      <c r="AC12" s="38" t="str">
        <f>IF(VLOOKUP(AC$2&amp;Balance_Sheet[[#This Row],[Aop]],Data[],1)=AC$2&amp;Balance_Sheet[[#This Row],[Aop]],VLOOKUP(AC$2&amp;Balance_Sheet[[#This Row],[Aop]],Data[],AC$1)/Jedinica,"")</f>
        <v/>
      </c>
      <c r="AD12" s="38" t="str">
        <f>IF(VLOOKUP(AD$2&amp;Balance_Sheet[[#This Row],[Aop]],Data[],1)=AD$2&amp;Balance_Sheet[[#This Row],[Aop]],VLOOKUP(AD$2&amp;Balance_Sheet[[#This Row],[Aop]],Data[],AD$1)/Jedinica,"")</f>
        <v/>
      </c>
      <c r="AE12" s="38" t="str">
        <f>IF(VLOOKUP(AE$2&amp;Balance_Sheet[[#This Row],[Aop]],Data[],1)=AE$2&amp;Balance_Sheet[[#This Row],[Aop]],VLOOKUP(AE$2&amp;Balance_Sheet[[#This Row],[Aop]],Data[],AE$1)/Jedinica,"")</f>
        <v/>
      </c>
      <c r="AF12" s="38" t="str">
        <f>IF(VLOOKUP(AF$2&amp;Balance_Sheet[[#This Row],[Aop]],Data[],1)=AF$2&amp;Balance_Sheet[[#This Row],[Aop]],VLOOKUP(AF$2&amp;Balance_Sheet[[#This Row],[Aop]],Data[],AF$1)/Jedinica,"")</f>
        <v/>
      </c>
    </row>
    <row r="13" spans="1:32" ht="12.75" customHeight="1" x14ac:dyDescent="0.2">
      <c r="A13" s="74">
        <v>8</v>
      </c>
      <c r="B13" s="75">
        <v>3</v>
      </c>
      <c r="C13" s="76" t="str">
        <f>VLOOKUP(Balance_Sheet[[#This Row],[No]],AOP_Balance,3,0)</f>
        <v>007</v>
      </c>
      <c r="D13" s="53" t="str">
        <f>VLOOKUP(Balance_Sheet[[#This Row],[No]],AOP_Balance,7,0)</f>
        <v xml:space="preserve">      d) Ostala potraživanja u stranoj valuti</v>
      </c>
      <c r="E13" s="38">
        <f>IF(VLOOKUP(E$2&amp;Balance_Sheet[[#This Row],[Aop]],Data[],1)=E$2&amp;Balance_Sheet[[#This Row],[Aop]],VLOOKUP(E$2&amp;Balance_Sheet[[#This Row],[Aop]],Data[],E$1)/Jedinica,"")</f>
        <v>47043</v>
      </c>
      <c r="F13" s="38">
        <f>IF(VLOOKUP(F$2&amp;Balance_Sheet[[#This Row],[Aop]],Data[],1)=F$2&amp;Balance_Sheet[[#This Row],[Aop]],VLOOKUP(F$2&amp;Balance_Sheet[[#This Row],[Aop]],Data[],F$1)/Jedinica,"")</f>
        <v>31951</v>
      </c>
      <c r="G13" s="38">
        <f>IF(VLOOKUP(G$2&amp;Balance_Sheet[[#This Row],[Aop]],Data[],1)=G$2&amp;Balance_Sheet[[#This Row],[Aop]],VLOOKUP(G$2&amp;Balance_Sheet[[#This Row],[Aop]],Data[],G$1)/Jedinica,"")</f>
        <v>15092</v>
      </c>
      <c r="H13" s="38">
        <f>IF(VLOOKUP(H$2&amp;Balance_Sheet[[#This Row],[Aop]],Data[],1)=H$2&amp;Balance_Sheet[[#This Row],[Aop]],VLOOKUP(H$2&amp;Balance_Sheet[[#This Row],[Aop]],Data[],H$1)/Jedinica,"")</f>
        <v>205442</v>
      </c>
      <c r="I13" s="38">
        <f>IF(VLOOKUP(I$2&amp;Balance_Sheet[[#This Row],[Aop]],Data[],1)=I$2&amp;Balance_Sheet[[#This Row],[Aop]],VLOOKUP(I$2&amp;Balance_Sheet[[#This Row],[Aop]],Data[],I$1)/Jedinica,"")</f>
        <v>6595893</v>
      </c>
      <c r="J13" s="38">
        <f>IF(VLOOKUP(J$2&amp;Balance_Sheet[[#This Row],[Aop]],Data[],1)=J$2&amp;Balance_Sheet[[#This Row],[Aop]],VLOOKUP(J$2&amp;Balance_Sheet[[#This Row],[Aop]],Data[],J$1)/Jedinica,"")</f>
        <v>5575363</v>
      </c>
      <c r="K13" s="38">
        <f>IF(VLOOKUP(K$2&amp;Balance_Sheet[[#This Row],[Aop]],Data[],1)=K$2&amp;Balance_Sheet[[#This Row],[Aop]],VLOOKUP(K$2&amp;Balance_Sheet[[#This Row],[Aop]],Data[],K$1)/Jedinica,"")</f>
        <v>1020530</v>
      </c>
      <c r="L13" s="38">
        <f>IF(VLOOKUP(L$2&amp;Balance_Sheet[[#This Row],[Aop]],Data[],1)=L$2&amp;Balance_Sheet[[#This Row],[Aop]],VLOOKUP(L$2&amp;Balance_Sheet[[#This Row],[Aop]],Data[],L$1)/Jedinica,"")</f>
        <v>126749</v>
      </c>
      <c r="M13" s="38">
        <f>IF(VLOOKUP(M$2&amp;Balance_Sheet[[#This Row],[Aop]],Data[],1)=M$2&amp;Balance_Sheet[[#This Row],[Aop]],VLOOKUP(M$2&amp;Balance_Sheet[[#This Row],[Aop]],Data[],M$1)/Jedinica,"")</f>
        <v>311326</v>
      </c>
      <c r="N13" s="38">
        <f>IF(VLOOKUP(N$2&amp;Balance_Sheet[[#This Row],[Aop]],Data[],1)=N$2&amp;Balance_Sheet[[#This Row],[Aop]],VLOOKUP(N$2&amp;Balance_Sheet[[#This Row],[Aop]],Data[],N$1)/Jedinica,"")</f>
        <v>0</v>
      </c>
      <c r="O13" s="38">
        <f>IF(VLOOKUP(O$2&amp;Balance_Sheet[[#This Row],[Aop]],Data[],1)=O$2&amp;Balance_Sheet[[#This Row],[Aop]],VLOOKUP(O$2&amp;Balance_Sheet[[#This Row],[Aop]],Data[],O$1)/Jedinica,"")</f>
        <v>311326</v>
      </c>
      <c r="P13" s="38">
        <f>IF(VLOOKUP(P$2&amp;Balance_Sheet[[#This Row],[Aop]],Data[],1)=P$2&amp;Balance_Sheet[[#This Row],[Aop]],VLOOKUP(P$2&amp;Balance_Sheet[[#This Row],[Aop]],Data[],P$1)/Jedinica,"")</f>
        <v>43499</v>
      </c>
      <c r="Q13" s="38">
        <f>IF(VLOOKUP(Q$2&amp;Balance_Sheet[[#This Row],[Aop]],Data[],1)=Q$2&amp;Balance_Sheet[[#This Row],[Aop]],VLOOKUP(Q$2&amp;Balance_Sheet[[#This Row],[Aop]],Data[],Q$1)/Jedinica,"")</f>
        <v>18281</v>
      </c>
      <c r="R13" s="38">
        <f>IF(VLOOKUP(R$2&amp;Balance_Sheet[[#This Row],[Aop]],Data[],1)=R$2&amp;Balance_Sheet[[#This Row],[Aop]],VLOOKUP(R$2&amp;Balance_Sheet[[#This Row],[Aop]],Data[],R$1)/Jedinica,"")</f>
        <v>10992</v>
      </c>
      <c r="S13" s="38">
        <f>IF(VLOOKUP(S$2&amp;Balance_Sheet[[#This Row],[Aop]],Data[],1)=S$2&amp;Balance_Sheet[[#This Row],[Aop]],VLOOKUP(S$2&amp;Balance_Sheet[[#This Row],[Aop]],Data[],S$1)/Jedinica,"")</f>
        <v>7289</v>
      </c>
      <c r="T13" s="38">
        <f>IF(VLOOKUP(T$2&amp;Balance_Sheet[[#This Row],[Aop]],Data[],1)=T$2&amp;Balance_Sheet[[#This Row],[Aop]],VLOOKUP(T$2&amp;Balance_Sheet[[#This Row],[Aop]],Data[],T$1)/Jedinica,"")</f>
        <v>10085</v>
      </c>
      <c r="U13" s="38">
        <f>IF(VLOOKUP(U$2&amp;Balance_Sheet[[#This Row],[Aop]],Data[],1)=U$2&amp;Balance_Sheet[[#This Row],[Aop]],VLOOKUP(U$2&amp;Balance_Sheet[[#This Row],[Aop]],Data[],U$1)/Jedinica,"")</f>
        <v>77969</v>
      </c>
      <c r="V13" s="38">
        <f>IF(VLOOKUP(V$2&amp;Balance_Sheet[[#This Row],[Aop]],Data[],1)=V$2&amp;Balance_Sheet[[#This Row],[Aop]],VLOOKUP(V$2&amp;Balance_Sheet[[#This Row],[Aop]],Data[],V$1)/Jedinica,"")</f>
        <v>22851</v>
      </c>
      <c r="W13" s="38">
        <f>IF(VLOOKUP(W$2&amp;Balance_Sheet[[#This Row],[Aop]],Data[],1)=W$2&amp;Balance_Sheet[[#This Row],[Aop]],VLOOKUP(W$2&amp;Balance_Sheet[[#This Row],[Aop]],Data[],W$1)/Jedinica,"")</f>
        <v>55118</v>
      </c>
      <c r="X13" s="38">
        <f>IF(VLOOKUP(X$2&amp;Balance_Sheet[[#This Row],[Aop]],Data[],1)=X$2&amp;Balance_Sheet[[#This Row],[Aop]],VLOOKUP(X$2&amp;Balance_Sheet[[#This Row],[Aop]],Data[],X$1)/Jedinica,"")</f>
        <v>1482265</v>
      </c>
      <c r="Y13" s="38">
        <f>IF(VLOOKUP(Y$2&amp;Balance_Sheet[[#This Row],[Aop]],Data[],1)=Y$2&amp;Balance_Sheet[[#This Row],[Aop]],VLOOKUP(Y$2&amp;Balance_Sheet[[#This Row],[Aop]],Data[],Y$1)/Jedinica,"")</f>
        <v>18281</v>
      </c>
      <c r="Z13" s="38">
        <f>IF(VLOOKUP(Z$2&amp;Balance_Sheet[[#This Row],[Aop]],Data[],1)=Z$2&amp;Balance_Sheet[[#This Row],[Aop]],VLOOKUP(Z$2&amp;Balance_Sheet[[#This Row],[Aop]],Data[],Z$1)/Jedinica,"")</f>
        <v>10992</v>
      </c>
      <c r="AA13" s="38">
        <f>IF(VLOOKUP(AA$2&amp;Balance_Sheet[[#This Row],[Aop]],Data[],1)=AA$2&amp;Balance_Sheet[[#This Row],[Aop]],VLOOKUP(AA$2&amp;Balance_Sheet[[#This Row],[Aop]],Data[],AA$1)/Jedinica,"")</f>
        <v>7289</v>
      </c>
      <c r="AB13" s="38">
        <f>IF(VLOOKUP(AB$2&amp;Balance_Sheet[[#This Row],[Aop]],Data[],1)=AB$2&amp;Balance_Sheet[[#This Row],[Aop]],VLOOKUP(AB$2&amp;Balance_Sheet[[#This Row],[Aop]],Data[],AB$1)/Jedinica,"")</f>
        <v>10085</v>
      </c>
      <c r="AC13" s="38">
        <f>IF(VLOOKUP(AC$2&amp;Balance_Sheet[[#This Row],[Aop]],Data[],1)=AC$2&amp;Balance_Sheet[[#This Row],[Aop]],VLOOKUP(AC$2&amp;Balance_Sheet[[#This Row],[Aop]],Data[],AC$1)/Jedinica,"")</f>
        <v>2126908</v>
      </c>
      <c r="AD13" s="38">
        <f>IF(VLOOKUP(AD$2&amp;Balance_Sheet[[#This Row],[Aop]],Data[],1)=AD$2&amp;Balance_Sheet[[#This Row],[Aop]],VLOOKUP(AD$2&amp;Balance_Sheet[[#This Row],[Aop]],Data[],AD$1)/Jedinica,"")</f>
        <v>53269</v>
      </c>
      <c r="AE13" s="38">
        <f>IF(VLOOKUP(AE$2&amp;Balance_Sheet[[#This Row],[Aop]],Data[],1)=AE$2&amp;Balance_Sheet[[#This Row],[Aop]],VLOOKUP(AE$2&amp;Balance_Sheet[[#This Row],[Aop]],Data[],AE$1)/Jedinica,"")</f>
        <v>2073639</v>
      </c>
      <c r="AF13" s="38">
        <f>IF(VLOOKUP(AF$2&amp;Balance_Sheet[[#This Row],[Aop]],Data[],1)=AF$2&amp;Balance_Sheet[[#This Row],[Aop]],VLOOKUP(AF$2&amp;Balance_Sheet[[#This Row],[Aop]],Data[],AF$1)/Jedinica,"")</f>
        <v>193386</v>
      </c>
    </row>
    <row r="14" spans="1:32" ht="12.75" customHeight="1" x14ac:dyDescent="0.2">
      <c r="A14" s="74">
        <v>9</v>
      </c>
      <c r="B14" s="75">
        <v>2</v>
      </c>
      <c r="C14" s="76" t="str">
        <f>VLOOKUP(Balance_Sheet[[#This Row],[No]],AOP_Balance,3,0)</f>
        <v>008</v>
      </c>
      <c r="D14" s="52" t="str">
        <f>VLOOKUP(Balance_Sheet[[#This Row],[No]],AOP_Balance,7,0)</f>
        <v xml:space="preserve">    2. Depoziti i krediti u domaćoj i stranoj valuti (009 + 010)</v>
      </c>
      <c r="E14" s="38">
        <f>IF(VLOOKUP(E$2&amp;Balance_Sheet[[#This Row],[Aop]],Data[],1)=E$2&amp;Balance_Sheet[[#This Row],[Aop]],VLOOKUP(E$2&amp;Balance_Sheet[[#This Row],[Aop]],Data[],E$1)/Jedinica,"")</f>
        <v>27169823</v>
      </c>
      <c r="F14" s="38">
        <f>IF(VLOOKUP(F$2&amp;Balance_Sheet[[#This Row],[Aop]],Data[],1)=F$2&amp;Balance_Sheet[[#This Row],[Aop]],VLOOKUP(F$2&amp;Balance_Sheet[[#This Row],[Aop]],Data[],F$1)/Jedinica,"")</f>
        <v>0</v>
      </c>
      <c r="G14" s="38">
        <f>IF(VLOOKUP(G$2&amp;Balance_Sheet[[#This Row],[Aop]],Data[],1)=G$2&amp;Balance_Sheet[[#This Row],[Aop]],VLOOKUP(G$2&amp;Balance_Sheet[[#This Row],[Aop]],Data[],G$1)/Jedinica,"")</f>
        <v>27169823</v>
      </c>
      <c r="H14" s="38">
        <f>IF(VLOOKUP(H$2&amp;Balance_Sheet[[#This Row],[Aop]],Data[],1)=H$2&amp;Balance_Sheet[[#This Row],[Aop]],VLOOKUP(H$2&amp;Balance_Sheet[[#This Row],[Aop]],Data[],H$1)/Jedinica,"")</f>
        <v>19201457</v>
      </c>
      <c r="I14" s="38">
        <f>IF(VLOOKUP(I$2&amp;Balance_Sheet[[#This Row],[Aop]],Data[],1)=I$2&amp;Balance_Sheet[[#This Row],[Aop]],VLOOKUP(I$2&amp;Balance_Sheet[[#This Row],[Aop]],Data[],I$1)/Jedinica,"")</f>
        <v>27639533</v>
      </c>
      <c r="J14" s="38">
        <f>IF(VLOOKUP(J$2&amp;Balance_Sheet[[#This Row],[Aop]],Data[],1)=J$2&amp;Balance_Sheet[[#This Row],[Aop]],VLOOKUP(J$2&amp;Balance_Sheet[[#This Row],[Aop]],Data[],J$1)/Jedinica,"")</f>
        <v>0</v>
      </c>
      <c r="K14" s="38">
        <f>IF(VLOOKUP(K$2&amp;Balance_Sheet[[#This Row],[Aop]],Data[],1)=K$2&amp;Balance_Sheet[[#This Row],[Aop]],VLOOKUP(K$2&amp;Balance_Sheet[[#This Row],[Aop]],Data[],K$1)/Jedinica,"")</f>
        <v>27639533</v>
      </c>
      <c r="L14" s="38">
        <f>IF(VLOOKUP(L$2&amp;Balance_Sheet[[#This Row],[Aop]],Data[],1)=L$2&amp;Balance_Sheet[[#This Row],[Aop]],VLOOKUP(L$2&amp;Balance_Sheet[[#This Row],[Aop]],Data[],L$1)/Jedinica,"")</f>
        <v>13838617</v>
      </c>
      <c r="M14" s="38">
        <f>IF(VLOOKUP(M$2&amp;Balance_Sheet[[#This Row],[Aop]],Data[],1)=M$2&amp;Balance_Sheet[[#This Row],[Aop]],VLOOKUP(M$2&amp;Balance_Sheet[[#This Row],[Aop]],Data[],M$1)/Jedinica,"")</f>
        <v>49013369</v>
      </c>
      <c r="N14" s="38">
        <f>IF(VLOOKUP(N$2&amp;Balance_Sheet[[#This Row],[Aop]],Data[],1)=N$2&amp;Balance_Sheet[[#This Row],[Aop]],VLOOKUP(N$2&amp;Balance_Sheet[[#This Row],[Aop]],Data[],N$1)/Jedinica,"")</f>
        <v>0</v>
      </c>
      <c r="O14" s="38">
        <f>IF(VLOOKUP(O$2&amp;Balance_Sheet[[#This Row],[Aop]],Data[],1)=O$2&amp;Balance_Sheet[[#This Row],[Aop]],VLOOKUP(O$2&amp;Balance_Sheet[[#This Row],[Aop]],Data[],O$1)/Jedinica,"")</f>
        <v>49013369</v>
      </c>
      <c r="P14" s="38">
        <f>IF(VLOOKUP(P$2&amp;Balance_Sheet[[#This Row],[Aop]],Data[],1)=P$2&amp;Balance_Sheet[[#This Row],[Aop]],VLOOKUP(P$2&amp;Balance_Sheet[[#This Row],[Aop]],Data[],P$1)/Jedinica,"")</f>
        <v>39798501</v>
      </c>
      <c r="Q14" s="38">
        <f>IF(VLOOKUP(Q$2&amp;Balance_Sheet[[#This Row],[Aop]],Data[],1)=Q$2&amp;Balance_Sheet[[#This Row],[Aop]],VLOOKUP(Q$2&amp;Balance_Sheet[[#This Row],[Aop]],Data[],Q$1)/Jedinica,"")</f>
        <v>16335426</v>
      </c>
      <c r="R14" s="38">
        <f>IF(VLOOKUP(R$2&amp;Balance_Sheet[[#This Row],[Aop]],Data[],1)=R$2&amp;Balance_Sheet[[#This Row],[Aop]],VLOOKUP(R$2&amp;Balance_Sheet[[#This Row],[Aop]],Data[],R$1)/Jedinica,"")</f>
        <v>0</v>
      </c>
      <c r="S14" s="38">
        <f>IF(VLOOKUP(S$2&amp;Balance_Sheet[[#This Row],[Aop]],Data[],1)=S$2&amp;Balance_Sheet[[#This Row],[Aop]],VLOOKUP(S$2&amp;Balance_Sheet[[#This Row],[Aop]],Data[],S$1)/Jedinica,"")</f>
        <v>16335426</v>
      </c>
      <c r="T14" s="38">
        <f>IF(VLOOKUP(T$2&amp;Balance_Sheet[[#This Row],[Aop]],Data[],1)=T$2&amp;Balance_Sheet[[#This Row],[Aop]],VLOOKUP(T$2&amp;Balance_Sheet[[#This Row],[Aop]],Data[],T$1)/Jedinica,"")</f>
        <v>11085555</v>
      </c>
      <c r="U14" s="38">
        <f>IF(VLOOKUP(U$2&amp;Balance_Sheet[[#This Row],[Aop]],Data[],1)=U$2&amp;Balance_Sheet[[#This Row],[Aop]],VLOOKUP(U$2&amp;Balance_Sheet[[#This Row],[Aop]],Data[],U$1)/Jedinica,"")</f>
        <v>64126612</v>
      </c>
      <c r="V14" s="38">
        <f>IF(VLOOKUP(V$2&amp;Balance_Sheet[[#This Row],[Aop]],Data[],1)=V$2&amp;Balance_Sheet[[#This Row],[Aop]],VLOOKUP(V$2&amp;Balance_Sheet[[#This Row],[Aop]],Data[],V$1)/Jedinica,"")</f>
        <v>0</v>
      </c>
      <c r="W14" s="38">
        <f>IF(VLOOKUP(W$2&amp;Balance_Sheet[[#This Row],[Aop]],Data[],1)=W$2&amp;Balance_Sheet[[#This Row],[Aop]],VLOOKUP(W$2&amp;Balance_Sheet[[#This Row],[Aop]],Data[],W$1)/Jedinica,"")</f>
        <v>64126612</v>
      </c>
      <c r="X14" s="38">
        <f>IF(VLOOKUP(X$2&amp;Balance_Sheet[[#This Row],[Aop]],Data[],1)=X$2&amp;Balance_Sheet[[#This Row],[Aop]],VLOOKUP(X$2&amp;Balance_Sheet[[#This Row],[Aop]],Data[],X$1)/Jedinica,"")</f>
        <v>71423953</v>
      </c>
      <c r="Y14" s="38">
        <f>IF(VLOOKUP(Y$2&amp;Balance_Sheet[[#This Row],[Aop]],Data[],1)=Y$2&amp;Balance_Sheet[[#This Row],[Aop]],VLOOKUP(Y$2&amp;Balance_Sheet[[#This Row],[Aop]],Data[],Y$1)/Jedinica,"")</f>
        <v>16335426</v>
      </c>
      <c r="Z14" s="38">
        <f>IF(VLOOKUP(Z$2&amp;Balance_Sheet[[#This Row],[Aop]],Data[],1)=Z$2&amp;Balance_Sheet[[#This Row],[Aop]],VLOOKUP(Z$2&amp;Balance_Sheet[[#This Row],[Aop]],Data[],Z$1)/Jedinica,"")</f>
        <v>0</v>
      </c>
      <c r="AA14" s="38">
        <f>IF(VLOOKUP(AA$2&amp;Balance_Sheet[[#This Row],[Aop]],Data[],1)=AA$2&amp;Balance_Sheet[[#This Row],[Aop]],VLOOKUP(AA$2&amp;Balance_Sheet[[#This Row],[Aop]],Data[],AA$1)/Jedinica,"")</f>
        <v>16335426</v>
      </c>
      <c r="AB14" s="38">
        <f>IF(VLOOKUP(AB$2&amp;Balance_Sheet[[#This Row],[Aop]],Data[],1)=AB$2&amp;Balance_Sheet[[#This Row],[Aop]],VLOOKUP(AB$2&amp;Balance_Sheet[[#This Row],[Aop]],Data[],AB$1)/Jedinica,"")</f>
        <v>11085555</v>
      </c>
      <c r="AC14" s="38">
        <f>IF(VLOOKUP(AC$2&amp;Balance_Sheet[[#This Row],[Aop]],Data[],1)=AC$2&amp;Balance_Sheet[[#This Row],[Aop]],VLOOKUP(AC$2&amp;Balance_Sheet[[#This Row],[Aop]],Data[],AC$1)/Jedinica,"")</f>
        <v>178776078</v>
      </c>
      <c r="AD14" s="38">
        <f>IF(VLOOKUP(AD$2&amp;Balance_Sheet[[#This Row],[Aop]],Data[],1)=AD$2&amp;Balance_Sheet[[#This Row],[Aop]],VLOOKUP(AD$2&amp;Balance_Sheet[[#This Row],[Aop]],Data[],AD$1)/Jedinica,"")</f>
        <v>0</v>
      </c>
      <c r="AE14" s="38">
        <f>IF(VLOOKUP(AE$2&amp;Balance_Sheet[[#This Row],[Aop]],Data[],1)=AE$2&amp;Balance_Sheet[[#This Row],[Aop]],VLOOKUP(AE$2&amp;Balance_Sheet[[#This Row],[Aop]],Data[],AE$1)/Jedinica,"")</f>
        <v>178776078</v>
      </c>
      <c r="AF14" s="38">
        <f>IF(VLOOKUP(AF$2&amp;Balance_Sheet[[#This Row],[Aop]],Data[],1)=AF$2&amp;Balance_Sheet[[#This Row],[Aop]],VLOOKUP(AF$2&amp;Balance_Sheet[[#This Row],[Aop]],Data[],AF$1)/Jedinica,"")</f>
        <v>285443943</v>
      </c>
    </row>
    <row r="15" spans="1:32" ht="12.75" customHeight="1" x14ac:dyDescent="0.2">
      <c r="A15" s="74">
        <v>10</v>
      </c>
      <c r="B15" s="75">
        <v>3</v>
      </c>
      <c r="C15" s="76" t="str">
        <f>VLOOKUP(Balance_Sheet[[#This Row],[No]],AOP_Balance,3,0)</f>
        <v>009</v>
      </c>
      <c r="D15" s="52" t="str">
        <f>VLOOKUP(Balance_Sheet[[#This Row],[No]],AOP_Balance,7,0)</f>
        <v xml:space="preserve">      a) Depoziti i krediti u domaćoj valuti</v>
      </c>
      <c r="E15" s="38">
        <f>IF(VLOOKUP(E$2&amp;Balance_Sheet[[#This Row],[Aop]],Data[],1)=E$2&amp;Balance_Sheet[[#This Row],[Aop]],VLOOKUP(E$2&amp;Balance_Sheet[[#This Row],[Aop]],Data[],E$1)/Jedinica,"")</f>
        <v>27169823</v>
      </c>
      <c r="F15" s="38">
        <f>IF(VLOOKUP(F$2&amp;Balance_Sheet[[#This Row],[Aop]],Data[],1)=F$2&amp;Balance_Sheet[[#This Row],[Aop]],VLOOKUP(F$2&amp;Balance_Sheet[[#This Row],[Aop]],Data[],F$1)/Jedinica,"")</f>
        <v>0</v>
      </c>
      <c r="G15" s="38">
        <f>IF(VLOOKUP(G$2&amp;Balance_Sheet[[#This Row],[Aop]],Data[],1)=G$2&amp;Balance_Sheet[[#This Row],[Aop]],VLOOKUP(G$2&amp;Balance_Sheet[[#This Row],[Aop]],Data[],G$1)/Jedinica,"")</f>
        <v>27169823</v>
      </c>
      <c r="H15" s="38">
        <f>IF(VLOOKUP(H$2&amp;Balance_Sheet[[#This Row],[Aop]],Data[],1)=H$2&amp;Balance_Sheet[[#This Row],[Aop]],VLOOKUP(H$2&amp;Balance_Sheet[[#This Row],[Aop]],Data[],H$1)/Jedinica,"")</f>
        <v>19201457</v>
      </c>
      <c r="I15" s="38">
        <f>IF(VLOOKUP(I$2&amp;Balance_Sheet[[#This Row],[Aop]],Data[],1)=I$2&amp;Balance_Sheet[[#This Row],[Aop]],VLOOKUP(I$2&amp;Balance_Sheet[[#This Row],[Aop]],Data[],I$1)/Jedinica,"")</f>
        <v>27639533</v>
      </c>
      <c r="J15" s="38">
        <f>IF(VLOOKUP(J$2&amp;Balance_Sheet[[#This Row],[Aop]],Data[],1)=J$2&amp;Balance_Sheet[[#This Row],[Aop]],VLOOKUP(J$2&amp;Balance_Sheet[[#This Row],[Aop]],Data[],J$1)/Jedinica,"")</f>
        <v>0</v>
      </c>
      <c r="K15" s="38">
        <f>IF(VLOOKUP(K$2&amp;Balance_Sheet[[#This Row],[Aop]],Data[],1)=K$2&amp;Balance_Sheet[[#This Row],[Aop]],VLOOKUP(K$2&amp;Balance_Sheet[[#This Row],[Aop]],Data[],K$1)/Jedinica,"")</f>
        <v>27639533</v>
      </c>
      <c r="L15" s="38">
        <f>IF(VLOOKUP(L$2&amp;Balance_Sheet[[#This Row],[Aop]],Data[],1)=L$2&amp;Balance_Sheet[[#This Row],[Aop]],VLOOKUP(L$2&amp;Balance_Sheet[[#This Row],[Aop]],Data[],L$1)/Jedinica,"")</f>
        <v>13838617</v>
      </c>
      <c r="M15" s="38">
        <f>IF(VLOOKUP(M$2&amp;Balance_Sheet[[#This Row],[Aop]],Data[],1)=M$2&amp;Balance_Sheet[[#This Row],[Aop]],VLOOKUP(M$2&amp;Balance_Sheet[[#This Row],[Aop]],Data[],M$1)/Jedinica,"")</f>
        <v>49013369</v>
      </c>
      <c r="N15" s="38">
        <f>IF(VLOOKUP(N$2&amp;Balance_Sheet[[#This Row],[Aop]],Data[],1)=N$2&amp;Balance_Sheet[[#This Row],[Aop]],VLOOKUP(N$2&amp;Balance_Sheet[[#This Row],[Aop]],Data[],N$1)/Jedinica,"")</f>
        <v>0</v>
      </c>
      <c r="O15" s="38">
        <f>IF(VLOOKUP(O$2&amp;Balance_Sheet[[#This Row],[Aop]],Data[],1)=O$2&amp;Balance_Sheet[[#This Row],[Aop]],VLOOKUP(O$2&amp;Balance_Sheet[[#This Row],[Aop]],Data[],O$1)/Jedinica,"")</f>
        <v>49013369</v>
      </c>
      <c r="P15" s="38">
        <f>IF(VLOOKUP(P$2&amp;Balance_Sheet[[#This Row],[Aop]],Data[],1)=P$2&amp;Balance_Sheet[[#This Row],[Aop]],VLOOKUP(P$2&amp;Balance_Sheet[[#This Row],[Aop]],Data[],P$1)/Jedinica,"")</f>
        <v>39798501</v>
      </c>
      <c r="Q15" s="38">
        <f>IF(VLOOKUP(Q$2&amp;Balance_Sheet[[#This Row],[Aop]],Data[],1)=Q$2&amp;Balance_Sheet[[#This Row],[Aop]],VLOOKUP(Q$2&amp;Balance_Sheet[[#This Row],[Aop]],Data[],Q$1)/Jedinica,"")</f>
        <v>16335426</v>
      </c>
      <c r="R15" s="38">
        <f>IF(VLOOKUP(R$2&amp;Balance_Sheet[[#This Row],[Aop]],Data[],1)=R$2&amp;Balance_Sheet[[#This Row],[Aop]],VLOOKUP(R$2&amp;Balance_Sheet[[#This Row],[Aop]],Data[],R$1)/Jedinica,"")</f>
        <v>0</v>
      </c>
      <c r="S15" s="38">
        <f>IF(VLOOKUP(S$2&amp;Balance_Sheet[[#This Row],[Aop]],Data[],1)=S$2&amp;Balance_Sheet[[#This Row],[Aop]],VLOOKUP(S$2&amp;Balance_Sheet[[#This Row],[Aop]],Data[],S$1)/Jedinica,"")</f>
        <v>16335426</v>
      </c>
      <c r="T15" s="38">
        <f>IF(VLOOKUP(T$2&amp;Balance_Sheet[[#This Row],[Aop]],Data[],1)=T$2&amp;Balance_Sheet[[#This Row],[Aop]],VLOOKUP(T$2&amp;Balance_Sheet[[#This Row],[Aop]],Data[],T$1)/Jedinica,"")</f>
        <v>11085555</v>
      </c>
      <c r="U15" s="38">
        <f>IF(VLOOKUP(U$2&amp;Balance_Sheet[[#This Row],[Aop]],Data[],1)=U$2&amp;Balance_Sheet[[#This Row],[Aop]],VLOOKUP(U$2&amp;Balance_Sheet[[#This Row],[Aop]],Data[],U$1)/Jedinica,"")</f>
        <v>64126612</v>
      </c>
      <c r="V15" s="38">
        <f>IF(VLOOKUP(V$2&amp;Balance_Sheet[[#This Row],[Aop]],Data[],1)=V$2&amp;Balance_Sheet[[#This Row],[Aop]],VLOOKUP(V$2&amp;Balance_Sheet[[#This Row],[Aop]],Data[],V$1)/Jedinica,"")</f>
        <v>0</v>
      </c>
      <c r="W15" s="38">
        <f>IF(VLOOKUP(W$2&amp;Balance_Sheet[[#This Row],[Aop]],Data[],1)=W$2&amp;Balance_Sheet[[#This Row],[Aop]],VLOOKUP(W$2&amp;Balance_Sheet[[#This Row],[Aop]],Data[],W$1)/Jedinica,"")</f>
        <v>64126612</v>
      </c>
      <c r="X15" s="38">
        <f>IF(VLOOKUP(X$2&amp;Balance_Sheet[[#This Row],[Aop]],Data[],1)=X$2&amp;Balance_Sheet[[#This Row],[Aop]],VLOOKUP(X$2&amp;Balance_Sheet[[#This Row],[Aop]],Data[],X$1)/Jedinica,"")</f>
        <v>71423953</v>
      </c>
      <c r="Y15" s="38">
        <f>IF(VLOOKUP(Y$2&amp;Balance_Sheet[[#This Row],[Aop]],Data[],1)=Y$2&amp;Balance_Sheet[[#This Row],[Aop]],VLOOKUP(Y$2&amp;Balance_Sheet[[#This Row],[Aop]],Data[],Y$1)/Jedinica,"")</f>
        <v>16335426</v>
      </c>
      <c r="Z15" s="38">
        <f>IF(VLOOKUP(Z$2&amp;Balance_Sheet[[#This Row],[Aop]],Data[],1)=Z$2&amp;Balance_Sheet[[#This Row],[Aop]],VLOOKUP(Z$2&amp;Balance_Sheet[[#This Row],[Aop]],Data[],Z$1)/Jedinica,"")</f>
        <v>0</v>
      </c>
      <c r="AA15" s="38">
        <f>IF(VLOOKUP(AA$2&amp;Balance_Sheet[[#This Row],[Aop]],Data[],1)=AA$2&amp;Balance_Sheet[[#This Row],[Aop]],VLOOKUP(AA$2&amp;Balance_Sheet[[#This Row],[Aop]],Data[],AA$1)/Jedinica,"")</f>
        <v>16335426</v>
      </c>
      <c r="AB15" s="38">
        <f>IF(VLOOKUP(AB$2&amp;Balance_Sheet[[#This Row],[Aop]],Data[],1)=AB$2&amp;Balance_Sheet[[#This Row],[Aop]],VLOOKUP(AB$2&amp;Balance_Sheet[[#This Row],[Aop]],Data[],AB$1)/Jedinica,"")</f>
        <v>11085555</v>
      </c>
      <c r="AC15" s="38">
        <f>IF(VLOOKUP(AC$2&amp;Balance_Sheet[[#This Row],[Aop]],Data[],1)=AC$2&amp;Balance_Sheet[[#This Row],[Aop]],VLOOKUP(AC$2&amp;Balance_Sheet[[#This Row],[Aop]],Data[],AC$1)/Jedinica,"")</f>
        <v>178776078</v>
      </c>
      <c r="AD15" s="38">
        <f>IF(VLOOKUP(AD$2&amp;Balance_Sheet[[#This Row],[Aop]],Data[],1)=AD$2&amp;Balance_Sheet[[#This Row],[Aop]],VLOOKUP(AD$2&amp;Balance_Sheet[[#This Row],[Aop]],Data[],AD$1)/Jedinica,"")</f>
        <v>0</v>
      </c>
      <c r="AE15" s="38">
        <f>IF(VLOOKUP(AE$2&amp;Balance_Sheet[[#This Row],[Aop]],Data[],1)=AE$2&amp;Balance_Sheet[[#This Row],[Aop]],VLOOKUP(AE$2&amp;Balance_Sheet[[#This Row],[Aop]],Data[],AE$1)/Jedinica,"")</f>
        <v>178776078</v>
      </c>
      <c r="AF15" s="38">
        <f>IF(VLOOKUP(AF$2&amp;Balance_Sheet[[#This Row],[Aop]],Data[],1)=AF$2&amp;Balance_Sheet[[#This Row],[Aop]],VLOOKUP(AF$2&amp;Balance_Sheet[[#This Row],[Aop]],Data[],AF$1)/Jedinica,"")</f>
        <v>285443943</v>
      </c>
    </row>
    <row r="16" spans="1:32" ht="12.75" customHeight="1" x14ac:dyDescent="0.2">
      <c r="A16" s="74">
        <v>11</v>
      </c>
      <c r="B16" s="75">
        <v>3</v>
      </c>
      <c r="C16" s="76" t="str">
        <f>VLOOKUP(Balance_Sheet[[#This Row],[No]],AOP_Balance,3,0)</f>
        <v>010</v>
      </c>
      <c r="D16" s="52" t="str">
        <f>VLOOKUP(Balance_Sheet[[#This Row],[No]],AOP_Balance,7,0)</f>
        <v xml:space="preserve">      b) Depoziti i krediti u stranoj valuti</v>
      </c>
      <c r="E16" s="38" t="str">
        <f>IF(VLOOKUP(E$2&amp;Balance_Sheet[[#This Row],[Aop]],Data[],1)=E$2&amp;Balance_Sheet[[#This Row],[Aop]],VLOOKUP(E$2&amp;Balance_Sheet[[#This Row],[Aop]],Data[],E$1)/Jedinica,"")</f>
        <v/>
      </c>
      <c r="F16" s="38" t="str">
        <f>IF(VLOOKUP(F$2&amp;Balance_Sheet[[#This Row],[Aop]],Data[],1)=F$2&amp;Balance_Sheet[[#This Row],[Aop]],VLOOKUP(F$2&amp;Balance_Sheet[[#This Row],[Aop]],Data[],F$1)/Jedinica,"")</f>
        <v/>
      </c>
      <c r="G16" s="38" t="str">
        <f>IF(VLOOKUP(G$2&amp;Balance_Sheet[[#This Row],[Aop]],Data[],1)=G$2&amp;Balance_Sheet[[#This Row],[Aop]],VLOOKUP(G$2&amp;Balance_Sheet[[#This Row],[Aop]],Data[],G$1)/Jedinica,"")</f>
        <v/>
      </c>
      <c r="H16" s="38" t="str">
        <f>IF(VLOOKUP(H$2&amp;Balance_Sheet[[#This Row],[Aop]],Data[],1)=H$2&amp;Balance_Sheet[[#This Row],[Aop]],VLOOKUP(H$2&amp;Balance_Sheet[[#This Row],[Aop]],Data[],H$1)/Jedinica,"")</f>
        <v/>
      </c>
      <c r="I16" s="38" t="str">
        <f>IF(VLOOKUP(I$2&amp;Balance_Sheet[[#This Row],[Aop]],Data[],1)=I$2&amp;Balance_Sheet[[#This Row],[Aop]],VLOOKUP(I$2&amp;Balance_Sheet[[#This Row],[Aop]],Data[],I$1)/Jedinica,"")</f>
        <v/>
      </c>
      <c r="J16" s="38" t="str">
        <f>IF(VLOOKUP(J$2&amp;Balance_Sheet[[#This Row],[Aop]],Data[],1)=J$2&amp;Balance_Sheet[[#This Row],[Aop]],VLOOKUP(J$2&amp;Balance_Sheet[[#This Row],[Aop]],Data[],J$1)/Jedinica,"")</f>
        <v/>
      </c>
      <c r="K16" s="38" t="str">
        <f>IF(VLOOKUP(K$2&amp;Balance_Sheet[[#This Row],[Aop]],Data[],1)=K$2&amp;Balance_Sheet[[#This Row],[Aop]],VLOOKUP(K$2&amp;Balance_Sheet[[#This Row],[Aop]],Data[],K$1)/Jedinica,"")</f>
        <v/>
      </c>
      <c r="L16" s="38" t="str">
        <f>IF(VLOOKUP(L$2&amp;Balance_Sheet[[#This Row],[Aop]],Data[],1)=L$2&amp;Balance_Sheet[[#This Row],[Aop]],VLOOKUP(L$2&amp;Balance_Sheet[[#This Row],[Aop]],Data[],L$1)/Jedinica,"")</f>
        <v/>
      </c>
      <c r="M16" s="38" t="str">
        <f>IF(VLOOKUP(M$2&amp;Balance_Sheet[[#This Row],[Aop]],Data[],1)=M$2&amp;Balance_Sheet[[#This Row],[Aop]],VLOOKUP(M$2&amp;Balance_Sheet[[#This Row],[Aop]],Data[],M$1)/Jedinica,"")</f>
        <v/>
      </c>
      <c r="N16" s="38" t="str">
        <f>IF(VLOOKUP(N$2&amp;Balance_Sheet[[#This Row],[Aop]],Data[],1)=N$2&amp;Balance_Sheet[[#This Row],[Aop]],VLOOKUP(N$2&amp;Balance_Sheet[[#This Row],[Aop]],Data[],N$1)/Jedinica,"")</f>
        <v/>
      </c>
      <c r="O16" s="38" t="str">
        <f>IF(VLOOKUP(O$2&amp;Balance_Sheet[[#This Row],[Aop]],Data[],1)=O$2&amp;Balance_Sheet[[#This Row],[Aop]],VLOOKUP(O$2&amp;Balance_Sheet[[#This Row],[Aop]],Data[],O$1)/Jedinica,"")</f>
        <v/>
      </c>
      <c r="P16" s="38" t="str">
        <f>IF(VLOOKUP(P$2&amp;Balance_Sheet[[#This Row],[Aop]],Data[],1)=P$2&amp;Balance_Sheet[[#This Row],[Aop]],VLOOKUP(P$2&amp;Balance_Sheet[[#This Row],[Aop]],Data[],P$1)/Jedinica,"")</f>
        <v/>
      </c>
      <c r="Q16" s="38" t="str">
        <f>IF(VLOOKUP(Q$2&amp;Balance_Sheet[[#This Row],[Aop]],Data[],1)=Q$2&amp;Balance_Sheet[[#This Row],[Aop]],VLOOKUP(Q$2&amp;Balance_Sheet[[#This Row],[Aop]],Data[],Q$1)/Jedinica,"")</f>
        <v/>
      </c>
      <c r="R16" s="38" t="str">
        <f>IF(VLOOKUP(R$2&amp;Balance_Sheet[[#This Row],[Aop]],Data[],1)=R$2&amp;Balance_Sheet[[#This Row],[Aop]],VLOOKUP(R$2&amp;Balance_Sheet[[#This Row],[Aop]],Data[],R$1)/Jedinica,"")</f>
        <v/>
      </c>
      <c r="S16" s="38" t="str">
        <f>IF(VLOOKUP(S$2&amp;Balance_Sheet[[#This Row],[Aop]],Data[],1)=S$2&amp;Balance_Sheet[[#This Row],[Aop]],VLOOKUP(S$2&amp;Balance_Sheet[[#This Row],[Aop]],Data[],S$1)/Jedinica,"")</f>
        <v/>
      </c>
      <c r="T16" s="38" t="str">
        <f>IF(VLOOKUP(T$2&amp;Balance_Sheet[[#This Row],[Aop]],Data[],1)=T$2&amp;Balance_Sheet[[#This Row],[Aop]],VLOOKUP(T$2&amp;Balance_Sheet[[#This Row],[Aop]],Data[],T$1)/Jedinica,"")</f>
        <v/>
      </c>
      <c r="U16" s="38" t="str">
        <f>IF(VLOOKUP(U$2&amp;Balance_Sheet[[#This Row],[Aop]],Data[],1)=U$2&amp;Balance_Sheet[[#This Row],[Aop]],VLOOKUP(U$2&amp;Balance_Sheet[[#This Row],[Aop]],Data[],U$1)/Jedinica,"")</f>
        <v/>
      </c>
      <c r="V16" s="38" t="str">
        <f>IF(VLOOKUP(V$2&amp;Balance_Sheet[[#This Row],[Aop]],Data[],1)=V$2&amp;Balance_Sheet[[#This Row],[Aop]],VLOOKUP(V$2&amp;Balance_Sheet[[#This Row],[Aop]],Data[],V$1)/Jedinica,"")</f>
        <v/>
      </c>
      <c r="W16" s="38" t="str">
        <f>IF(VLOOKUP(W$2&amp;Balance_Sheet[[#This Row],[Aop]],Data[],1)=W$2&amp;Balance_Sheet[[#This Row],[Aop]],VLOOKUP(W$2&amp;Balance_Sheet[[#This Row],[Aop]],Data[],W$1)/Jedinica,"")</f>
        <v/>
      </c>
      <c r="X16" s="38" t="str">
        <f>IF(VLOOKUP(X$2&amp;Balance_Sheet[[#This Row],[Aop]],Data[],1)=X$2&amp;Balance_Sheet[[#This Row],[Aop]],VLOOKUP(X$2&amp;Balance_Sheet[[#This Row],[Aop]],Data[],X$1)/Jedinica,"")</f>
        <v/>
      </c>
      <c r="Y16" s="38" t="str">
        <f>IF(VLOOKUP(Y$2&amp;Balance_Sheet[[#This Row],[Aop]],Data[],1)=Y$2&amp;Balance_Sheet[[#This Row],[Aop]],VLOOKUP(Y$2&amp;Balance_Sheet[[#This Row],[Aop]],Data[],Y$1)/Jedinica,"")</f>
        <v/>
      </c>
      <c r="Z16" s="38" t="str">
        <f>IF(VLOOKUP(Z$2&amp;Balance_Sheet[[#This Row],[Aop]],Data[],1)=Z$2&amp;Balance_Sheet[[#This Row],[Aop]],VLOOKUP(Z$2&amp;Balance_Sheet[[#This Row],[Aop]],Data[],Z$1)/Jedinica,"")</f>
        <v/>
      </c>
      <c r="AA16" s="38" t="str">
        <f>IF(VLOOKUP(AA$2&amp;Balance_Sheet[[#This Row],[Aop]],Data[],1)=AA$2&amp;Balance_Sheet[[#This Row],[Aop]],VLOOKUP(AA$2&amp;Balance_Sheet[[#This Row],[Aop]],Data[],AA$1)/Jedinica,"")</f>
        <v/>
      </c>
      <c r="AB16" s="38" t="str">
        <f>IF(VLOOKUP(AB$2&amp;Balance_Sheet[[#This Row],[Aop]],Data[],1)=AB$2&amp;Balance_Sheet[[#This Row],[Aop]],VLOOKUP(AB$2&amp;Balance_Sheet[[#This Row],[Aop]],Data[],AB$1)/Jedinica,"")</f>
        <v/>
      </c>
      <c r="AC16" s="38" t="str">
        <f>IF(VLOOKUP(AC$2&amp;Balance_Sheet[[#This Row],[Aop]],Data[],1)=AC$2&amp;Balance_Sheet[[#This Row],[Aop]],VLOOKUP(AC$2&amp;Balance_Sheet[[#This Row],[Aop]],Data[],AC$1)/Jedinica,"")</f>
        <v/>
      </c>
      <c r="AD16" s="38" t="str">
        <f>IF(VLOOKUP(AD$2&amp;Balance_Sheet[[#This Row],[Aop]],Data[],1)=AD$2&amp;Balance_Sheet[[#This Row],[Aop]],VLOOKUP(AD$2&amp;Balance_Sheet[[#This Row],[Aop]],Data[],AD$1)/Jedinica,"")</f>
        <v/>
      </c>
      <c r="AE16" s="38" t="str">
        <f>IF(VLOOKUP(AE$2&amp;Balance_Sheet[[#This Row],[Aop]],Data[],1)=AE$2&amp;Balance_Sheet[[#This Row],[Aop]],VLOOKUP(AE$2&amp;Balance_Sheet[[#This Row],[Aop]],Data[],AE$1)/Jedinica,"")</f>
        <v/>
      </c>
      <c r="AF16" s="38" t="str">
        <f>IF(VLOOKUP(AF$2&amp;Balance_Sheet[[#This Row],[Aop]],Data[],1)=AF$2&amp;Balance_Sheet[[#This Row],[Aop]],VLOOKUP(AF$2&amp;Balance_Sheet[[#This Row],[Aop]],Data[],AF$1)/Jedinica,"")</f>
        <v/>
      </c>
    </row>
    <row r="17" spans="1:32" ht="25.5" customHeight="1" x14ac:dyDescent="0.2">
      <c r="A17" s="74">
        <v>12</v>
      </c>
      <c r="B17" s="75">
        <v>2</v>
      </c>
      <c r="C17" s="76" t="str">
        <f>VLOOKUP(Balance_Sheet[[#This Row],[No]],AOP_Balance,3,0)</f>
        <v>011</v>
      </c>
      <c r="D17" s="52" t="str">
        <f>VLOOKUP(Balance_Sheet[[#This Row],[No]],AOP_Balance,7,0)</f>
        <v xml:space="preserve">    3. Potraživanja za kamatu i naknadu, potraživanja po osnovu prodaje i druga potraživanja (012 + 013)</v>
      </c>
      <c r="E17" s="38">
        <f>IF(VLOOKUP(E$2&amp;Balance_Sheet[[#This Row],[Aop]],Data[],1)=E$2&amp;Balance_Sheet[[#This Row],[Aop]],VLOOKUP(E$2&amp;Balance_Sheet[[#This Row],[Aop]],Data[],E$1)/Jedinica,"")</f>
        <v>15171195</v>
      </c>
      <c r="F17" s="38">
        <f>IF(VLOOKUP(F$2&amp;Balance_Sheet[[#This Row],[Aop]],Data[],1)=F$2&amp;Balance_Sheet[[#This Row],[Aop]],VLOOKUP(F$2&amp;Balance_Sheet[[#This Row],[Aop]],Data[],F$1)/Jedinica,"")</f>
        <v>2252571</v>
      </c>
      <c r="G17" s="38">
        <f>IF(VLOOKUP(G$2&amp;Balance_Sheet[[#This Row],[Aop]],Data[],1)=G$2&amp;Balance_Sheet[[#This Row],[Aop]],VLOOKUP(G$2&amp;Balance_Sheet[[#This Row],[Aop]],Data[],G$1)/Jedinica,"")</f>
        <v>12918624</v>
      </c>
      <c r="H17" s="38">
        <f>IF(VLOOKUP(H$2&amp;Balance_Sheet[[#This Row],[Aop]],Data[],1)=H$2&amp;Balance_Sheet[[#This Row],[Aop]],VLOOKUP(H$2&amp;Balance_Sheet[[#This Row],[Aop]],Data[],H$1)/Jedinica,"")</f>
        <v>11763047</v>
      </c>
      <c r="I17" s="38">
        <f>IF(VLOOKUP(I$2&amp;Balance_Sheet[[#This Row],[Aop]],Data[],1)=I$2&amp;Balance_Sheet[[#This Row],[Aop]],VLOOKUP(I$2&amp;Balance_Sheet[[#This Row],[Aop]],Data[],I$1)/Jedinica,"")</f>
        <v>6104810</v>
      </c>
      <c r="J17" s="38">
        <f>IF(VLOOKUP(J$2&amp;Balance_Sheet[[#This Row],[Aop]],Data[],1)=J$2&amp;Balance_Sheet[[#This Row],[Aop]],VLOOKUP(J$2&amp;Balance_Sheet[[#This Row],[Aop]],Data[],J$1)/Jedinica,"")</f>
        <v>2327744</v>
      </c>
      <c r="K17" s="38">
        <f>IF(VLOOKUP(K$2&amp;Balance_Sheet[[#This Row],[Aop]],Data[],1)=K$2&amp;Balance_Sheet[[#This Row],[Aop]],VLOOKUP(K$2&amp;Balance_Sheet[[#This Row],[Aop]],Data[],K$1)/Jedinica,"")</f>
        <v>3777066</v>
      </c>
      <c r="L17" s="38">
        <f>IF(VLOOKUP(L$2&amp;Balance_Sheet[[#This Row],[Aop]],Data[],1)=L$2&amp;Balance_Sheet[[#This Row],[Aop]],VLOOKUP(L$2&amp;Balance_Sheet[[#This Row],[Aop]],Data[],L$1)/Jedinica,"")</f>
        <v>2715020</v>
      </c>
      <c r="M17" s="38">
        <f>IF(VLOOKUP(M$2&amp;Balance_Sheet[[#This Row],[Aop]],Data[],1)=M$2&amp;Balance_Sheet[[#This Row],[Aop]],VLOOKUP(M$2&amp;Balance_Sheet[[#This Row],[Aop]],Data[],M$1)/Jedinica,"")</f>
        <v>2918625</v>
      </c>
      <c r="N17" s="38">
        <f>IF(VLOOKUP(N$2&amp;Balance_Sheet[[#This Row],[Aop]],Data[],1)=N$2&amp;Balance_Sheet[[#This Row],[Aop]],VLOOKUP(N$2&amp;Balance_Sheet[[#This Row],[Aop]],Data[],N$1)/Jedinica,"")</f>
        <v>995427</v>
      </c>
      <c r="O17" s="38">
        <f>IF(VLOOKUP(O$2&amp;Balance_Sheet[[#This Row],[Aop]],Data[],1)=O$2&amp;Balance_Sheet[[#This Row],[Aop]],VLOOKUP(O$2&amp;Balance_Sheet[[#This Row],[Aop]],Data[],O$1)/Jedinica,"")</f>
        <v>1923198</v>
      </c>
      <c r="P17" s="38">
        <f>IF(VLOOKUP(P$2&amp;Balance_Sheet[[#This Row],[Aop]],Data[],1)=P$2&amp;Balance_Sheet[[#This Row],[Aop]],VLOOKUP(P$2&amp;Balance_Sheet[[#This Row],[Aop]],Data[],P$1)/Jedinica,"")</f>
        <v>1667724</v>
      </c>
      <c r="Q17" s="38">
        <f>IF(VLOOKUP(Q$2&amp;Balance_Sheet[[#This Row],[Aop]],Data[],1)=Q$2&amp;Balance_Sheet[[#This Row],[Aop]],VLOOKUP(Q$2&amp;Balance_Sheet[[#This Row],[Aop]],Data[],Q$1)/Jedinica,"")</f>
        <v>476821</v>
      </c>
      <c r="R17" s="38">
        <f>IF(VLOOKUP(R$2&amp;Balance_Sheet[[#This Row],[Aop]],Data[],1)=R$2&amp;Balance_Sheet[[#This Row],[Aop]],VLOOKUP(R$2&amp;Balance_Sheet[[#This Row],[Aop]],Data[],R$1)/Jedinica,"")</f>
        <v>71887</v>
      </c>
      <c r="S17" s="38">
        <f>IF(VLOOKUP(S$2&amp;Balance_Sheet[[#This Row],[Aop]],Data[],1)=S$2&amp;Balance_Sheet[[#This Row],[Aop]],VLOOKUP(S$2&amp;Balance_Sheet[[#This Row],[Aop]],Data[],S$1)/Jedinica,"")</f>
        <v>404934</v>
      </c>
      <c r="T17" s="38">
        <f>IF(VLOOKUP(T$2&amp;Balance_Sheet[[#This Row],[Aop]],Data[],1)=T$2&amp;Balance_Sheet[[#This Row],[Aop]],VLOOKUP(T$2&amp;Balance_Sheet[[#This Row],[Aop]],Data[],T$1)/Jedinica,"")</f>
        <v>233443</v>
      </c>
      <c r="U17" s="38">
        <f>IF(VLOOKUP(U$2&amp;Balance_Sheet[[#This Row],[Aop]],Data[],1)=U$2&amp;Balance_Sheet[[#This Row],[Aop]],VLOOKUP(U$2&amp;Balance_Sheet[[#This Row],[Aop]],Data[],U$1)/Jedinica,"")</f>
        <v>6633585</v>
      </c>
      <c r="V17" s="38">
        <f>IF(VLOOKUP(V$2&amp;Balance_Sheet[[#This Row],[Aop]],Data[],1)=V$2&amp;Balance_Sheet[[#This Row],[Aop]],VLOOKUP(V$2&amp;Balance_Sheet[[#This Row],[Aop]],Data[],V$1)/Jedinica,"")</f>
        <v>4422873</v>
      </c>
      <c r="W17" s="38">
        <f>IF(VLOOKUP(W$2&amp;Balance_Sheet[[#This Row],[Aop]],Data[],1)=W$2&amp;Balance_Sheet[[#This Row],[Aop]],VLOOKUP(W$2&amp;Balance_Sheet[[#This Row],[Aop]],Data[],W$1)/Jedinica,"")</f>
        <v>2210712</v>
      </c>
      <c r="X17" s="38">
        <f>IF(VLOOKUP(X$2&amp;Balance_Sheet[[#This Row],[Aop]],Data[],1)=X$2&amp;Balance_Sheet[[#This Row],[Aop]],VLOOKUP(X$2&amp;Balance_Sheet[[#This Row],[Aop]],Data[],X$1)/Jedinica,"")</f>
        <v>2714133</v>
      </c>
      <c r="Y17" s="38">
        <f>IF(VLOOKUP(Y$2&amp;Balance_Sheet[[#This Row],[Aop]],Data[],1)=Y$2&amp;Balance_Sheet[[#This Row],[Aop]],VLOOKUP(Y$2&amp;Balance_Sheet[[#This Row],[Aop]],Data[],Y$1)/Jedinica,"")</f>
        <v>476821</v>
      </c>
      <c r="Z17" s="38">
        <f>IF(VLOOKUP(Z$2&amp;Balance_Sheet[[#This Row],[Aop]],Data[],1)=Z$2&amp;Balance_Sheet[[#This Row],[Aop]],VLOOKUP(Z$2&amp;Balance_Sheet[[#This Row],[Aop]],Data[],Z$1)/Jedinica,"")</f>
        <v>71887</v>
      </c>
      <c r="AA17" s="38">
        <f>IF(VLOOKUP(AA$2&amp;Balance_Sheet[[#This Row],[Aop]],Data[],1)=AA$2&amp;Balance_Sheet[[#This Row],[Aop]],VLOOKUP(AA$2&amp;Balance_Sheet[[#This Row],[Aop]],Data[],AA$1)/Jedinica,"")</f>
        <v>404934</v>
      </c>
      <c r="AB17" s="38">
        <f>IF(VLOOKUP(AB$2&amp;Balance_Sheet[[#This Row],[Aop]],Data[],1)=AB$2&amp;Balance_Sheet[[#This Row],[Aop]],VLOOKUP(AB$2&amp;Balance_Sheet[[#This Row],[Aop]],Data[],AB$1)/Jedinica,"")</f>
        <v>233443</v>
      </c>
      <c r="AC17" s="38">
        <f>IF(VLOOKUP(AC$2&amp;Balance_Sheet[[#This Row],[Aop]],Data[],1)=AC$2&amp;Balance_Sheet[[#This Row],[Aop]],VLOOKUP(AC$2&amp;Balance_Sheet[[#This Row],[Aop]],Data[],AC$1)/Jedinica,"")</f>
        <v>6566920</v>
      </c>
      <c r="AD17" s="38">
        <f>IF(VLOOKUP(AD$2&amp;Balance_Sheet[[#This Row],[Aop]],Data[],1)=AD$2&amp;Balance_Sheet[[#This Row],[Aop]],VLOOKUP(AD$2&amp;Balance_Sheet[[#This Row],[Aop]],Data[],AD$1)/Jedinica,"")</f>
        <v>5067237</v>
      </c>
      <c r="AE17" s="38">
        <f>IF(VLOOKUP(AE$2&amp;Balance_Sheet[[#This Row],[Aop]],Data[],1)=AE$2&amp;Balance_Sheet[[#This Row],[Aop]],VLOOKUP(AE$2&amp;Balance_Sheet[[#This Row],[Aop]],Data[],AE$1)/Jedinica,"")</f>
        <v>1499683</v>
      </c>
      <c r="AF17" s="38">
        <f>IF(VLOOKUP(AF$2&amp;Balance_Sheet[[#This Row],[Aop]],Data[],1)=AF$2&amp;Balance_Sheet[[#This Row],[Aop]],VLOOKUP(AF$2&amp;Balance_Sheet[[#This Row],[Aop]],Data[],AF$1)/Jedinica,"")</f>
        <v>1130550</v>
      </c>
    </row>
    <row r="18" spans="1:32" ht="25.5" customHeight="1" x14ac:dyDescent="0.2">
      <c r="A18" s="74">
        <v>13</v>
      </c>
      <c r="B18" s="75">
        <v>3</v>
      </c>
      <c r="C18" s="76" t="str">
        <f>VLOOKUP(Balance_Sheet[[#This Row],[No]],AOP_Balance,3,0)</f>
        <v>012</v>
      </c>
      <c r="D18" s="52" t="str">
        <f>VLOOKUP(Balance_Sheet[[#This Row],[No]],AOP_Balance,7,0)</f>
        <v xml:space="preserve">      a) Potraživanja za kamatu i naknadu, potraživanja po osnovu prodaje i druga potraživanja u domaćoj valuti</v>
      </c>
      <c r="E18" s="38">
        <f>IF(VLOOKUP(E$2&amp;Balance_Sheet[[#This Row],[Aop]],Data[],1)=E$2&amp;Balance_Sheet[[#This Row],[Aop]],VLOOKUP(E$2&amp;Balance_Sheet[[#This Row],[Aop]],Data[],E$1)/Jedinica,"")</f>
        <v>14935392</v>
      </c>
      <c r="F18" s="38">
        <f>IF(VLOOKUP(F$2&amp;Balance_Sheet[[#This Row],[Aop]],Data[],1)=F$2&amp;Balance_Sheet[[#This Row],[Aop]],VLOOKUP(F$2&amp;Balance_Sheet[[#This Row],[Aop]],Data[],F$1)/Jedinica,"")</f>
        <v>2245715</v>
      </c>
      <c r="G18" s="38">
        <f>IF(VLOOKUP(G$2&amp;Balance_Sheet[[#This Row],[Aop]],Data[],1)=G$2&amp;Balance_Sheet[[#This Row],[Aop]],VLOOKUP(G$2&amp;Balance_Sheet[[#This Row],[Aop]],Data[],G$1)/Jedinica,"")</f>
        <v>12689677</v>
      </c>
      <c r="H18" s="38">
        <f>IF(VLOOKUP(H$2&amp;Balance_Sheet[[#This Row],[Aop]],Data[],1)=H$2&amp;Balance_Sheet[[#This Row],[Aop]],VLOOKUP(H$2&amp;Balance_Sheet[[#This Row],[Aop]],Data[],H$1)/Jedinica,"")</f>
        <v>11570744</v>
      </c>
      <c r="I18" s="38">
        <f>IF(VLOOKUP(I$2&amp;Balance_Sheet[[#This Row],[Aop]],Data[],1)=I$2&amp;Balance_Sheet[[#This Row],[Aop]],VLOOKUP(I$2&amp;Balance_Sheet[[#This Row],[Aop]],Data[],I$1)/Jedinica,"")</f>
        <v>5374869</v>
      </c>
      <c r="J18" s="38">
        <f>IF(VLOOKUP(J$2&amp;Balance_Sheet[[#This Row],[Aop]],Data[],1)=J$2&amp;Balance_Sheet[[#This Row],[Aop]],VLOOKUP(J$2&amp;Balance_Sheet[[#This Row],[Aop]],Data[],J$1)/Jedinica,"")</f>
        <v>1760809</v>
      </c>
      <c r="K18" s="38">
        <f>IF(VLOOKUP(K$2&amp;Balance_Sheet[[#This Row],[Aop]],Data[],1)=K$2&amp;Balance_Sheet[[#This Row],[Aop]],VLOOKUP(K$2&amp;Balance_Sheet[[#This Row],[Aop]],Data[],K$1)/Jedinica,"")</f>
        <v>3614060</v>
      </c>
      <c r="L18" s="38">
        <f>IF(VLOOKUP(L$2&amp;Balance_Sheet[[#This Row],[Aop]],Data[],1)=L$2&amp;Balance_Sheet[[#This Row],[Aop]],VLOOKUP(L$2&amp;Balance_Sheet[[#This Row],[Aop]],Data[],L$1)/Jedinica,"")</f>
        <v>2554088</v>
      </c>
      <c r="M18" s="38">
        <f>IF(VLOOKUP(M$2&amp;Balance_Sheet[[#This Row],[Aop]],Data[],1)=M$2&amp;Balance_Sheet[[#This Row],[Aop]],VLOOKUP(M$2&amp;Balance_Sheet[[#This Row],[Aop]],Data[],M$1)/Jedinica,"")</f>
        <v>2862924</v>
      </c>
      <c r="N18" s="38">
        <f>IF(VLOOKUP(N$2&amp;Balance_Sheet[[#This Row],[Aop]],Data[],1)=N$2&amp;Balance_Sheet[[#This Row],[Aop]],VLOOKUP(N$2&amp;Balance_Sheet[[#This Row],[Aop]],Data[],N$1)/Jedinica,"")</f>
        <v>939726</v>
      </c>
      <c r="O18" s="38">
        <f>IF(VLOOKUP(O$2&amp;Balance_Sheet[[#This Row],[Aop]],Data[],1)=O$2&amp;Balance_Sheet[[#This Row],[Aop]],VLOOKUP(O$2&amp;Balance_Sheet[[#This Row],[Aop]],Data[],O$1)/Jedinica,"")</f>
        <v>1923198</v>
      </c>
      <c r="P18" s="38">
        <f>IF(VLOOKUP(P$2&amp;Balance_Sheet[[#This Row],[Aop]],Data[],1)=P$2&amp;Balance_Sheet[[#This Row],[Aop]],VLOOKUP(P$2&amp;Balance_Sheet[[#This Row],[Aop]],Data[],P$1)/Jedinica,"")</f>
        <v>1667724</v>
      </c>
      <c r="Q18" s="38">
        <f>IF(VLOOKUP(Q$2&amp;Balance_Sheet[[#This Row],[Aop]],Data[],1)=Q$2&amp;Balance_Sheet[[#This Row],[Aop]],VLOOKUP(Q$2&amp;Balance_Sheet[[#This Row],[Aop]],Data[],Q$1)/Jedinica,"")</f>
        <v>476498</v>
      </c>
      <c r="R18" s="38">
        <f>IF(VLOOKUP(R$2&amp;Balance_Sheet[[#This Row],[Aop]],Data[],1)=R$2&amp;Balance_Sheet[[#This Row],[Aop]],VLOOKUP(R$2&amp;Balance_Sheet[[#This Row],[Aop]],Data[],R$1)/Jedinica,"")</f>
        <v>71885</v>
      </c>
      <c r="S18" s="38">
        <f>IF(VLOOKUP(S$2&amp;Balance_Sheet[[#This Row],[Aop]],Data[],1)=S$2&amp;Balance_Sheet[[#This Row],[Aop]],VLOOKUP(S$2&amp;Balance_Sheet[[#This Row],[Aop]],Data[],S$1)/Jedinica,"")</f>
        <v>404613</v>
      </c>
      <c r="T18" s="38">
        <f>IF(VLOOKUP(T$2&amp;Balance_Sheet[[#This Row],[Aop]],Data[],1)=T$2&amp;Balance_Sheet[[#This Row],[Aop]],VLOOKUP(T$2&amp;Balance_Sheet[[#This Row],[Aop]],Data[],T$1)/Jedinica,"")</f>
        <v>233189</v>
      </c>
      <c r="U18" s="38">
        <f>IF(VLOOKUP(U$2&amp;Balance_Sheet[[#This Row],[Aop]],Data[],1)=U$2&amp;Balance_Sheet[[#This Row],[Aop]],VLOOKUP(U$2&amp;Balance_Sheet[[#This Row],[Aop]],Data[],U$1)/Jedinica,"")</f>
        <v>5324505</v>
      </c>
      <c r="V18" s="38">
        <f>IF(VLOOKUP(V$2&amp;Balance_Sheet[[#This Row],[Aop]],Data[],1)=V$2&amp;Balance_Sheet[[#This Row],[Aop]],VLOOKUP(V$2&amp;Balance_Sheet[[#This Row],[Aop]],Data[],V$1)/Jedinica,"")</f>
        <v>3585845</v>
      </c>
      <c r="W18" s="38">
        <f>IF(VLOOKUP(W$2&amp;Balance_Sheet[[#This Row],[Aop]],Data[],1)=W$2&amp;Balance_Sheet[[#This Row],[Aop]],VLOOKUP(W$2&amp;Balance_Sheet[[#This Row],[Aop]],Data[],W$1)/Jedinica,"")</f>
        <v>1738660</v>
      </c>
      <c r="X18" s="38">
        <f>IF(VLOOKUP(X$2&amp;Balance_Sheet[[#This Row],[Aop]],Data[],1)=X$2&amp;Balance_Sheet[[#This Row],[Aop]],VLOOKUP(X$2&amp;Balance_Sheet[[#This Row],[Aop]],Data[],X$1)/Jedinica,"")</f>
        <v>2311847</v>
      </c>
      <c r="Y18" s="38">
        <f>IF(VLOOKUP(Y$2&amp;Balance_Sheet[[#This Row],[Aop]],Data[],1)=Y$2&amp;Balance_Sheet[[#This Row],[Aop]],VLOOKUP(Y$2&amp;Balance_Sheet[[#This Row],[Aop]],Data[],Y$1)/Jedinica,"")</f>
        <v>476498</v>
      </c>
      <c r="Z18" s="38">
        <f>IF(VLOOKUP(Z$2&amp;Balance_Sheet[[#This Row],[Aop]],Data[],1)=Z$2&amp;Balance_Sheet[[#This Row],[Aop]],VLOOKUP(Z$2&amp;Balance_Sheet[[#This Row],[Aop]],Data[],Z$1)/Jedinica,"")</f>
        <v>71885</v>
      </c>
      <c r="AA18" s="38">
        <f>IF(VLOOKUP(AA$2&amp;Balance_Sheet[[#This Row],[Aop]],Data[],1)=AA$2&amp;Balance_Sheet[[#This Row],[Aop]],VLOOKUP(AA$2&amp;Balance_Sheet[[#This Row],[Aop]],Data[],AA$1)/Jedinica,"")</f>
        <v>404613</v>
      </c>
      <c r="AB18" s="38">
        <f>IF(VLOOKUP(AB$2&amp;Balance_Sheet[[#This Row],[Aop]],Data[],1)=AB$2&amp;Balance_Sheet[[#This Row],[Aop]],VLOOKUP(AB$2&amp;Balance_Sheet[[#This Row],[Aop]],Data[],AB$1)/Jedinica,"")</f>
        <v>233189</v>
      </c>
      <c r="AC18" s="38">
        <f>IF(VLOOKUP(AC$2&amp;Balance_Sheet[[#This Row],[Aop]],Data[],1)=AC$2&amp;Balance_Sheet[[#This Row],[Aop]],VLOOKUP(AC$2&amp;Balance_Sheet[[#This Row],[Aop]],Data[],AC$1)/Jedinica,"")</f>
        <v>5922856</v>
      </c>
      <c r="AD18" s="38">
        <f>IF(VLOOKUP(AD$2&amp;Balance_Sheet[[#This Row],[Aop]],Data[],1)=AD$2&amp;Balance_Sheet[[#This Row],[Aop]],VLOOKUP(AD$2&amp;Balance_Sheet[[#This Row],[Aop]],Data[],AD$1)/Jedinica,"")</f>
        <v>4449945</v>
      </c>
      <c r="AE18" s="38">
        <f>IF(VLOOKUP(AE$2&amp;Balance_Sheet[[#This Row],[Aop]],Data[],1)=AE$2&amp;Balance_Sheet[[#This Row],[Aop]],VLOOKUP(AE$2&amp;Balance_Sheet[[#This Row],[Aop]],Data[],AE$1)/Jedinica,"")</f>
        <v>1472911</v>
      </c>
      <c r="AF18" s="38">
        <f>IF(VLOOKUP(AF$2&amp;Balance_Sheet[[#This Row],[Aop]],Data[],1)=AF$2&amp;Balance_Sheet[[#This Row],[Aop]],VLOOKUP(AF$2&amp;Balance_Sheet[[#This Row],[Aop]],Data[],AF$1)/Jedinica,"")</f>
        <v>1116420</v>
      </c>
    </row>
    <row r="19" spans="1:32" ht="25.5" customHeight="1" x14ac:dyDescent="0.2">
      <c r="A19" s="74">
        <v>14</v>
      </c>
      <c r="B19" s="75">
        <v>3</v>
      </c>
      <c r="C19" s="76" t="str">
        <f>VLOOKUP(Balance_Sheet[[#This Row],[No]],AOP_Balance,3,0)</f>
        <v>013</v>
      </c>
      <c r="D19" s="52" t="str">
        <f>VLOOKUP(Balance_Sheet[[#This Row],[No]],AOP_Balance,7,0)</f>
        <v xml:space="preserve">      b) Potraživanja za kamatu i naknadu, potraživanja po osnovu prodaje i druga potraživanja u stranoj valuti</v>
      </c>
      <c r="E19" s="38">
        <f>IF(VLOOKUP(E$2&amp;Balance_Sheet[[#This Row],[Aop]],Data[],1)=E$2&amp;Balance_Sheet[[#This Row],[Aop]],VLOOKUP(E$2&amp;Balance_Sheet[[#This Row],[Aop]],Data[],E$1)/Jedinica,"")</f>
        <v>235803</v>
      </c>
      <c r="F19" s="38">
        <f>IF(VLOOKUP(F$2&amp;Balance_Sheet[[#This Row],[Aop]],Data[],1)=F$2&amp;Balance_Sheet[[#This Row],[Aop]],VLOOKUP(F$2&amp;Balance_Sheet[[#This Row],[Aop]],Data[],F$1)/Jedinica,"")</f>
        <v>6856</v>
      </c>
      <c r="G19" s="38">
        <f>IF(VLOOKUP(G$2&amp;Balance_Sheet[[#This Row],[Aop]],Data[],1)=G$2&amp;Balance_Sheet[[#This Row],[Aop]],VLOOKUP(G$2&amp;Balance_Sheet[[#This Row],[Aop]],Data[],G$1)/Jedinica,"")</f>
        <v>228947</v>
      </c>
      <c r="H19" s="38">
        <f>IF(VLOOKUP(H$2&amp;Balance_Sheet[[#This Row],[Aop]],Data[],1)=H$2&amp;Balance_Sheet[[#This Row],[Aop]],VLOOKUP(H$2&amp;Balance_Sheet[[#This Row],[Aop]],Data[],H$1)/Jedinica,"")</f>
        <v>192303</v>
      </c>
      <c r="I19" s="38">
        <f>IF(VLOOKUP(I$2&amp;Balance_Sheet[[#This Row],[Aop]],Data[],1)=I$2&amp;Balance_Sheet[[#This Row],[Aop]],VLOOKUP(I$2&amp;Balance_Sheet[[#This Row],[Aop]],Data[],I$1)/Jedinica,"")</f>
        <v>729941</v>
      </c>
      <c r="J19" s="38">
        <f>IF(VLOOKUP(J$2&amp;Balance_Sheet[[#This Row],[Aop]],Data[],1)=J$2&amp;Balance_Sheet[[#This Row],[Aop]],VLOOKUP(J$2&amp;Balance_Sheet[[#This Row],[Aop]],Data[],J$1)/Jedinica,"")</f>
        <v>566935</v>
      </c>
      <c r="K19" s="38">
        <f>IF(VLOOKUP(K$2&amp;Balance_Sheet[[#This Row],[Aop]],Data[],1)=K$2&amp;Balance_Sheet[[#This Row],[Aop]],VLOOKUP(K$2&amp;Balance_Sheet[[#This Row],[Aop]],Data[],K$1)/Jedinica,"")</f>
        <v>163006</v>
      </c>
      <c r="L19" s="38">
        <f>IF(VLOOKUP(L$2&amp;Balance_Sheet[[#This Row],[Aop]],Data[],1)=L$2&amp;Balance_Sheet[[#This Row],[Aop]],VLOOKUP(L$2&amp;Balance_Sheet[[#This Row],[Aop]],Data[],L$1)/Jedinica,"")</f>
        <v>160932</v>
      </c>
      <c r="M19" s="38">
        <f>IF(VLOOKUP(M$2&amp;Balance_Sheet[[#This Row],[Aop]],Data[],1)=M$2&amp;Balance_Sheet[[#This Row],[Aop]],VLOOKUP(M$2&amp;Balance_Sheet[[#This Row],[Aop]],Data[],M$1)/Jedinica,"")</f>
        <v>55701</v>
      </c>
      <c r="N19" s="38">
        <f>IF(VLOOKUP(N$2&amp;Balance_Sheet[[#This Row],[Aop]],Data[],1)=N$2&amp;Balance_Sheet[[#This Row],[Aop]],VLOOKUP(N$2&amp;Balance_Sheet[[#This Row],[Aop]],Data[],N$1)/Jedinica,"")</f>
        <v>55701</v>
      </c>
      <c r="O19" s="38">
        <f>IF(VLOOKUP(O$2&amp;Balance_Sheet[[#This Row],[Aop]],Data[],1)=O$2&amp;Balance_Sheet[[#This Row],[Aop]],VLOOKUP(O$2&amp;Balance_Sheet[[#This Row],[Aop]],Data[],O$1)/Jedinica,"")</f>
        <v>0</v>
      </c>
      <c r="P19" s="38">
        <f>IF(VLOOKUP(P$2&amp;Balance_Sheet[[#This Row],[Aop]],Data[],1)=P$2&amp;Balance_Sheet[[#This Row],[Aop]],VLOOKUP(P$2&amp;Balance_Sheet[[#This Row],[Aop]],Data[],P$1)/Jedinica,"")</f>
        <v>0</v>
      </c>
      <c r="Q19" s="38">
        <f>IF(VLOOKUP(Q$2&amp;Balance_Sheet[[#This Row],[Aop]],Data[],1)=Q$2&amp;Balance_Sheet[[#This Row],[Aop]],VLOOKUP(Q$2&amp;Balance_Sheet[[#This Row],[Aop]],Data[],Q$1)/Jedinica,"")</f>
        <v>323</v>
      </c>
      <c r="R19" s="38">
        <f>IF(VLOOKUP(R$2&amp;Balance_Sheet[[#This Row],[Aop]],Data[],1)=R$2&amp;Balance_Sheet[[#This Row],[Aop]],VLOOKUP(R$2&amp;Balance_Sheet[[#This Row],[Aop]],Data[],R$1)/Jedinica,"")</f>
        <v>2</v>
      </c>
      <c r="S19" s="38">
        <f>IF(VLOOKUP(S$2&amp;Balance_Sheet[[#This Row],[Aop]],Data[],1)=S$2&amp;Balance_Sheet[[#This Row],[Aop]],VLOOKUP(S$2&amp;Balance_Sheet[[#This Row],[Aop]],Data[],S$1)/Jedinica,"")</f>
        <v>321</v>
      </c>
      <c r="T19" s="38">
        <f>IF(VLOOKUP(T$2&amp;Balance_Sheet[[#This Row],[Aop]],Data[],1)=T$2&amp;Balance_Sheet[[#This Row],[Aop]],VLOOKUP(T$2&amp;Balance_Sheet[[#This Row],[Aop]],Data[],T$1)/Jedinica,"")</f>
        <v>254</v>
      </c>
      <c r="U19" s="38">
        <f>IF(VLOOKUP(U$2&amp;Balance_Sheet[[#This Row],[Aop]],Data[],1)=U$2&amp;Balance_Sheet[[#This Row],[Aop]],VLOOKUP(U$2&amp;Balance_Sheet[[#This Row],[Aop]],Data[],U$1)/Jedinica,"")</f>
        <v>1309080</v>
      </c>
      <c r="V19" s="38">
        <f>IF(VLOOKUP(V$2&amp;Balance_Sheet[[#This Row],[Aop]],Data[],1)=V$2&amp;Balance_Sheet[[#This Row],[Aop]],VLOOKUP(V$2&amp;Balance_Sheet[[#This Row],[Aop]],Data[],V$1)/Jedinica,"")</f>
        <v>837028</v>
      </c>
      <c r="W19" s="38">
        <f>IF(VLOOKUP(W$2&amp;Balance_Sheet[[#This Row],[Aop]],Data[],1)=W$2&amp;Balance_Sheet[[#This Row],[Aop]],VLOOKUP(W$2&amp;Balance_Sheet[[#This Row],[Aop]],Data[],W$1)/Jedinica,"")</f>
        <v>472052</v>
      </c>
      <c r="X19" s="38">
        <f>IF(VLOOKUP(X$2&amp;Balance_Sheet[[#This Row],[Aop]],Data[],1)=X$2&amp;Balance_Sheet[[#This Row],[Aop]],VLOOKUP(X$2&amp;Balance_Sheet[[#This Row],[Aop]],Data[],X$1)/Jedinica,"")</f>
        <v>402286</v>
      </c>
      <c r="Y19" s="38">
        <f>IF(VLOOKUP(Y$2&amp;Balance_Sheet[[#This Row],[Aop]],Data[],1)=Y$2&amp;Balance_Sheet[[#This Row],[Aop]],VLOOKUP(Y$2&amp;Balance_Sheet[[#This Row],[Aop]],Data[],Y$1)/Jedinica,"")</f>
        <v>323</v>
      </c>
      <c r="Z19" s="38">
        <f>IF(VLOOKUP(Z$2&amp;Balance_Sheet[[#This Row],[Aop]],Data[],1)=Z$2&amp;Balance_Sheet[[#This Row],[Aop]],VLOOKUP(Z$2&amp;Balance_Sheet[[#This Row],[Aop]],Data[],Z$1)/Jedinica,"")</f>
        <v>2</v>
      </c>
      <c r="AA19" s="38">
        <f>IF(VLOOKUP(AA$2&amp;Balance_Sheet[[#This Row],[Aop]],Data[],1)=AA$2&amp;Balance_Sheet[[#This Row],[Aop]],VLOOKUP(AA$2&amp;Balance_Sheet[[#This Row],[Aop]],Data[],AA$1)/Jedinica,"")</f>
        <v>321</v>
      </c>
      <c r="AB19" s="38">
        <f>IF(VLOOKUP(AB$2&amp;Balance_Sheet[[#This Row],[Aop]],Data[],1)=AB$2&amp;Balance_Sheet[[#This Row],[Aop]],VLOOKUP(AB$2&amp;Balance_Sheet[[#This Row],[Aop]],Data[],AB$1)/Jedinica,"")</f>
        <v>254</v>
      </c>
      <c r="AC19" s="38">
        <f>IF(VLOOKUP(AC$2&amp;Balance_Sheet[[#This Row],[Aop]],Data[],1)=AC$2&amp;Balance_Sheet[[#This Row],[Aop]],VLOOKUP(AC$2&amp;Balance_Sheet[[#This Row],[Aop]],Data[],AC$1)/Jedinica,"")</f>
        <v>644064</v>
      </c>
      <c r="AD19" s="38">
        <f>IF(VLOOKUP(AD$2&amp;Balance_Sheet[[#This Row],[Aop]],Data[],1)=AD$2&amp;Balance_Sheet[[#This Row],[Aop]],VLOOKUP(AD$2&amp;Balance_Sheet[[#This Row],[Aop]],Data[],AD$1)/Jedinica,"")</f>
        <v>617292</v>
      </c>
      <c r="AE19" s="38">
        <f>IF(VLOOKUP(AE$2&amp;Balance_Sheet[[#This Row],[Aop]],Data[],1)=AE$2&amp;Balance_Sheet[[#This Row],[Aop]],VLOOKUP(AE$2&amp;Balance_Sheet[[#This Row],[Aop]],Data[],AE$1)/Jedinica,"")</f>
        <v>26772</v>
      </c>
      <c r="AF19" s="38">
        <f>IF(VLOOKUP(AF$2&amp;Balance_Sheet[[#This Row],[Aop]],Data[],1)=AF$2&amp;Balance_Sheet[[#This Row],[Aop]],VLOOKUP(AF$2&amp;Balance_Sheet[[#This Row],[Aop]],Data[],AF$1)/Jedinica,"")</f>
        <v>14130</v>
      </c>
    </row>
    <row r="20" spans="1:32" ht="12.75" customHeight="1" x14ac:dyDescent="0.2">
      <c r="A20" s="74">
        <v>15</v>
      </c>
      <c r="B20" s="75">
        <v>2</v>
      </c>
      <c r="C20" s="76" t="str">
        <f>VLOOKUP(Balance_Sheet[[#This Row],[No]],AOP_Balance,3,0)</f>
        <v>014</v>
      </c>
      <c r="D20" s="52" t="str">
        <f>VLOOKUP(Balance_Sheet[[#This Row],[No]],AOP_Balance,7,0)</f>
        <v xml:space="preserve">    4. Dati krediti i depoziti (015 do 017)</v>
      </c>
      <c r="E20" s="38">
        <f>IF(VLOOKUP(E$2&amp;Balance_Sheet[[#This Row],[Aop]],Data[],1)=E$2&amp;Balance_Sheet[[#This Row],[Aop]],VLOOKUP(E$2&amp;Balance_Sheet[[#This Row],[Aop]],Data[],E$1)/Jedinica,"")</f>
        <v>181046848</v>
      </c>
      <c r="F20" s="38">
        <f>IF(VLOOKUP(F$2&amp;Balance_Sheet[[#This Row],[Aop]],Data[],1)=F$2&amp;Balance_Sheet[[#This Row],[Aop]],VLOOKUP(F$2&amp;Balance_Sheet[[#This Row],[Aop]],Data[],F$1)/Jedinica,"")</f>
        <v>11382909</v>
      </c>
      <c r="G20" s="38">
        <f>IF(VLOOKUP(G$2&amp;Balance_Sheet[[#This Row],[Aop]],Data[],1)=G$2&amp;Balance_Sheet[[#This Row],[Aop]],VLOOKUP(G$2&amp;Balance_Sheet[[#This Row],[Aop]],Data[],G$1)/Jedinica,"")</f>
        <v>169663939</v>
      </c>
      <c r="H20" s="38">
        <f>IF(VLOOKUP(H$2&amp;Balance_Sheet[[#This Row],[Aop]],Data[],1)=H$2&amp;Balance_Sheet[[#This Row],[Aop]],VLOOKUP(H$2&amp;Balance_Sheet[[#This Row],[Aop]],Data[],H$1)/Jedinica,"")</f>
        <v>150543162</v>
      </c>
      <c r="I20" s="38">
        <f>IF(VLOOKUP(I$2&amp;Balance_Sheet[[#This Row],[Aop]],Data[],1)=I$2&amp;Balance_Sheet[[#This Row],[Aop]],VLOOKUP(I$2&amp;Balance_Sheet[[#This Row],[Aop]],Data[],I$1)/Jedinica,"")</f>
        <v>186368449</v>
      </c>
      <c r="J20" s="38">
        <f>IF(VLOOKUP(J$2&amp;Balance_Sheet[[#This Row],[Aop]],Data[],1)=J$2&amp;Balance_Sheet[[#This Row],[Aop]],VLOOKUP(J$2&amp;Balance_Sheet[[#This Row],[Aop]],Data[],J$1)/Jedinica,"")</f>
        <v>27897918</v>
      </c>
      <c r="K20" s="38">
        <f>IF(VLOOKUP(K$2&amp;Balance_Sheet[[#This Row],[Aop]],Data[],1)=K$2&amp;Balance_Sheet[[#This Row],[Aop]],VLOOKUP(K$2&amp;Balance_Sheet[[#This Row],[Aop]],Data[],K$1)/Jedinica,"")</f>
        <v>158470531</v>
      </c>
      <c r="L20" s="38">
        <f>IF(VLOOKUP(L$2&amp;Balance_Sheet[[#This Row],[Aop]],Data[],1)=L$2&amp;Balance_Sheet[[#This Row],[Aop]],VLOOKUP(L$2&amp;Balance_Sheet[[#This Row],[Aop]],Data[],L$1)/Jedinica,"")</f>
        <v>172988315</v>
      </c>
      <c r="M20" s="38">
        <f>IF(VLOOKUP(M$2&amp;Balance_Sheet[[#This Row],[Aop]],Data[],1)=M$2&amp;Balance_Sheet[[#This Row],[Aop]],VLOOKUP(M$2&amp;Balance_Sheet[[#This Row],[Aop]],Data[],M$1)/Jedinica,"")</f>
        <v>162515826</v>
      </c>
      <c r="N20" s="38">
        <f>IF(VLOOKUP(N$2&amp;Balance_Sheet[[#This Row],[Aop]],Data[],1)=N$2&amp;Balance_Sheet[[#This Row],[Aop]],VLOOKUP(N$2&amp;Balance_Sheet[[#This Row],[Aop]],Data[],N$1)/Jedinica,"")</f>
        <v>1529641</v>
      </c>
      <c r="O20" s="38">
        <f>IF(VLOOKUP(O$2&amp;Balance_Sheet[[#This Row],[Aop]],Data[],1)=O$2&amp;Balance_Sheet[[#This Row],[Aop]],VLOOKUP(O$2&amp;Balance_Sheet[[#This Row],[Aop]],Data[],O$1)/Jedinica,"")</f>
        <v>160986185</v>
      </c>
      <c r="P20" s="38">
        <f>IF(VLOOKUP(P$2&amp;Balance_Sheet[[#This Row],[Aop]],Data[],1)=P$2&amp;Balance_Sheet[[#This Row],[Aop]],VLOOKUP(P$2&amp;Balance_Sheet[[#This Row],[Aop]],Data[],P$1)/Jedinica,"")</f>
        <v>171664238</v>
      </c>
      <c r="Q20" s="38">
        <f>IF(VLOOKUP(Q$2&amp;Balance_Sheet[[#This Row],[Aop]],Data[],1)=Q$2&amp;Balance_Sheet[[#This Row],[Aop]],VLOOKUP(Q$2&amp;Balance_Sheet[[#This Row],[Aop]],Data[],Q$1)/Jedinica,"")</f>
        <v>94603436</v>
      </c>
      <c r="R20" s="38">
        <f>IF(VLOOKUP(R$2&amp;Balance_Sheet[[#This Row],[Aop]],Data[],1)=R$2&amp;Balance_Sheet[[#This Row],[Aop]],VLOOKUP(R$2&amp;Balance_Sheet[[#This Row],[Aop]],Data[],R$1)/Jedinica,"")</f>
        <v>1717046</v>
      </c>
      <c r="S20" s="38">
        <f>IF(VLOOKUP(S$2&amp;Balance_Sheet[[#This Row],[Aop]],Data[],1)=S$2&amp;Balance_Sheet[[#This Row],[Aop]],VLOOKUP(S$2&amp;Balance_Sheet[[#This Row],[Aop]],Data[],S$1)/Jedinica,"")</f>
        <v>92886390</v>
      </c>
      <c r="T20" s="38">
        <f>IF(VLOOKUP(T$2&amp;Balance_Sheet[[#This Row],[Aop]],Data[],1)=T$2&amp;Balance_Sheet[[#This Row],[Aop]],VLOOKUP(T$2&amp;Balance_Sheet[[#This Row],[Aop]],Data[],T$1)/Jedinica,"")</f>
        <v>80788053</v>
      </c>
      <c r="U20" s="38">
        <f>IF(VLOOKUP(U$2&amp;Balance_Sheet[[#This Row],[Aop]],Data[],1)=U$2&amp;Balance_Sheet[[#This Row],[Aop]],VLOOKUP(U$2&amp;Balance_Sheet[[#This Row],[Aop]],Data[],U$1)/Jedinica,"")</f>
        <v>670048692</v>
      </c>
      <c r="V20" s="38">
        <f>IF(VLOOKUP(V$2&amp;Balance_Sheet[[#This Row],[Aop]],Data[],1)=V$2&amp;Balance_Sheet[[#This Row],[Aop]],VLOOKUP(V$2&amp;Balance_Sheet[[#This Row],[Aop]],Data[],V$1)/Jedinica,"")</f>
        <v>26080296</v>
      </c>
      <c r="W20" s="38">
        <f>IF(VLOOKUP(W$2&amp;Balance_Sheet[[#This Row],[Aop]],Data[],1)=W$2&amp;Balance_Sheet[[#This Row],[Aop]],VLOOKUP(W$2&amp;Balance_Sheet[[#This Row],[Aop]],Data[],W$1)/Jedinica,"")</f>
        <v>643968396</v>
      </c>
      <c r="X20" s="38">
        <f>IF(VLOOKUP(X$2&amp;Balance_Sheet[[#This Row],[Aop]],Data[],1)=X$2&amp;Balance_Sheet[[#This Row],[Aop]],VLOOKUP(X$2&amp;Balance_Sheet[[#This Row],[Aop]],Data[],X$1)/Jedinica,"")</f>
        <v>626820532</v>
      </c>
      <c r="Y20" s="38">
        <f>IF(VLOOKUP(Y$2&amp;Balance_Sheet[[#This Row],[Aop]],Data[],1)=Y$2&amp;Balance_Sheet[[#This Row],[Aop]],VLOOKUP(Y$2&amp;Balance_Sheet[[#This Row],[Aop]],Data[],Y$1)/Jedinica,"")</f>
        <v>94603436</v>
      </c>
      <c r="Z20" s="38">
        <f>IF(VLOOKUP(Z$2&amp;Balance_Sheet[[#This Row],[Aop]],Data[],1)=Z$2&amp;Balance_Sheet[[#This Row],[Aop]],VLOOKUP(Z$2&amp;Balance_Sheet[[#This Row],[Aop]],Data[],Z$1)/Jedinica,"")</f>
        <v>1717046</v>
      </c>
      <c r="AA20" s="38">
        <f>IF(VLOOKUP(AA$2&amp;Balance_Sheet[[#This Row],[Aop]],Data[],1)=AA$2&amp;Balance_Sheet[[#This Row],[Aop]],VLOOKUP(AA$2&amp;Balance_Sheet[[#This Row],[Aop]],Data[],AA$1)/Jedinica,"")</f>
        <v>92886390</v>
      </c>
      <c r="AB20" s="38">
        <f>IF(VLOOKUP(AB$2&amp;Balance_Sheet[[#This Row],[Aop]],Data[],1)=AB$2&amp;Balance_Sheet[[#This Row],[Aop]],VLOOKUP(AB$2&amp;Balance_Sheet[[#This Row],[Aop]],Data[],AB$1)/Jedinica,"")</f>
        <v>80788053</v>
      </c>
      <c r="AC20" s="38">
        <f>IF(VLOOKUP(AC$2&amp;Balance_Sheet[[#This Row],[Aop]],Data[],1)=AC$2&amp;Balance_Sheet[[#This Row],[Aop]],VLOOKUP(AC$2&amp;Balance_Sheet[[#This Row],[Aop]],Data[],AC$1)/Jedinica,"")</f>
        <v>515976522</v>
      </c>
      <c r="AD20" s="38">
        <f>IF(VLOOKUP(AD$2&amp;Balance_Sheet[[#This Row],[Aop]],Data[],1)=AD$2&amp;Balance_Sheet[[#This Row],[Aop]],VLOOKUP(AD$2&amp;Balance_Sheet[[#This Row],[Aop]],Data[],AD$1)/Jedinica,"")</f>
        <v>46277386</v>
      </c>
      <c r="AE20" s="38">
        <f>IF(VLOOKUP(AE$2&amp;Balance_Sheet[[#This Row],[Aop]],Data[],1)=AE$2&amp;Balance_Sheet[[#This Row],[Aop]],VLOOKUP(AE$2&amp;Balance_Sheet[[#This Row],[Aop]],Data[],AE$1)/Jedinica,"")</f>
        <v>469699136</v>
      </c>
      <c r="AF20" s="38">
        <f>IF(VLOOKUP(AF$2&amp;Balance_Sheet[[#This Row],[Aop]],Data[],1)=AF$2&amp;Balance_Sheet[[#This Row],[Aop]],VLOOKUP(AF$2&amp;Balance_Sheet[[#This Row],[Aop]],Data[],AF$1)/Jedinica,"")</f>
        <v>470494443</v>
      </c>
    </row>
    <row r="21" spans="1:32" ht="12.75" customHeight="1" x14ac:dyDescent="0.2">
      <c r="A21" s="74">
        <v>16</v>
      </c>
      <c r="B21" s="75">
        <v>3</v>
      </c>
      <c r="C21" s="76" t="str">
        <f>VLOOKUP(Balance_Sheet[[#This Row],[No]],AOP_Balance,3,0)</f>
        <v>015</v>
      </c>
      <c r="D21" s="52" t="str">
        <f>VLOOKUP(Balance_Sheet[[#This Row],[No]],AOP_Balance,7,0)</f>
        <v xml:space="preserve">      a) Dati krediti i depoziti u domaćoj valuti</v>
      </c>
      <c r="E21" s="38">
        <f>IF(VLOOKUP(E$2&amp;Balance_Sheet[[#This Row],[Aop]],Data[],1)=E$2&amp;Balance_Sheet[[#This Row],[Aop]],VLOOKUP(E$2&amp;Balance_Sheet[[#This Row],[Aop]],Data[],E$1)/Jedinica,"")</f>
        <v>136453678</v>
      </c>
      <c r="F21" s="38">
        <f>IF(VLOOKUP(F$2&amp;Balance_Sheet[[#This Row],[Aop]],Data[],1)=F$2&amp;Balance_Sheet[[#This Row],[Aop]],VLOOKUP(F$2&amp;Balance_Sheet[[#This Row],[Aop]],Data[],F$1)/Jedinica,"")</f>
        <v>9268754</v>
      </c>
      <c r="G21" s="38">
        <f>IF(VLOOKUP(G$2&amp;Balance_Sheet[[#This Row],[Aop]],Data[],1)=G$2&amp;Balance_Sheet[[#This Row],[Aop]],VLOOKUP(G$2&amp;Balance_Sheet[[#This Row],[Aop]],Data[],G$1)/Jedinica,"")</f>
        <v>127184924</v>
      </c>
      <c r="H21" s="38">
        <f>IF(VLOOKUP(H$2&amp;Balance_Sheet[[#This Row],[Aop]],Data[],1)=H$2&amp;Balance_Sheet[[#This Row],[Aop]],VLOOKUP(H$2&amp;Balance_Sheet[[#This Row],[Aop]],Data[],H$1)/Jedinica,"")</f>
        <v>115426188</v>
      </c>
      <c r="I21" s="38">
        <f>IF(VLOOKUP(I$2&amp;Balance_Sheet[[#This Row],[Aop]],Data[],1)=I$2&amp;Balance_Sheet[[#This Row],[Aop]],VLOOKUP(I$2&amp;Balance_Sheet[[#This Row],[Aop]],Data[],I$1)/Jedinica,"")</f>
        <v>38883285</v>
      </c>
      <c r="J21" s="38">
        <f>IF(VLOOKUP(J$2&amp;Balance_Sheet[[#This Row],[Aop]],Data[],1)=J$2&amp;Balance_Sheet[[#This Row],[Aop]],VLOOKUP(J$2&amp;Balance_Sheet[[#This Row],[Aop]],Data[],J$1)/Jedinica,"")</f>
        <v>14812102</v>
      </c>
      <c r="K21" s="38">
        <f>IF(VLOOKUP(K$2&amp;Balance_Sheet[[#This Row],[Aop]],Data[],1)=K$2&amp;Balance_Sheet[[#This Row],[Aop]],VLOOKUP(K$2&amp;Balance_Sheet[[#This Row],[Aop]],Data[],K$1)/Jedinica,"")</f>
        <v>24071183</v>
      </c>
      <c r="L21" s="38">
        <f>IF(VLOOKUP(L$2&amp;Balance_Sheet[[#This Row],[Aop]],Data[],1)=L$2&amp;Balance_Sheet[[#This Row],[Aop]],VLOOKUP(L$2&amp;Balance_Sheet[[#This Row],[Aop]],Data[],L$1)/Jedinica,"")</f>
        <v>30213567</v>
      </c>
      <c r="M21" s="38">
        <f>IF(VLOOKUP(M$2&amp;Balance_Sheet[[#This Row],[Aop]],Data[],1)=M$2&amp;Balance_Sheet[[#This Row],[Aop]],VLOOKUP(M$2&amp;Balance_Sheet[[#This Row],[Aop]],Data[],M$1)/Jedinica,"")</f>
        <v>34426125</v>
      </c>
      <c r="N21" s="38">
        <f>IF(VLOOKUP(N$2&amp;Balance_Sheet[[#This Row],[Aop]],Data[],1)=N$2&amp;Balance_Sheet[[#This Row],[Aop]],VLOOKUP(N$2&amp;Balance_Sheet[[#This Row],[Aop]],Data[],N$1)/Jedinica,"")</f>
        <v>370483</v>
      </c>
      <c r="O21" s="38">
        <f>IF(VLOOKUP(O$2&amp;Balance_Sheet[[#This Row],[Aop]],Data[],1)=O$2&amp;Balance_Sheet[[#This Row],[Aop]],VLOOKUP(O$2&amp;Balance_Sheet[[#This Row],[Aop]],Data[],O$1)/Jedinica,"")</f>
        <v>34055642</v>
      </c>
      <c r="P21" s="38">
        <f>IF(VLOOKUP(P$2&amp;Balance_Sheet[[#This Row],[Aop]],Data[],1)=P$2&amp;Balance_Sheet[[#This Row],[Aop]],VLOOKUP(P$2&amp;Balance_Sheet[[#This Row],[Aop]],Data[],P$1)/Jedinica,"")</f>
        <v>39911969</v>
      </c>
      <c r="Q21" s="38">
        <f>IF(VLOOKUP(Q$2&amp;Balance_Sheet[[#This Row],[Aop]],Data[],1)=Q$2&amp;Balance_Sheet[[#This Row],[Aop]],VLOOKUP(Q$2&amp;Balance_Sheet[[#This Row],[Aop]],Data[],Q$1)/Jedinica,"")</f>
        <v>19517792</v>
      </c>
      <c r="R21" s="38">
        <f>IF(VLOOKUP(R$2&amp;Balance_Sheet[[#This Row],[Aop]],Data[],1)=R$2&amp;Balance_Sheet[[#This Row],[Aop]],VLOOKUP(R$2&amp;Balance_Sheet[[#This Row],[Aop]],Data[],R$1)/Jedinica,"")</f>
        <v>277414</v>
      </c>
      <c r="S21" s="38">
        <f>IF(VLOOKUP(S$2&amp;Balance_Sheet[[#This Row],[Aop]],Data[],1)=S$2&amp;Balance_Sheet[[#This Row],[Aop]],VLOOKUP(S$2&amp;Balance_Sheet[[#This Row],[Aop]],Data[],S$1)/Jedinica,"")</f>
        <v>19240378</v>
      </c>
      <c r="T21" s="38">
        <f>IF(VLOOKUP(T$2&amp;Balance_Sheet[[#This Row],[Aop]],Data[],1)=T$2&amp;Balance_Sheet[[#This Row],[Aop]],VLOOKUP(T$2&amp;Balance_Sheet[[#This Row],[Aop]],Data[],T$1)/Jedinica,"")</f>
        <v>20380929</v>
      </c>
      <c r="U21" s="38">
        <f>IF(VLOOKUP(U$2&amp;Balance_Sheet[[#This Row],[Aop]],Data[],1)=U$2&amp;Balance_Sheet[[#This Row],[Aop]],VLOOKUP(U$2&amp;Balance_Sheet[[#This Row],[Aop]],Data[],U$1)/Jedinica,"")</f>
        <v>204446267</v>
      </c>
      <c r="V21" s="38">
        <f>IF(VLOOKUP(V$2&amp;Balance_Sheet[[#This Row],[Aop]],Data[],1)=V$2&amp;Balance_Sheet[[#This Row],[Aop]],VLOOKUP(V$2&amp;Balance_Sheet[[#This Row],[Aop]],Data[],V$1)/Jedinica,"")</f>
        <v>15649990</v>
      </c>
      <c r="W21" s="38">
        <f>IF(VLOOKUP(W$2&amp;Balance_Sheet[[#This Row],[Aop]],Data[],1)=W$2&amp;Balance_Sheet[[#This Row],[Aop]],VLOOKUP(W$2&amp;Balance_Sheet[[#This Row],[Aop]],Data[],W$1)/Jedinica,"")</f>
        <v>188796277</v>
      </c>
      <c r="X21" s="38">
        <f>IF(VLOOKUP(X$2&amp;Balance_Sheet[[#This Row],[Aop]],Data[],1)=X$2&amp;Balance_Sheet[[#This Row],[Aop]],VLOOKUP(X$2&amp;Balance_Sheet[[#This Row],[Aop]],Data[],X$1)/Jedinica,"")</f>
        <v>197708141</v>
      </c>
      <c r="Y21" s="38">
        <f>IF(VLOOKUP(Y$2&amp;Balance_Sheet[[#This Row],[Aop]],Data[],1)=Y$2&amp;Balance_Sheet[[#This Row],[Aop]],VLOOKUP(Y$2&amp;Balance_Sheet[[#This Row],[Aop]],Data[],Y$1)/Jedinica,"")</f>
        <v>19517792</v>
      </c>
      <c r="Z21" s="38">
        <f>IF(VLOOKUP(Z$2&amp;Balance_Sheet[[#This Row],[Aop]],Data[],1)=Z$2&amp;Balance_Sheet[[#This Row],[Aop]],VLOOKUP(Z$2&amp;Balance_Sheet[[#This Row],[Aop]],Data[],Z$1)/Jedinica,"")</f>
        <v>277414</v>
      </c>
      <c r="AA21" s="38">
        <f>IF(VLOOKUP(AA$2&amp;Balance_Sheet[[#This Row],[Aop]],Data[],1)=AA$2&amp;Balance_Sheet[[#This Row],[Aop]],VLOOKUP(AA$2&amp;Balance_Sheet[[#This Row],[Aop]],Data[],AA$1)/Jedinica,"")</f>
        <v>19240378</v>
      </c>
      <c r="AB21" s="38">
        <f>IF(VLOOKUP(AB$2&amp;Balance_Sheet[[#This Row],[Aop]],Data[],1)=AB$2&amp;Balance_Sheet[[#This Row],[Aop]],VLOOKUP(AB$2&amp;Balance_Sheet[[#This Row],[Aop]],Data[],AB$1)/Jedinica,"")</f>
        <v>20380929</v>
      </c>
      <c r="AC21" s="38">
        <f>IF(VLOOKUP(AC$2&amp;Balance_Sheet[[#This Row],[Aop]],Data[],1)=AC$2&amp;Balance_Sheet[[#This Row],[Aop]],VLOOKUP(AC$2&amp;Balance_Sheet[[#This Row],[Aop]],Data[],AC$1)/Jedinica,"")</f>
        <v>112374592</v>
      </c>
      <c r="AD21" s="38">
        <f>IF(VLOOKUP(AD$2&amp;Balance_Sheet[[#This Row],[Aop]],Data[],1)=AD$2&amp;Balance_Sheet[[#This Row],[Aop]],VLOOKUP(AD$2&amp;Balance_Sheet[[#This Row],[Aop]],Data[],AD$1)/Jedinica,"")</f>
        <v>7811991</v>
      </c>
      <c r="AE21" s="38">
        <f>IF(VLOOKUP(AE$2&amp;Balance_Sheet[[#This Row],[Aop]],Data[],1)=AE$2&amp;Balance_Sheet[[#This Row],[Aop]],VLOOKUP(AE$2&amp;Balance_Sheet[[#This Row],[Aop]],Data[],AE$1)/Jedinica,"")</f>
        <v>104562601</v>
      </c>
      <c r="AF21" s="38">
        <f>IF(VLOOKUP(AF$2&amp;Balance_Sheet[[#This Row],[Aop]],Data[],1)=AF$2&amp;Balance_Sheet[[#This Row],[Aop]],VLOOKUP(AF$2&amp;Balance_Sheet[[#This Row],[Aop]],Data[],AF$1)/Jedinica,"")</f>
        <v>93698082</v>
      </c>
    </row>
    <row r="22" spans="1:32" ht="12.75" customHeight="1" x14ac:dyDescent="0.2">
      <c r="A22" s="74">
        <v>17</v>
      </c>
      <c r="B22" s="75">
        <v>3</v>
      </c>
      <c r="C22" s="76" t="str">
        <f>VLOOKUP(Balance_Sheet[[#This Row],[No]],AOP_Balance,3,0)</f>
        <v>016</v>
      </c>
      <c r="D22" s="52" t="str">
        <f>VLOOKUP(Balance_Sheet[[#This Row],[No]],AOP_Balance,7,0)</f>
        <v xml:space="preserve">      b) Dati krediti i depoziti sa ugovorenom zaštitom od rizika u domaćoj valuti</v>
      </c>
      <c r="E22" s="38">
        <f>IF(VLOOKUP(E$2&amp;Balance_Sheet[[#This Row],[Aop]],Data[],1)=E$2&amp;Balance_Sheet[[#This Row],[Aop]],VLOOKUP(E$2&amp;Balance_Sheet[[#This Row],[Aop]],Data[],E$1)/Jedinica,"")</f>
        <v>27666979</v>
      </c>
      <c r="F22" s="38">
        <f>IF(VLOOKUP(F$2&amp;Balance_Sheet[[#This Row],[Aop]],Data[],1)=F$2&amp;Balance_Sheet[[#This Row],[Aop]],VLOOKUP(F$2&amp;Balance_Sheet[[#This Row],[Aop]],Data[],F$1)/Jedinica,"")</f>
        <v>1729818</v>
      </c>
      <c r="G22" s="38">
        <f>IF(VLOOKUP(G$2&amp;Balance_Sheet[[#This Row],[Aop]],Data[],1)=G$2&amp;Balance_Sheet[[#This Row],[Aop]],VLOOKUP(G$2&amp;Balance_Sheet[[#This Row],[Aop]],Data[],G$1)/Jedinica,"")</f>
        <v>25937161</v>
      </c>
      <c r="H22" s="38">
        <f>IF(VLOOKUP(H$2&amp;Balance_Sheet[[#This Row],[Aop]],Data[],1)=H$2&amp;Balance_Sheet[[#This Row],[Aop]],VLOOKUP(H$2&amp;Balance_Sheet[[#This Row],[Aop]],Data[],H$1)/Jedinica,"")</f>
        <v>27027754</v>
      </c>
      <c r="I22" s="38">
        <f>IF(VLOOKUP(I$2&amp;Balance_Sheet[[#This Row],[Aop]],Data[],1)=I$2&amp;Balance_Sheet[[#This Row],[Aop]],VLOOKUP(I$2&amp;Balance_Sheet[[#This Row],[Aop]],Data[],I$1)/Jedinica,"")</f>
        <v>130805331</v>
      </c>
      <c r="J22" s="38">
        <f>IF(VLOOKUP(J$2&amp;Balance_Sheet[[#This Row],[Aop]],Data[],1)=J$2&amp;Balance_Sheet[[#This Row],[Aop]],VLOOKUP(J$2&amp;Balance_Sheet[[#This Row],[Aop]],Data[],J$1)/Jedinica,"")</f>
        <v>4838076</v>
      </c>
      <c r="K22" s="38">
        <f>IF(VLOOKUP(K$2&amp;Balance_Sheet[[#This Row],[Aop]],Data[],1)=K$2&amp;Balance_Sheet[[#This Row],[Aop]],VLOOKUP(K$2&amp;Balance_Sheet[[#This Row],[Aop]],Data[],K$1)/Jedinica,"")</f>
        <v>125967255</v>
      </c>
      <c r="L22" s="38">
        <f>IF(VLOOKUP(L$2&amp;Balance_Sheet[[#This Row],[Aop]],Data[],1)=L$2&amp;Balance_Sheet[[#This Row],[Aop]],VLOOKUP(L$2&amp;Balance_Sheet[[#This Row],[Aop]],Data[],L$1)/Jedinica,"")</f>
        <v>134246458</v>
      </c>
      <c r="M22" s="38">
        <f>IF(VLOOKUP(M$2&amp;Balance_Sheet[[#This Row],[Aop]],Data[],1)=M$2&amp;Balance_Sheet[[#This Row],[Aop]],VLOOKUP(M$2&amp;Balance_Sheet[[#This Row],[Aop]],Data[],M$1)/Jedinica,"")</f>
        <v>123395709</v>
      </c>
      <c r="N22" s="38">
        <f>IF(VLOOKUP(N$2&amp;Balance_Sheet[[#This Row],[Aop]],Data[],1)=N$2&amp;Balance_Sheet[[#This Row],[Aop]],VLOOKUP(N$2&amp;Balance_Sheet[[#This Row],[Aop]],Data[],N$1)/Jedinica,"")</f>
        <v>1150239</v>
      </c>
      <c r="O22" s="38">
        <f>IF(VLOOKUP(O$2&amp;Balance_Sheet[[#This Row],[Aop]],Data[],1)=O$2&amp;Balance_Sheet[[#This Row],[Aop]],VLOOKUP(O$2&amp;Balance_Sheet[[#This Row],[Aop]],Data[],O$1)/Jedinica,"")</f>
        <v>122245470</v>
      </c>
      <c r="P22" s="38">
        <f>IF(VLOOKUP(P$2&amp;Balance_Sheet[[#This Row],[Aop]],Data[],1)=P$2&amp;Balance_Sheet[[#This Row],[Aop]],VLOOKUP(P$2&amp;Balance_Sheet[[#This Row],[Aop]],Data[],P$1)/Jedinica,"")</f>
        <v>125628773</v>
      </c>
      <c r="Q22" s="38">
        <f>IF(VLOOKUP(Q$2&amp;Balance_Sheet[[#This Row],[Aop]],Data[],1)=Q$2&amp;Balance_Sheet[[#This Row],[Aop]],VLOOKUP(Q$2&amp;Balance_Sheet[[#This Row],[Aop]],Data[],Q$1)/Jedinica,"")</f>
        <v>75085644</v>
      </c>
      <c r="R22" s="38">
        <f>IF(VLOOKUP(R$2&amp;Balance_Sheet[[#This Row],[Aop]],Data[],1)=R$2&amp;Balance_Sheet[[#This Row],[Aop]],VLOOKUP(R$2&amp;Balance_Sheet[[#This Row],[Aop]],Data[],R$1)/Jedinica,"")</f>
        <v>1439632</v>
      </c>
      <c r="S22" s="38">
        <f>IF(VLOOKUP(S$2&amp;Balance_Sheet[[#This Row],[Aop]],Data[],1)=S$2&amp;Balance_Sheet[[#This Row],[Aop]],VLOOKUP(S$2&amp;Balance_Sheet[[#This Row],[Aop]],Data[],S$1)/Jedinica,"")</f>
        <v>73646012</v>
      </c>
      <c r="T22" s="38">
        <f>IF(VLOOKUP(T$2&amp;Balance_Sheet[[#This Row],[Aop]],Data[],1)=T$2&amp;Balance_Sheet[[#This Row],[Aop]],VLOOKUP(T$2&amp;Balance_Sheet[[#This Row],[Aop]],Data[],T$1)/Jedinica,"")</f>
        <v>60407124</v>
      </c>
      <c r="U22" s="38">
        <f>IF(VLOOKUP(U$2&amp;Balance_Sheet[[#This Row],[Aop]],Data[],1)=U$2&amp;Balance_Sheet[[#This Row],[Aop]],VLOOKUP(U$2&amp;Balance_Sheet[[#This Row],[Aop]],Data[],U$1)/Jedinica,"")</f>
        <v>314072815</v>
      </c>
      <c r="V22" s="38">
        <f>IF(VLOOKUP(V$2&amp;Balance_Sheet[[#This Row],[Aop]],Data[],1)=V$2&amp;Balance_Sheet[[#This Row],[Aop]],VLOOKUP(V$2&amp;Balance_Sheet[[#This Row],[Aop]],Data[],V$1)/Jedinica,"")</f>
        <v>4872781</v>
      </c>
      <c r="W22" s="38">
        <f>IF(VLOOKUP(W$2&amp;Balance_Sheet[[#This Row],[Aop]],Data[],1)=W$2&amp;Balance_Sheet[[#This Row],[Aop]],VLOOKUP(W$2&amp;Balance_Sheet[[#This Row],[Aop]],Data[],W$1)/Jedinica,"")</f>
        <v>309200034</v>
      </c>
      <c r="X22" s="38">
        <f>IF(VLOOKUP(X$2&amp;Balance_Sheet[[#This Row],[Aop]],Data[],1)=X$2&amp;Balance_Sheet[[#This Row],[Aop]],VLOOKUP(X$2&amp;Balance_Sheet[[#This Row],[Aop]],Data[],X$1)/Jedinica,"")</f>
        <v>290969750</v>
      </c>
      <c r="Y22" s="38">
        <f>IF(VLOOKUP(Y$2&amp;Balance_Sheet[[#This Row],[Aop]],Data[],1)=Y$2&amp;Balance_Sheet[[#This Row],[Aop]],VLOOKUP(Y$2&amp;Balance_Sheet[[#This Row],[Aop]],Data[],Y$1)/Jedinica,"")</f>
        <v>75085644</v>
      </c>
      <c r="Z22" s="38">
        <f>IF(VLOOKUP(Z$2&amp;Balance_Sheet[[#This Row],[Aop]],Data[],1)=Z$2&amp;Balance_Sheet[[#This Row],[Aop]],VLOOKUP(Z$2&amp;Balance_Sheet[[#This Row],[Aop]],Data[],Z$1)/Jedinica,"")</f>
        <v>1439632</v>
      </c>
      <c r="AA22" s="38">
        <f>IF(VLOOKUP(AA$2&amp;Balance_Sheet[[#This Row],[Aop]],Data[],1)=AA$2&amp;Balance_Sheet[[#This Row],[Aop]],VLOOKUP(AA$2&amp;Balance_Sheet[[#This Row],[Aop]],Data[],AA$1)/Jedinica,"")</f>
        <v>73646012</v>
      </c>
      <c r="AB22" s="38">
        <f>IF(VLOOKUP(AB$2&amp;Balance_Sheet[[#This Row],[Aop]],Data[],1)=AB$2&amp;Balance_Sheet[[#This Row],[Aop]],VLOOKUP(AB$2&amp;Balance_Sheet[[#This Row],[Aop]],Data[],AB$1)/Jedinica,"")</f>
        <v>60407124</v>
      </c>
      <c r="AC22" s="38">
        <f>IF(VLOOKUP(AC$2&amp;Balance_Sheet[[#This Row],[Aop]],Data[],1)=AC$2&amp;Balance_Sheet[[#This Row],[Aop]],VLOOKUP(AC$2&amp;Balance_Sheet[[#This Row],[Aop]],Data[],AC$1)/Jedinica,"")</f>
        <v>402368855</v>
      </c>
      <c r="AD22" s="38">
        <f>IF(VLOOKUP(AD$2&amp;Balance_Sheet[[#This Row],[Aop]],Data[],1)=AD$2&amp;Balance_Sheet[[#This Row],[Aop]],VLOOKUP(AD$2&amp;Balance_Sheet[[#This Row],[Aop]],Data[],AD$1)/Jedinica,"")</f>
        <v>38038628</v>
      </c>
      <c r="AE22" s="38">
        <f>IF(VLOOKUP(AE$2&amp;Balance_Sheet[[#This Row],[Aop]],Data[],1)=AE$2&amp;Balance_Sheet[[#This Row],[Aop]],VLOOKUP(AE$2&amp;Balance_Sheet[[#This Row],[Aop]],Data[],AE$1)/Jedinica,"")</f>
        <v>364330227</v>
      </c>
      <c r="AF22" s="38">
        <f>IF(VLOOKUP(AF$2&amp;Balance_Sheet[[#This Row],[Aop]],Data[],1)=AF$2&amp;Balance_Sheet[[#This Row],[Aop]],VLOOKUP(AF$2&amp;Balance_Sheet[[#This Row],[Aop]],Data[],AF$1)/Jedinica,"")</f>
        <v>374809538</v>
      </c>
    </row>
    <row r="23" spans="1:32" ht="12.75" customHeight="1" x14ac:dyDescent="0.2">
      <c r="A23" s="74">
        <v>18</v>
      </c>
      <c r="B23" s="75">
        <v>3</v>
      </c>
      <c r="C23" s="76" t="str">
        <f>VLOOKUP(Balance_Sheet[[#This Row],[No]],AOP_Balance,3,0)</f>
        <v>017</v>
      </c>
      <c r="D23" s="52" t="str">
        <f>VLOOKUP(Balance_Sheet[[#This Row],[No]],AOP_Balance,7,0)</f>
        <v xml:space="preserve">      v) Dati krediti i depoziti u stranoj valuti</v>
      </c>
      <c r="E23" s="38">
        <f>IF(VLOOKUP(E$2&amp;Balance_Sheet[[#This Row],[Aop]],Data[],1)=E$2&amp;Balance_Sheet[[#This Row],[Aop]],VLOOKUP(E$2&amp;Balance_Sheet[[#This Row],[Aop]],Data[],E$1)/Jedinica,"")</f>
        <v>16926191</v>
      </c>
      <c r="F23" s="38">
        <f>IF(VLOOKUP(F$2&amp;Balance_Sheet[[#This Row],[Aop]],Data[],1)=F$2&amp;Balance_Sheet[[#This Row],[Aop]],VLOOKUP(F$2&amp;Balance_Sheet[[#This Row],[Aop]],Data[],F$1)/Jedinica,"")</f>
        <v>384337</v>
      </c>
      <c r="G23" s="38">
        <f>IF(VLOOKUP(G$2&amp;Balance_Sheet[[#This Row],[Aop]],Data[],1)=G$2&amp;Balance_Sheet[[#This Row],[Aop]],VLOOKUP(G$2&amp;Balance_Sheet[[#This Row],[Aop]],Data[],G$1)/Jedinica,"")</f>
        <v>16541854</v>
      </c>
      <c r="H23" s="38">
        <f>IF(VLOOKUP(H$2&amp;Balance_Sheet[[#This Row],[Aop]],Data[],1)=H$2&amp;Balance_Sheet[[#This Row],[Aop]],VLOOKUP(H$2&amp;Balance_Sheet[[#This Row],[Aop]],Data[],H$1)/Jedinica,"")</f>
        <v>8089220</v>
      </c>
      <c r="I23" s="38">
        <f>IF(VLOOKUP(I$2&amp;Balance_Sheet[[#This Row],[Aop]],Data[],1)=I$2&amp;Balance_Sheet[[#This Row],[Aop]],VLOOKUP(I$2&amp;Balance_Sheet[[#This Row],[Aop]],Data[],I$1)/Jedinica,"")</f>
        <v>16679833</v>
      </c>
      <c r="J23" s="38">
        <f>IF(VLOOKUP(J$2&amp;Balance_Sheet[[#This Row],[Aop]],Data[],1)=J$2&amp;Balance_Sheet[[#This Row],[Aop]],VLOOKUP(J$2&amp;Balance_Sheet[[#This Row],[Aop]],Data[],J$1)/Jedinica,"")</f>
        <v>8247740</v>
      </c>
      <c r="K23" s="38">
        <f>IF(VLOOKUP(K$2&amp;Balance_Sheet[[#This Row],[Aop]],Data[],1)=K$2&amp;Balance_Sheet[[#This Row],[Aop]],VLOOKUP(K$2&amp;Balance_Sheet[[#This Row],[Aop]],Data[],K$1)/Jedinica,"")</f>
        <v>8432093</v>
      </c>
      <c r="L23" s="38">
        <f>IF(VLOOKUP(L$2&amp;Balance_Sheet[[#This Row],[Aop]],Data[],1)=L$2&amp;Balance_Sheet[[#This Row],[Aop]],VLOOKUP(L$2&amp;Balance_Sheet[[#This Row],[Aop]],Data[],L$1)/Jedinica,"")</f>
        <v>8528290</v>
      </c>
      <c r="M23" s="38">
        <f>IF(VLOOKUP(M$2&amp;Balance_Sheet[[#This Row],[Aop]],Data[],1)=M$2&amp;Balance_Sheet[[#This Row],[Aop]],VLOOKUP(M$2&amp;Balance_Sheet[[#This Row],[Aop]],Data[],M$1)/Jedinica,"")</f>
        <v>4693992</v>
      </c>
      <c r="N23" s="38">
        <f>IF(VLOOKUP(N$2&amp;Balance_Sheet[[#This Row],[Aop]],Data[],1)=N$2&amp;Balance_Sheet[[#This Row],[Aop]],VLOOKUP(N$2&amp;Balance_Sheet[[#This Row],[Aop]],Data[],N$1)/Jedinica,"")</f>
        <v>8919</v>
      </c>
      <c r="O23" s="38">
        <f>IF(VLOOKUP(O$2&amp;Balance_Sheet[[#This Row],[Aop]],Data[],1)=O$2&amp;Balance_Sheet[[#This Row],[Aop]],VLOOKUP(O$2&amp;Balance_Sheet[[#This Row],[Aop]],Data[],O$1)/Jedinica,"")</f>
        <v>4685073</v>
      </c>
      <c r="P23" s="38">
        <f>IF(VLOOKUP(P$2&amp;Balance_Sheet[[#This Row],[Aop]],Data[],1)=P$2&amp;Balance_Sheet[[#This Row],[Aop]],VLOOKUP(P$2&amp;Balance_Sheet[[#This Row],[Aop]],Data[],P$1)/Jedinica,"")</f>
        <v>6123496</v>
      </c>
      <c r="Q23" s="38" t="str">
        <f>IF(VLOOKUP(Q$2&amp;Balance_Sheet[[#This Row],[Aop]],Data[],1)=Q$2&amp;Balance_Sheet[[#This Row],[Aop]],VLOOKUP(Q$2&amp;Balance_Sheet[[#This Row],[Aop]],Data[],Q$1)/Jedinica,"")</f>
        <v/>
      </c>
      <c r="R23" s="38" t="str">
        <f>IF(VLOOKUP(R$2&amp;Balance_Sheet[[#This Row],[Aop]],Data[],1)=R$2&amp;Balance_Sheet[[#This Row],[Aop]],VLOOKUP(R$2&amp;Balance_Sheet[[#This Row],[Aop]],Data[],R$1)/Jedinica,"")</f>
        <v/>
      </c>
      <c r="S23" s="38" t="str">
        <f>IF(VLOOKUP(S$2&amp;Balance_Sheet[[#This Row],[Aop]],Data[],1)=S$2&amp;Balance_Sheet[[#This Row],[Aop]],VLOOKUP(S$2&amp;Balance_Sheet[[#This Row],[Aop]],Data[],S$1)/Jedinica,"")</f>
        <v/>
      </c>
      <c r="T23" s="38" t="str">
        <f>IF(VLOOKUP(T$2&amp;Balance_Sheet[[#This Row],[Aop]],Data[],1)=T$2&amp;Balance_Sheet[[#This Row],[Aop]],VLOOKUP(T$2&amp;Balance_Sheet[[#This Row],[Aop]],Data[],T$1)/Jedinica,"")</f>
        <v/>
      </c>
      <c r="U23" s="38">
        <f>IF(VLOOKUP(U$2&amp;Balance_Sheet[[#This Row],[Aop]],Data[],1)=U$2&amp;Balance_Sheet[[#This Row],[Aop]],VLOOKUP(U$2&amp;Balance_Sheet[[#This Row],[Aop]],Data[],U$1)/Jedinica,"")</f>
        <v>151529610</v>
      </c>
      <c r="V23" s="38">
        <f>IF(VLOOKUP(V$2&amp;Balance_Sheet[[#This Row],[Aop]],Data[],1)=V$2&amp;Balance_Sheet[[#This Row],[Aop]],VLOOKUP(V$2&amp;Balance_Sheet[[#This Row],[Aop]],Data[],V$1)/Jedinica,"")</f>
        <v>5557525</v>
      </c>
      <c r="W23" s="38">
        <f>IF(VLOOKUP(W$2&amp;Balance_Sheet[[#This Row],[Aop]],Data[],1)=W$2&amp;Balance_Sheet[[#This Row],[Aop]],VLOOKUP(W$2&amp;Balance_Sheet[[#This Row],[Aop]],Data[],W$1)/Jedinica,"")</f>
        <v>145972085</v>
      </c>
      <c r="X23" s="38">
        <f>IF(VLOOKUP(X$2&amp;Balance_Sheet[[#This Row],[Aop]],Data[],1)=X$2&amp;Balance_Sheet[[#This Row],[Aop]],VLOOKUP(X$2&amp;Balance_Sheet[[#This Row],[Aop]],Data[],X$1)/Jedinica,"")</f>
        <v>138142641</v>
      </c>
      <c r="Y23" s="38" t="str">
        <f>IF(VLOOKUP(Y$2&amp;Balance_Sheet[[#This Row],[Aop]],Data[],1)=Y$2&amp;Balance_Sheet[[#This Row],[Aop]],VLOOKUP(Y$2&amp;Balance_Sheet[[#This Row],[Aop]],Data[],Y$1)/Jedinica,"")</f>
        <v/>
      </c>
      <c r="Z23" s="38" t="str">
        <f>IF(VLOOKUP(Z$2&amp;Balance_Sheet[[#This Row],[Aop]],Data[],1)=Z$2&amp;Balance_Sheet[[#This Row],[Aop]],VLOOKUP(Z$2&amp;Balance_Sheet[[#This Row],[Aop]],Data[],Z$1)/Jedinica,"")</f>
        <v/>
      </c>
      <c r="AA23" s="38" t="str">
        <f>IF(VLOOKUP(AA$2&amp;Balance_Sheet[[#This Row],[Aop]],Data[],1)=AA$2&amp;Balance_Sheet[[#This Row],[Aop]],VLOOKUP(AA$2&amp;Balance_Sheet[[#This Row],[Aop]],Data[],AA$1)/Jedinica,"")</f>
        <v/>
      </c>
      <c r="AB23" s="38" t="str">
        <f>IF(VLOOKUP(AB$2&amp;Balance_Sheet[[#This Row],[Aop]],Data[],1)=AB$2&amp;Balance_Sheet[[#This Row],[Aop]],VLOOKUP(AB$2&amp;Balance_Sheet[[#This Row],[Aop]],Data[],AB$1)/Jedinica,"")</f>
        <v/>
      </c>
      <c r="AC23" s="38">
        <f>IF(VLOOKUP(AC$2&amp;Balance_Sheet[[#This Row],[Aop]],Data[],1)=AC$2&amp;Balance_Sheet[[#This Row],[Aop]],VLOOKUP(AC$2&amp;Balance_Sheet[[#This Row],[Aop]],Data[],AC$1)/Jedinica,"")</f>
        <v>1233075</v>
      </c>
      <c r="AD23" s="38">
        <f>IF(VLOOKUP(AD$2&amp;Balance_Sheet[[#This Row],[Aop]],Data[],1)=AD$2&amp;Balance_Sheet[[#This Row],[Aop]],VLOOKUP(AD$2&amp;Balance_Sheet[[#This Row],[Aop]],Data[],AD$1)/Jedinica,"")</f>
        <v>426767</v>
      </c>
      <c r="AE23" s="38">
        <f>IF(VLOOKUP(AE$2&amp;Balance_Sheet[[#This Row],[Aop]],Data[],1)=AE$2&amp;Balance_Sheet[[#This Row],[Aop]],VLOOKUP(AE$2&amp;Balance_Sheet[[#This Row],[Aop]],Data[],AE$1)/Jedinica,"")</f>
        <v>806308</v>
      </c>
      <c r="AF23" s="38">
        <f>IF(VLOOKUP(AF$2&amp;Balance_Sheet[[#This Row],[Aop]],Data[],1)=AF$2&amp;Balance_Sheet[[#This Row],[Aop]],VLOOKUP(AF$2&amp;Balance_Sheet[[#This Row],[Aop]],Data[],AF$1)/Jedinica,"")</f>
        <v>1986823</v>
      </c>
    </row>
    <row r="24" spans="1:32" ht="12.75" customHeight="1" x14ac:dyDescent="0.2">
      <c r="A24" s="74">
        <v>19</v>
      </c>
      <c r="B24" s="75">
        <v>2</v>
      </c>
      <c r="C24" s="76" t="str">
        <f>VLOOKUP(Balance_Sheet[[#This Row],[No]],AOP_Balance,3,0)</f>
        <v>018</v>
      </c>
      <c r="D24" s="52" t="str">
        <f>VLOOKUP(Balance_Sheet[[#This Row],[No]],AOP_Balance,7,0)</f>
        <v xml:space="preserve">    5. Hartije od vrijednosti (019 do 021)</v>
      </c>
      <c r="E24" s="38">
        <f>IF(VLOOKUP(E$2&amp;Balance_Sheet[[#This Row],[Aop]],Data[],1)=E$2&amp;Balance_Sheet[[#This Row],[Aop]],VLOOKUP(E$2&amp;Balance_Sheet[[#This Row],[Aop]],Data[],E$1)/Jedinica,"")</f>
        <v>1449129</v>
      </c>
      <c r="F24" s="38">
        <f>IF(VLOOKUP(F$2&amp;Balance_Sheet[[#This Row],[Aop]],Data[],1)=F$2&amp;Balance_Sheet[[#This Row],[Aop]],VLOOKUP(F$2&amp;Balance_Sheet[[#This Row],[Aop]],Data[],F$1)/Jedinica,"")</f>
        <v>0</v>
      </c>
      <c r="G24" s="38">
        <f>IF(VLOOKUP(G$2&amp;Balance_Sheet[[#This Row],[Aop]],Data[],1)=G$2&amp;Balance_Sheet[[#This Row],[Aop]],VLOOKUP(G$2&amp;Balance_Sheet[[#This Row],[Aop]],Data[],G$1)/Jedinica,"")</f>
        <v>1449129</v>
      </c>
      <c r="H24" s="38">
        <f>IF(VLOOKUP(H$2&amp;Balance_Sheet[[#This Row],[Aop]],Data[],1)=H$2&amp;Balance_Sheet[[#This Row],[Aop]],VLOOKUP(H$2&amp;Balance_Sheet[[#This Row],[Aop]],Data[],H$1)/Jedinica,"")</f>
        <v>1435231</v>
      </c>
      <c r="I24" s="38">
        <f>IF(VLOOKUP(I$2&amp;Balance_Sheet[[#This Row],[Aop]],Data[],1)=I$2&amp;Balance_Sheet[[#This Row],[Aop]],VLOOKUP(I$2&amp;Balance_Sheet[[#This Row],[Aop]],Data[],I$1)/Jedinica,"")</f>
        <v>5627840</v>
      </c>
      <c r="J24" s="38">
        <f>IF(VLOOKUP(J$2&amp;Balance_Sheet[[#This Row],[Aop]],Data[],1)=J$2&amp;Balance_Sheet[[#This Row],[Aop]],VLOOKUP(J$2&amp;Balance_Sheet[[#This Row],[Aop]],Data[],J$1)/Jedinica,"")</f>
        <v>1611395</v>
      </c>
      <c r="K24" s="38">
        <f>IF(VLOOKUP(K$2&amp;Balance_Sheet[[#This Row],[Aop]],Data[],1)=K$2&amp;Balance_Sheet[[#This Row],[Aop]],VLOOKUP(K$2&amp;Balance_Sheet[[#This Row],[Aop]],Data[],K$1)/Jedinica,"")</f>
        <v>4016445</v>
      </c>
      <c r="L24" s="38">
        <f>IF(VLOOKUP(L$2&amp;Balance_Sheet[[#This Row],[Aop]],Data[],1)=L$2&amp;Balance_Sheet[[#This Row],[Aop]],VLOOKUP(L$2&amp;Balance_Sheet[[#This Row],[Aop]],Data[],L$1)/Jedinica,"")</f>
        <v>4942671</v>
      </c>
      <c r="M24" s="38">
        <f>IF(VLOOKUP(M$2&amp;Balance_Sheet[[#This Row],[Aop]],Data[],1)=M$2&amp;Balance_Sheet[[#This Row],[Aop]],VLOOKUP(M$2&amp;Balance_Sheet[[#This Row],[Aop]],Data[],M$1)/Jedinica,"")</f>
        <v>19149381</v>
      </c>
      <c r="N24" s="38">
        <f>IF(VLOOKUP(N$2&amp;Balance_Sheet[[#This Row],[Aop]],Data[],1)=N$2&amp;Balance_Sheet[[#This Row],[Aop]],VLOOKUP(N$2&amp;Balance_Sheet[[#This Row],[Aop]],Data[],N$1)/Jedinica,"")</f>
        <v>0</v>
      </c>
      <c r="O24" s="38">
        <f>IF(VLOOKUP(O$2&amp;Balance_Sheet[[#This Row],[Aop]],Data[],1)=O$2&amp;Balance_Sheet[[#This Row],[Aop]],VLOOKUP(O$2&amp;Balance_Sheet[[#This Row],[Aop]],Data[],O$1)/Jedinica,"")</f>
        <v>19149381</v>
      </c>
      <c r="P24" s="38">
        <f>IF(VLOOKUP(P$2&amp;Balance_Sheet[[#This Row],[Aop]],Data[],1)=P$2&amp;Balance_Sheet[[#This Row],[Aop]],VLOOKUP(P$2&amp;Balance_Sheet[[#This Row],[Aop]],Data[],P$1)/Jedinica,"")</f>
        <v>0</v>
      </c>
      <c r="Q24" s="38" t="str">
        <f>IF(VLOOKUP(Q$2&amp;Balance_Sheet[[#This Row],[Aop]],Data[],1)=Q$2&amp;Balance_Sheet[[#This Row],[Aop]],VLOOKUP(Q$2&amp;Balance_Sheet[[#This Row],[Aop]],Data[],Q$1)/Jedinica,"")</f>
        <v/>
      </c>
      <c r="R24" s="38" t="str">
        <f>IF(VLOOKUP(R$2&amp;Balance_Sheet[[#This Row],[Aop]],Data[],1)=R$2&amp;Balance_Sheet[[#This Row],[Aop]],VLOOKUP(R$2&amp;Balance_Sheet[[#This Row],[Aop]],Data[],R$1)/Jedinica,"")</f>
        <v/>
      </c>
      <c r="S24" s="38" t="str">
        <f>IF(VLOOKUP(S$2&amp;Balance_Sheet[[#This Row],[Aop]],Data[],1)=S$2&amp;Balance_Sheet[[#This Row],[Aop]],VLOOKUP(S$2&amp;Balance_Sheet[[#This Row],[Aop]],Data[],S$1)/Jedinica,"")</f>
        <v/>
      </c>
      <c r="T24" s="38" t="str">
        <f>IF(VLOOKUP(T$2&amp;Balance_Sheet[[#This Row],[Aop]],Data[],1)=T$2&amp;Balance_Sheet[[#This Row],[Aop]],VLOOKUP(T$2&amp;Balance_Sheet[[#This Row],[Aop]],Data[],T$1)/Jedinica,"")</f>
        <v/>
      </c>
      <c r="U24" s="38">
        <f>IF(VLOOKUP(U$2&amp;Balance_Sheet[[#This Row],[Aop]],Data[],1)=U$2&amp;Balance_Sheet[[#This Row],[Aop]],VLOOKUP(U$2&amp;Balance_Sheet[[#This Row],[Aop]],Data[],U$1)/Jedinica,"")</f>
        <v>79014663</v>
      </c>
      <c r="V24" s="38">
        <f>IF(VLOOKUP(V$2&amp;Balance_Sheet[[#This Row],[Aop]],Data[],1)=V$2&amp;Balance_Sheet[[#This Row],[Aop]],VLOOKUP(V$2&amp;Balance_Sheet[[#This Row],[Aop]],Data[],V$1)/Jedinica,"")</f>
        <v>319149</v>
      </c>
      <c r="W24" s="38">
        <f>IF(VLOOKUP(W$2&amp;Balance_Sheet[[#This Row],[Aop]],Data[],1)=W$2&amp;Balance_Sheet[[#This Row],[Aop]],VLOOKUP(W$2&amp;Balance_Sheet[[#This Row],[Aop]],Data[],W$1)/Jedinica,"")</f>
        <v>78695514</v>
      </c>
      <c r="X24" s="38">
        <f>IF(VLOOKUP(X$2&amp;Balance_Sheet[[#This Row],[Aop]],Data[],1)=X$2&amp;Balance_Sheet[[#This Row],[Aop]],VLOOKUP(X$2&amp;Balance_Sheet[[#This Row],[Aop]],Data[],X$1)/Jedinica,"")</f>
        <v>55897223</v>
      </c>
      <c r="Y24" s="38" t="str">
        <f>IF(VLOOKUP(Y$2&amp;Balance_Sheet[[#This Row],[Aop]],Data[],1)=Y$2&amp;Balance_Sheet[[#This Row],[Aop]],VLOOKUP(Y$2&amp;Balance_Sheet[[#This Row],[Aop]],Data[],Y$1)/Jedinica,"")</f>
        <v/>
      </c>
      <c r="Z24" s="38" t="str">
        <f>IF(VLOOKUP(Z$2&amp;Balance_Sheet[[#This Row],[Aop]],Data[],1)=Z$2&amp;Balance_Sheet[[#This Row],[Aop]],VLOOKUP(Z$2&amp;Balance_Sheet[[#This Row],[Aop]],Data[],Z$1)/Jedinica,"")</f>
        <v/>
      </c>
      <c r="AA24" s="38" t="str">
        <f>IF(VLOOKUP(AA$2&amp;Balance_Sheet[[#This Row],[Aop]],Data[],1)=AA$2&amp;Balance_Sheet[[#This Row],[Aop]],VLOOKUP(AA$2&amp;Balance_Sheet[[#This Row],[Aop]],Data[],AA$1)/Jedinica,"")</f>
        <v/>
      </c>
      <c r="AB24" s="38" t="str">
        <f>IF(VLOOKUP(AB$2&amp;Balance_Sheet[[#This Row],[Aop]],Data[],1)=AB$2&amp;Balance_Sheet[[#This Row],[Aop]],VLOOKUP(AB$2&amp;Balance_Sheet[[#This Row],[Aop]],Data[],AB$1)/Jedinica,"")</f>
        <v/>
      </c>
      <c r="AC24" s="38">
        <f>IF(VLOOKUP(AC$2&amp;Balance_Sheet[[#This Row],[Aop]],Data[],1)=AC$2&amp;Balance_Sheet[[#This Row],[Aop]],VLOOKUP(AC$2&amp;Balance_Sheet[[#This Row],[Aop]],Data[],AC$1)/Jedinica,"")</f>
        <v>156100484</v>
      </c>
      <c r="AD24" s="38">
        <f>IF(VLOOKUP(AD$2&amp;Balance_Sheet[[#This Row],[Aop]],Data[],1)=AD$2&amp;Balance_Sheet[[#This Row],[Aop]],VLOOKUP(AD$2&amp;Balance_Sheet[[#This Row],[Aop]],Data[],AD$1)/Jedinica,"")</f>
        <v>82145</v>
      </c>
      <c r="AE24" s="38">
        <f>IF(VLOOKUP(AE$2&amp;Balance_Sheet[[#This Row],[Aop]],Data[],1)=AE$2&amp;Balance_Sheet[[#This Row],[Aop]],VLOOKUP(AE$2&amp;Balance_Sheet[[#This Row],[Aop]],Data[],AE$1)/Jedinica,"")</f>
        <v>156018339</v>
      </c>
      <c r="AF24" s="38">
        <f>IF(VLOOKUP(AF$2&amp;Balance_Sheet[[#This Row],[Aop]],Data[],1)=AF$2&amp;Balance_Sheet[[#This Row],[Aop]],VLOOKUP(AF$2&amp;Balance_Sheet[[#This Row],[Aop]],Data[],AF$1)/Jedinica,"")</f>
        <v>139531185</v>
      </c>
    </row>
    <row r="25" spans="1:32" ht="12.75" customHeight="1" x14ac:dyDescent="0.2">
      <c r="A25" s="74">
        <v>20</v>
      </c>
      <c r="B25" s="75">
        <v>3</v>
      </c>
      <c r="C25" s="76" t="str">
        <f>VLOOKUP(Balance_Sheet[[#This Row],[No]],AOP_Balance,3,0)</f>
        <v>019</v>
      </c>
      <c r="D25" s="52" t="str">
        <f>VLOOKUP(Balance_Sheet[[#This Row],[No]],AOP_Balance,7,0)</f>
        <v xml:space="preserve">      a) HOV u domaćoj valuti</v>
      </c>
      <c r="E25" s="38">
        <f>IF(VLOOKUP(E$2&amp;Balance_Sheet[[#This Row],[Aop]],Data[],1)=E$2&amp;Balance_Sheet[[#This Row],[Aop]],VLOOKUP(E$2&amp;Balance_Sheet[[#This Row],[Aop]],Data[],E$1)/Jedinica,"")</f>
        <v>1449129</v>
      </c>
      <c r="F25" s="38">
        <f>IF(VLOOKUP(F$2&amp;Balance_Sheet[[#This Row],[Aop]],Data[],1)=F$2&amp;Balance_Sheet[[#This Row],[Aop]],VLOOKUP(F$2&amp;Balance_Sheet[[#This Row],[Aop]],Data[],F$1)/Jedinica,"")</f>
        <v>0</v>
      </c>
      <c r="G25" s="38">
        <f>IF(VLOOKUP(G$2&amp;Balance_Sheet[[#This Row],[Aop]],Data[],1)=G$2&amp;Balance_Sheet[[#This Row],[Aop]],VLOOKUP(G$2&amp;Balance_Sheet[[#This Row],[Aop]],Data[],G$1)/Jedinica,"")</f>
        <v>1449129</v>
      </c>
      <c r="H25" s="38">
        <f>IF(VLOOKUP(H$2&amp;Balance_Sheet[[#This Row],[Aop]],Data[],1)=H$2&amp;Balance_Sheet[[#This Row],[Aop]],VLOOKUP(H$2&amp;Balance_Sheet[[#This Row],[Aop]],Data[],H$1)/Jedinica,"")</f>
        <v>1435231</v>
      </c>
      <c r="I25" s="38">
        <f>IF(VLOOKUP(I$2&amp;Balance_Sheet[[#This Row],[Aop]],Data[],1)=I$2&amp;Balance_Sheet[[#This Row],[Aop]],VLOOKUP(I$2&amp;Balance_Sheet[[#This Row],[Aop]],Data[],I$1)/Jedinica,"")</f>
        <v>2938524</v>
      </c>
      <c r="J25" s="38">
        <f>IF(VLOOKUP(J$2&amp;Balance_Sheet[[#This Row],[Aop]],Data[],1)=J$2&amp;Balance_Sheet[[#This Row],[Aop]],VLOOKUP(J$2&amp;Balance_Sheet[[#This Row],[Aop]],Data[],J$1)/Jedinica,"")</f>
        <v>0</v>
      </c>
      <c r="K25" s="38">
        <f>IF(VLOOKUP(K$2&amp;Balance_Sheet[[#This Row],[Aop]],Data[],1)=K$2&amp;Balance_Sheet[[#This Row],[Aop]],VLOOKUP(K$2&amp;Balance_Sheet[[#This Row],[Aop]],Data[],K$1)/Jedinica,"")</f>
        <v>2938524</v>
      </c>
      <c r="L25" s="38">
        <f>IF(VLOOKUP(L$2&amp;Balance_Sheet[[#This Row],[Aop]],Data[],1)=L$2&amp;Balance_Sheet[[#This Row],[Aop]],VLOOKUP(L$2&amp;Balance_Sheet[[#This Row],[Aop]],Data[],L$1)/Jedinica,"")</f>
        <v>3864750</v>
      </c>
      <c r="M25" s="38" t="str">
        <f>IF(VLOOKUP(M$2&amp;Balance_Sheet[[#This Row],[Aop]],Data[],1)=M$2&amp;Balance_Sheet[[#This Row],[Aop]],VLOOKUP(M$2&amp;Balance_Sheet[[#This Row],[Aop]],Data[],M$1)/Jedinica,"")</f>
        <v/>
      </c>
      <c r="N25" s="38" t="str">
        <f>IF(VLOOKUP(N$2&amp;Balance_Sheet[[#This Row],[Aop]],Data[],1)=N$2&amp;Balance_Sheet[[#This Row],[Aop]],VLOOKUP(N$2&amp;Balance_Sheet[[#This Row],[Aop]],Data[],N$1)/Jedinica,"")</f>
        <v/>
      </c>
      <c r="O25" s="38" t="str">
        <f>IF(VLOOKUP(O$2&amp;Balance_Sheet[[#This Row],[Aop]],Data[],1)=O$2&amp;Balance_Sheet[[#This Row],[Aop]],VLOOKUP(O$2&amp;Balance_Sheet[[#This Row],[Aop]],Data[],O$1)/Jedinica,"")</f>
        <v/>
      </c>
      <c r="P25" s="38" t="str">
        <f>IF(VLOOKUP(P$2&amp;Balance_Sheet[[#This Row],[Aop]],Data[],1)=P$2&amp;Balance_Sheet[[#This Row],[Aop]],VLOOKUP(P$2&amp;Balance_Sheet[[#This Row],[Aop]],Data[],P$1)/Jedinica,"")</f>
        <v/>
      </c>
      <c r="Q25" s="38" t="str">
        <f>IF(VLOOKUP(Q$2&amp;Balance_Sheet[[#This Row],[Aop]],Data[],1)=Q$2&amp;Balance_Sheet[[#This Row],[Aop]],VLOOKUP(Q$2&amp;Balance_Sheet[[#This Row],[Aop]],Data[],Q$1)/Jedinica,"")</f>
        <v/>
      </c>
      <c r="R25" s="38" t="str">
        <f>IF(VLOOKUP(R$2&amp;Balance_Sheet[[#This Row],[Aop]],Data[],1)=R$2&amp;Balance_Sheet[[#This Row],[Aop]],VLOOKUP(R$2&amp;Balance_Sheet[[#This Row],[Aop]],Data[],R$1)/Jedinica,"")</f>
        <v/>
      </c>
      <c r="S25" s="38" t="str">
        <f>IF(VLOOKUP(S$2&amp;Balance_Sheet[[#This Row],[Aop]],Data[],1)=S$2&amp;Balance_Sheet[[#This Row],[Aop]],VLOOKUP(S$2&amp;Balance_Sheet[[#This Row],[Aop]],Data[],S$1)/Jedinica,"")</f>
        <v/>
      </c>
      <c r="T25" s="38" t="str">
        <f>IF(VLOOKUP(T$2&amp;Balance_Sheet[[#This Row],[Aop]],Data[],1)=T$2&amp;Balance_Sheet[[#This Row],[Aop]],VLOOKUP(T$2&amp;Balance_Sheet[[#This Row],[Aop]],Data[],T$1)/Jedinica,"")</f>
        <v/>
      </c>
      <c r="U25" s="38">
        <f>IF(VLOOKUP(U$2&amp;Balance_Sheet[[#This Row],[Aop]],Data[],1)=U$2&amp;Balance_Sheet[[#This Row],[Aop]],VLOOKUP(U$2&amp;Balance_Sheet[[#This Row],[Aop]],Data[],U$1)/Jedinica,"")</f>
        <v>58276243</v>
      </c>
      <c r="V25" s="38">
        <f>IF(VLOOKUP(V$2&amp;Balance_Sheet[[#This Row],[Aop]],Data[],1)=V$2&amp;Balance_Sheet[[#This Row],[Aop]],VLOOKUP(V$2&amp;Balance_Sheet[[#This Row],[Aop]],Data[],V$1)/Jedinica,"")</f>
        <v>319149</v>
      </c>
      <c r="W25" s="38">
        <f>IF(VLOOKUP(W$2&amp;Balance_Sheet[[#This Row],[Aop]],Data[],1)=W$2&amp;Balance_Sheet[[#This Row],[Aop]],VLOOKUP(W$2&amp;Balance_Sheet[[#This Row],[Aop]],Data[],W$1)/Jedinica,"")</f>
        <v>57957094</v>
      </c>
      <c r="X25" s="38">
        <f>IF(VLOOKUP(X$2&amp;Balance_Sheet[[#This Row],[Aop]],Data[],1)=X$2&amp;Balance_Sheet[[#This Row],[Aop]],VLOOKUP(X$2&amp;Balance_Sheet[[#This Row],[Aop]],Data[],X$1)/Jedinica,"")</f>
        <v>50952021</v>
      </c>
      <c r="Y25" s="38" t="str">
        <f>IF(VLOOKUP(Y$2&amp;Balance_Sheet[[#This Row],[Aop]],Data[],1)=Y$2&amp;Balance_Sheet[[#This Row],[Aop]],VLOOKUP(Y$2&amp;Balance_Sheet[[#This Row],[Aop]],Data[],Y$1)/Jedinica,"")</f>
        <v/>
      </c>
      <c r="Z25" s="38" t="str">
        <f>IF(VLOOKUP(Z$2&amp;Balance_Sheet[[#This Row],[Aop]],Data[],1)=Z$2&amp;Balance_Sheet[[#This Row],[Aop]],VLOOKUP(Z$2&amp;Balance_Sheet[[#This Row],[Aop]],Data[],Z$1)/Jedinica,"")</f>
        <v/>
      </c>
      <c r="AA25" s="38" t="str">
        <f>IF(VLOOKUP(AA$2&amp;Balance_Sheet[[#This Row],[Aop]],Data[],1)=AA$2&amp;Balance_Sheet[[#This Row],[Aop]],VLOOKUP(AA$2&amp;Balance_Sheet[[#This Row],[Aop]],Data[],AA$1)/Jedinica,"")</f>
        <v/>
      </c>
      <c r="AB25" s="38" t="str">
        <f>IF(VLOOKUP(AB$2&amp;Balance_Sheet[[#This Row],[Aop]],Data[],1)=AB$2&amp;Balance_Sheet[[#This Row],[Aop]],VLOOKUP(AB$2&amp;Balance_Sheet[[#This Row],[Aop]],Data[],AB$1)/Jedinica,"")</f>
        <v/>
      </c>
      <c r="AC25" s="38">
        <f>IF(VLOOKUP(AC$2&amp;Balance_Sheet[[#This Row],[Aop]],Data[],1)=AC$2&amp;Balance_Sheet[[#This Row],[Aop]],VLOOKUP(AC$2&amp;Balance_Sheet[[#This Row],[Aop]],Data[],AC$1)/Jedinica,"")</f>
        <v>37971741</v>
      </c>
      <c r="AD25" s="38">
        <f>IF(VLOOKUP(AD$2&amp;Balance_Sheet[[#This Row],[Aop]],Data[],1)=AD$2&amp;Balance_Sheet[[#This Row],[Aop]],VLOOKUP(AD$2&amp;Balance_Sheet[[#This Row],[Aop]],Data[],AD$1)/Jedinica,"")</f>
        <v>0</v>
      </c>
      <c r="AE25" s="38">
        <f>IF(VLOOKUP(AE$2&amp;Balance_Sheet[[#This Row],[Aop]],Data[],1)=AE$2&amp;Balance_Sheet[[#This Row],[Aop]],VLOOKUP(AE$2&amp;Balance_Sheet[[#This Row],[Aop]],Data[],AE$1)/Jedinica,"")</f>
        <v>37971741</v>
      </c>
      <c r="AF25" s="38">
        <f>IF(VLOOKUP(AF$2&amp;Balance_Sheet[[#This Row],[Aop]],Data[],1)=AF$2&amp;Balance_Sheet[[#This Row],[Aop]],VLOOKUP(AF$2&amp;Balance_Sheet[[#This Row],[Aop]],Data[],AF$1)/Jedinica,"")</f>
        <v>36915233</v>
      </c>
    </row>
    <row r="26" spans="1:32" ht="12.75" customHeight="1" x14ac:dyDescent="0.2">
      <c r="A26" s="74">
        <v>21</v>
      </c>
      <c r="B26" s="75">
        <v>3</v>
      </c>
      <c r="C26" s="76" t="str">
        <f>VLOOKUP(Balance_Sheet[[#This Row],[No]],AOP_Balance,3,0)</f>
        <v>020</v>
      </c>
      <c r="D26" s="52" t="str">
        <f>VLOOKUP(Balance_Sheet[[#This Row],[No]],AOP_Balance,7,0)</f>
        <v xml:space="preserve">      b) HOV sa ugovorenom zaštitom od rizika u domaćoj valuti</v>
      </c>
      <c r="E26" s="38" t="str">
        <f>IF(VLOOKUP(E$2&amp;Balance_Sheet[[#This Row],[Aop]],Data[],1)=E$2&amp;Balance_Sheet[[#This Row],[Aop]],VLOOKUP(E$2&amp;Balance_Sheet[[#This Row],[Aop]],Data[],E$1)/Jedinica,"")</f>
        <v/>
      </c>
      <c r="F26" s="38" t="str">
        <f>IF(VLOOKUP(F$2&amp;Balance_Sheet[[#This Row],[Aop]],Data[],1)=F$2&amp;Balance_Sheet[[#This Row],[Aop]],VLOOKUP(F$2&amp;Balance_Sheet[[#This Row],[Aop]],Data[],F$1)/Jedinica,"")</f>
        <v/>
      </c>
      <c r="G26" s="38" t="str">
        <f>IF(VLOOKUP(G$2&amp;Balance_Sheet[[#This Row],[Aop]],Data[],1)=G$2&amp;Balance_Sheet[[#This Row],[Aop]],VLOOKUP(G$2&amp;Balance_Sheet[[#This Row],[Aop]],Data[],G$1)/Jedinica,"")</f>
        <v/>
      </c>
      <c r="H26" s="38" t="str">
        <f>IF(VLOOKUP(H$2&amp;Balance_Sheet[[#This Row],[Aop]],Data[],1)=H$2&amp;Balance_Sheet[[#This Row],[Aop]],VLOOKUP(H$2&amp;Balance_Sheet[[#This Row],[Aop]],Data[],H$1)/Jedinica,"")</f>
        <v/>
      </c>
      <c r="I26" s="38" t="str">
        <f>IF(VLOOKUP(I$2&amp;Balance_Sheet[[#This Row],[Aop]],Data[],1)=I$2&amp;Balance_Sheet[[#This Row],[Aop]],VLOOKUP(I$2&amp;Balance_Sheet[[#This Row],[Aop]],Data[],I$1)/Jedinica,"")</f>
        <v/>
      </c>
      <c r="J26" s="38" t="str">
        <f>IF(VLOOKUP(J$2&amp;Balance_Sheet[[#This Row],[Aop]],Data[],1)=J$2&amp;Balance_Sheet[[#This Row],[Aop]],VLOOKUP(J$2&amp;Balance_Sheet[[#This Row],[Aop]],Data[],J$1)/Jedinica,"")</f>
        <v/>
      </c>
      <c r="K26" s="38" t="str">
        <f>IF(VLOOKUP(K$2&amp;Balance_Sheet[[#This Row],[Aop]],Data[],1)=K$2&amp;Balance_Sheet[[#This Row],[Aop]],VLOOKUP(K$2&amp;Balance_Sheet[[#This Row],[Aop]],Data[],K$1)/Jedinica,"")</f>
        <v/>
      </c>
      <c r="L26" s="38" t="str">
        <f>IF(VLOOKUP(L$2&amp;Balance_Sheet[[#This Row],[Aop]],Data[],1)=L$2&amp;Balance_Sheet[[#This Row],[Aop]],VLOOKUP(L$2&amp;Balance_Sheet[[#This Row],[Aop]],Data[],L$1)/Jedinica,"")</f>
        <v/>
      </c>
      <c r="M26" s="38">
        <f>IF(VLOOKUP(M$2&amp;Balance_Sheet[[#This Row],[Aop]],Data[],1)=M$2&amp;Balance_Sheet[[#This Row],[Aop]],VLOOKUP(M$2&amp;Balance_Sheet[[#This Row],[Aop]],Data[],M$1)/Jedinica,"")</f>
        <v>4952421</v>
      </c>
      <c r="N26" s="38">
        <f>IF(VLOOKUP(N$2&amp;Balance_Sheet[[#This Row],[Aop]],Data[],1)=N$2&amp;Balance_Sheet[[#This Row],[Aop]],VLOOKUP(N$2&amp;Balance_Sheet[[#This Row],[Aop]],Data[],N$1)/Jedinica,"")</f>
        <v>0</v>
      </c>
      <c r="O26" s="38">
        <f>IF(VLOOKUP(O$2&amp;Balance_Sheet[[#This Row],[Aop]],Data[],1)=O$2&amp;Balance_Sheet[[#This Row],[Aop]],VLOOKUP(O$2&amp;Balance_Sheet[[#This Row],[Aop]],Data[],O$1)/Jedinica,"")</f>
        <v>4952421</v>
      </c>
      <c r="P26" s="38">
        <f>IF(VLOOKUP(P$2&amp;Balance_Sheet[[#This Row],[Aop]],Data[],1)=P$2&amp;Balance_Sheet[[#This Row],[Aop]],VLOOKUP(P$2&amp;Balance_Sheet[[#This Row],[Aop]],Data[],P$1)/Jedinica,"")</f>
        <v>0</v>
      </c>
      <c r="Q26" s="38" t="str">
        <f>IF(VLOOKUP(Q$2&amp;Balance_Sheet[[#This Row],[Aop]],Data[],1)=Q$2&amp;Balance_Sheet[[#This Row],[Aop]],VLOOKUP(Q$2&amp;Balance_Sheet[[#This Row],[Aop]],Data[],Q$1)/Jedinica,"")</f>
        <v/>
      </c>
      <c r="R26" s="38" t="str">
        <f>IF(VLOOKUP(R$2&amp;Balance_Sheet[[#This Row],[Aop]],Data[],1)=R$2&amp;Balance_Sheet[[#This Row],[Aop]],VLOOKUP(R$2&amp;Balance_Sheet[[#This Row],[Aop]],Data[],R$1)/Jedinica,"")</f>
        <v/>
      </c>
      <c r="S26" s="38" t="str">
        <f>IF(VLOOKUP(S$2&amp;Balance_Sheet[[#This Row],[Aop]],Data[],1)=S$2&amp;Balance_Sheet[[#This Row],[Aop]],VLOOKUP(S$2&amp;Balance_Sheet[[#This Row],[Aop]],Data[],S$1)/Jedinica,"")</f>
        <v/>
      </c>
      <c r="T26" s="38" t="str">
        <f>IF(VLOOKUP(T$2&amp;Balance_Sheet[[#This Row],[Aop]],Data[],1)=T$2&amp;Balance_Sheet[[#This Row],[Aop]],VLOOKUP(T$2&amp;Balance_Sheet[[#This Row],[Aop]],Data[],T$1)/Jedinica,"")</f>
        <v/>
      </c>
      <c r="U26" s="38">
        <f>IF(VLOOKUP(U$2&amp;Balance_Sheet[[#This Row],[Aop]],Data[],1)=U$2&amp;Balance_Sheet[[#This Row],[Aop]],VLOOKUP(U$2&amp;Balance_Sheet[[#This Row],[Aop]],Data[],U$1)/Jedinica,"")</f>
        <v>20738420</v>
      </c>
      <c r="V26" s="38">
        <f>IF(VLOOKUP(V$2&amp;Balance_Sheet[[#This Row],[Aop]],Data[],1)=V$2&amp;Balance_Sheet[[#This Row],[Aop]],VLOOKUP(V$2&amp;Balance_Sheet[[#This Row],[Aop]],Data[],V$1)/Jedinica,"")</f>
        <v>0</v>
      </c>
      <c r="W26" s="38">
        <f>IF(VLOOKUP(W$2&amp;Balance_Sheet[[#This Row],[Aop]],Data[],1)=W$2&amp;Balance_Sheet[[#This Row],[Aop]],VLOOKUP(W$2&amp;Balance_Sheet[[#This Row],[Aop]],Data[],W$1)/Jedinica,"")</f>
        <v>20738420</v>
      </c>
      <c r="X26" s="38">
        <f>IF(VLOOKUP(X$2&amp;Balance_Sheet[[#This Row],[Aop]],Data[],1)=X$2&amp;Balance_Sheet[[#This Row],[Aop]],VLOOKUP(X$2&amp;Balance_Sheet[[#This Row],[Aop]],Data[],X$1)/Jedinica,"")</f>
        <v>4945202</v>
      </c>
      <c r="Y26" s="38" t="str">
        <f>IF(VLOOKUP(Y$2&amp;Balance_Sheet[[#This Row],[Aop]],Data[],1)=Y$2&amp;Balance_Sheet[[#This Row],[Aop]],VLOOKUP(Y$2&amp;Balance_Sheet[[#This Row],[Aop]],Data[],Y$1)/Jedinica,"")</f>
        <v/>
      </c>
      <c r="Z26" s="38" t="str">
        <f>IF(VLOOKUP(Z$2&amp;Balance_Sheet[[#This Row],[Aop]],Data[],1)=Z$2&amp;Balance_Sheet[[#This Row],[Aop]],VLOOKUP(Z$2&amp;Balance_Sheet[[#This Row],[Aop]],Data[],Z$1)/Jedinica,"")</f>
        <v/>
      </c>
      <c r="AA26" s="38" t="str">
        <f>IF(VLOOKUP(AA$2&amp;Balance_Sheet[[#This Row],[Aop]],Data[],1)=AA$2&amp;Balance_Sheet[[#This Row],[Aop]],VLOOKUP(AA$2&amp;Balance_Sheet[[#This Row],[Aop]],Data[],AA$1)/Jedinica,"")</f>
        <v/>
      </c>
      <c r="AB26" s="38" t="str">
        <f>IF(VLOOKUP(AB$2&amp;Balance_Sheet[[#This Row],[Aop]],Data[],1)=AB$2&amp;Balance_Sheet[[#This Row],[Aop]],VLOOKUP(AB$2&amp;Balance_Sheet[[#This Row],[Aop]],Data[],AB$1)/Jedinica,"")</f>
        <v/>
      </c>
      <c r="AC26" s="38">
        <f>IF(VLOOKUP(AC$2&amp;Balance_Sheet[[#This Row],[Aop]],Data[],1)=AC$2&amp;Balance_Sheet[[#This Row],[Aop]],VLOOKUP(AC$2&amp;Balance_Sheet[[#This Row],[Aop]],Data[],AC$1)/Jedinica,"")</f>
        <v>26422995</v>
      </c>
      <c r="AD26" s="38">
        <f>IF(VLOOKUP(AD$2&amp;Balance_Sheet[[#This Row],[Aop]],Data[],1)=AD$2&amp;Balance_Sheet[[#This Row],[Aop]],VLOOKUP(AD$2&amp;Balance_Sheet[[#This Row],[Aop]],Data[],AD$1)/Jedinica,"")</f>
        <v>0</v>
      </c>
      <c r="AE26" s="38">
        <f>IF(VLOOKUP(AE$2&amp;Balance_Sheet[[#This Row],[Aop]],Data[],1)=AE$2&amp;Balance_Sheet[[#This Row],[Aop]],VLOOKUP(AE$2&amp;Balance_Sheet[[#This Row],[Aop]],Data[],AE$1)/Jedinica,"")</f>
        <v>26422995</v>
      </c>
      <c r="AF26" s="38">
        <f>IF(VLOOKUP(AF$2&amp;Balance_Sheet[[#This Row],[Aop]],Data[],1)=AF$2&amp;Balance_Sheet[[#This Row],[Aop]],VLOOKUP(AF$2&amp;Balance_Sheet[[#This Row],[Aop]],Data[],AF$1)/Jedinica,"")</f>
        <v>25966166</v>
      </c>
    </row>
    <row r="27" spans="1:32" ht="12.75" customHeight="1" x14ac:dyDescent="0.2">
      <c r="A27" s="74">
        <v>22</v>
      </c>
      <c r="B27" s="75">
        <v>3</v>
      </c>
      <c r="C27" s="76" t="str">
        <f>VLOOKUP(Balance_Sheet[[#This Row],[No]],AOP_Balance,3,0)</f>
        <v>021</v>
      </c>
      <c r="D27" s="52" t="str">
        <f>VLOOKUP(Balance_Sheet[[#This Row],[No]],AOP_Balance,7,0)</f>
        <v xml:space="preserve">      v) HOV u stranoj valuti</v>
      </c>
      <c r="E27" s="38" t="str">
        <f>IF(VLOOKUP(E$2&amp;Balance_Sheet[[#This Row],[Aop]],Data[],1)=E$2&amp;Balance_Sheet[[#This Row],[Aop]],VLOOKUP(E$2&amp;Balance_Sheet[[#This Row],[Aop]],Data[],E$1)/Jedinica,"")</f>
        <v/>
      </c>
      <c r="F27" s="38" t="str">
        <f>IF(VLOOKUP(F$2&amp;Balance_Sheet[[#This Row],[Aop]],Data[],1)=F$2&amp;Balance_Sheet[[#This Row],[Aop]],VLOOKUP(F$2&amp;Balance_Sheet[[#This Row],[Aop]],Data[],F$1)/Jedinica,"")</f>
        <v/>
      </c>
      <c r="G27" s="38" t="str">
        <f>IF(VLOOKUP(G$2&amp;Balance_Sheet[[#This Row],[Aop]],Data[],1)=G$2&amp;Balance_Sheet[[#This Row],[Aop]],VLOOKUP(G$2&amp;Balance_Sheet[[#This Row],[Aop]],Data[],G$1)/Jedinica,"")</f>
        <v/>
      </c>
      <c r="H27" s="38" t="str">
        <f>IF(VLOOKUP(H$2&amp;Balance_Sheet[[#This Row],[Aop]],Data[],1)=H$2&amp;Balance_Sheet[[#This Row],[Aop]],VLOOKUP(H$2&amp;Balance_Sheet[[#This Row],[Aop]],Data[],H$1)/Jedinica,"")</f>
        <v/>
      </c>
      <c r="I27" s="38">
        <f>IF(VLOOKUP(I$2&amp;Balance_Sheet[[#This Row],[Aop]],Data[],1)=I$2&amp;Balance_Sheet[[#This Row],[Aop]],VLOOKUP(I$2&amp;Balance_Sheet[[#This Row],[Aop]],Data[],I$1)/Jedinica,"")</f>
        <v>2689316</v>
      </c>
      <c r="J27" s="38">
        <f>IF(VLOOKUP(J$2&amp;Balance_Sheet[[#This Row],[Aop]],Data[],1)=J$2&amp;Balance_Sheet[[#This Row],[Aop]],VLOOKUP(J$2&amp;Balance_Sheet[[#This Row],[Aop]],Data[],J$1)/Jedinica,"")</f>
        <v>1611395</v>
      </c>
      <c r="K27" s="38">
        <f>IF(VLOOKUP(K$2&amp;Balance_Sheet[[#This Row],[Aop]],Data[],1)=K$2&amp;Balance_Sheet[[#This Row],[Aop]],VLOOKUP(K$2&amp;Balance_Sheet[[#This Row],[Aop]],Data[],K$1)/Jedinica,"")</f>
        <v>1077921</v>
      </c>
      <c r="L27" s="38">
        <f>IF(VLOOKUP(L$2&amp;Balance_Sheet[[#This Row],[Aop]],Data[],1)=L$2&amp;Balance_Sheet[[#This Row],[Aop]],VLOOKUP(L$2&amp;Balance_Sheet[[#This Row],[Aop]],Data[],L$1)/Jedinica,"")</f>
        <v>1077921</v>
      </c>
      <c r="M27" s="38">
        <f>IF(VLOOKUP(M$2&amp;Balance_Sheet[[#This Row],[Aop]],Data[],1)=M$2&amp;Balance_Sheet[[#This Row],[Aop]],VLOOKUP(M$2&amp;Balance_Sheet[[#This Row],[Aop]],Data[],M$1)/Jedinica,"")</f>
        <v>14196960</v>
      </c>
      <c r="N27" s="38">
        <f>IF(VLOOKUP(N$2&amp;Balance_Sheet[[#This Row],[Aop]],Data[],1)=N$2&amp;Balance_Sheet[[#This Row],[Aop]],VLOOKUP(N$2&amp;Balance_Sheet[[#This Row],[Aop]],Data[],N$1)/Jedinica,"")</f>
        <v>0</v>
      </c>
      <c r="O27" s="38">
        <f>IF(VLOOKUP(O$2&amp;Balance_Sheet[[#This Row],[Aop]],Data[],1)=O$2&amp;Balance_Sheet[[#This Row],[Aop]],VLOOKUP(O$2&amp;Balance_Sheet[[#This Row],[Aop]],Data[],O$1)/Jedinica,"")</f>
        <v>14196960</v>
      </c>
      <c r="P27" s="38">
        <f>IF(VLOOKUP(P$2&amp;Balance_Sheet[[#This Row],[Aop]],Data[],1)=P$2&amp;Balance_Sheet[[#This Row],[Aop]],VLOOKUP(P$2&amp;Balance_Sheet[[#This Row],[Aop]],Data[],P$1)/Jedinica,"")</f>
        <v>0</v>
      </c>
      <c r="Q27" s="38" t="str">
        <f>IF(VLOOKUP(Q$2&amp;Balance_Sheet[[#This Row],[Aop]],Data[],1)=Q$2&amp;Balance_Sheet[[#This Row],[Aop]],VLOOKUP(Q$2&amp;Balance_Sheet[[#This Row],[Aop]],Data[],Q$1)/Jedinica,"")</f>
        <v/>
      </c>
      <c r="R27" s="38" t="str">
        <f>IF(VLOOKUP(R$2&amp;Balance_Sheet[[#This Row],[Aop]],Data[],1)=R$2&amp;Balance_Sheet[[#This Row],[Aop]],VLOOKUP(R$2&amp;Balance_Sheet[[#This Row],[Aop]],Data[],R$1)/Jedinica,"")</f>
        <v/>
      </c>
      <c r="S27" s="38" t="str">
        <f>IF(VLOOKUP(S$2&amp;Balance_Sheet[[#This Row],[Aop]],Data[],1)=S$2&amp;Balance_Sheet[[#This Row],[Aop]],VLOOKUP(S$2&amp;Balance_Sheet[[#This Row],[Aop]],Data[],S$1)/Jedinica,"")</f>
        <v/>
      </c>
      <c r="T27" s="38" t="str">
        <f>IF(VLOOKUP(T$2&amp;Balance_Sheet[[#This Row],[Aop]],Data[],1)=T$2&amp;Balance_Sheet[[#This Row],[Aop]],VLOOKUP(T$2&amp;Balance_Sheet[[#This Row],[Aop]],Data[],T$1)/Jedinica,"")</f>
        <v/>
      </c>
      <c r="U27" s="38" t="str">
        <f>IF(VLOOKUP(U$2&amp;Balance_Sheet[[#This Row],[Aop]],Data[],1)=U$2&amp;Balance_Sheet[[#This Row],[Aop]],VLOOKUP(U$2&amp;Balance_Sheet[[#This Row],[Aop]],Data[],U$1)/Jedinica,"")</f>
        <v/>
      </c>
      <c r="V27" s="38" t="str">
        <f>IF(VLOOKUP(V$2&amp;Balance_Sheet[[#This Row],[Aop]],Data[],1)=V$2&amp;Balance_Sheet[[#This Row],[Aop]],VLOOKUP(V$2&amp;Balance_Sheet[[#This Row],[Aop]],Data[],V$1)/Jedinica,"")</f>
        <v/>
      </c>
      <c r="W27" s="38" t="str">
        <f>IF(VLOOKUP(W$2&amp;Balance_Sheet[[#This Row],[Aop]],Data[],1)=W$2&amp;Balance_Sheet[[#This Row],[Aop]],VLOOKUP(W$2&amp;Balance_Sheet[[#This Row],[Aop]],Data[],W$1)/Jedinica,"")</f>
        <v/>
      </c>
      <c r="X27" s="38" t="str">
        <f>IF(VLOOKUP(X$2&amp;Balance_Sheet[[#This Row],[Aop]],Data[],1)=X$2&amp;Balance_Sheet[[#This Row],[Aop]],VLOOKUP(X$2&amp;Balance_Sheet[[#This Row],[Aop]],Data[],X$1)/Jedinica,"")</f>
        <v/>
      </c>
      <c r="Y27" s="38" t="str">
        <f>IF(VLOOKUP(Y$2&amp;Balance_Sheet[[#This Row],[Aop]],Data[],1)=Y$2&amp;Balance_Sheet[[#This Row],[Aop]],VLOOKUP(Y$2&amp;Balance_Sheet[[#This Row],[Aop]],Data[],Y$1)/Jedinica,"")</f>
        <v/>
      </c>
      <c r="Z27" s="38" t="str">
        <f>IF(VLOOKUP(Z$2&amp;Balance_Sheet[[#This Row],[Aop]],Data[],1)=Z$2&amp;Balance_Sheet[[#This Row],[Aop]],VLOOKUP(Z$2&amp;Balance_Sheet[[#This Row],[Aop]],Data[],Z$1)/Jedinica,"")</f>
        <v/>
      </c>
      <c r="AA27" s="38" t="str">
        <f>IF(VLOOKUP(AA$2&amp;Balance_Sheet[[#This Row],[Aop]],Data[],1)=AA$2&amp;Balance_Sheet[[#This Row],[Aop]],VLOOKUP(AA$2&amp;Balance_Sheet[[#This Row],[Aop]],Data[],AA$1)/Jedinica,"")</f>
        <v/>
      </c>
      <c r="AB27" s="38" t="str">
        <f>IF(VLOOKUP(AB$2&amp;Balance_Sheet[[#This Row],[Aop]],Data[],1)=AB$2&amp;Balance_Sheet[[#This Row],[Aop]],VLOOKUP(AB$2&amp;Balance_Sheet[[#This Row],[Aop]],Data[],AB$1)/Jedinica,"")</f>
        <v/>
      </c>
      <c r="AC27" s="38">
        <f>IF(VLOOKUP(AC$2&amp;Balance_Sheet[[#This Row],[Aop]],Data[],1)=AC$2&amp;Balance_Sheet[[#This Row],[Aop]],VLOOKUP(AC$2&amp;Balance_Sheet[[#This Row],[Aop]],Data[],AC$1)/Jedinica,"")</f>
        <v>91705748</v>
      </c>
      <c r="AD27" s="38">
        <f>IF(VLOOKUP(AD$2&amp;Balance_Sheet[[#This Row],[Aop]],Data[],1)=AD$2&amp;Balance_Sheet[[#This Row],[Aop]],VLOOKUP(AD$2&amp;Balance_Sheet[[#This Row],[Aop]],Data[],AD$1)/Jedinica,"")</f>
        <v>82145</v>
      </c>
      <c r="AE27" s="38">
        <f>IF(VLOOKUP(AE$2&amp;Balance_Sheet[[#This Row],[Aop]],Data[],1)=AE$2&amp;Balance_Sheet[[#This Row],[Aop]],VLOOKUP(AE$2&amp;Balance_Sheet[[#This Row],[Aop]],Data[],AE$1)/Jedinica,"")</f>
        <v>91623603</v>
      </c>
      <c r="AF27" s="38">
        <f>IF(VLOOKUP(AF$2&amp;Balance_Sheet[[#This Row],[Aop]],Data[],1)=AF$2&amp;Balance_Sheet[[#This Row],[Aop]],VLOOKUP(AF$2&amp;Balance_Sheet[[#This Row],[Aop]],Data[],AF$1)/Jedinica,"")</f>
        <v>76649786</v>
      </c>
    </row>
    <row r="28" spans="1:32" ht="12.75" customHeight="1" x14ac:dyDescent="0.2">
      <c r="A28" s="74">
        <v>23</v>
      </c>
      <c r="B28" s="75">
        <v>2</v>
      </c>
      <c r="C28" s="76" t="str">
        <f>VLOOKUP(Balance_Sheet[[#This Row],[No]],AOP_Balance,3,0)</f>
        <v>022</v>
      </c>
      <c r="D28" s="52" t="str">
        <f>VLOOKUP(Balance_Sheet[[#This Row],[No]],AOP_Balance,7,0)</f>
        <v xml:space="preserve">    6. Ostali plasmani i AVR (023 do 029)</v>
      </c>
      <c r="E28" s="38">
        <f>IF(VLOOKUP(E$2&amp;Balance_Sheet[[#This Row],[Aop]],Data[],1)=E$2&amp;Balance_Sheet[[#This Row],[Aop]],VLOOKUP(E$2&amp;Balance_Sheet[[#This Row],[Aop]],Data[],E$1)/Jedinica,"")</f>
        <v>42363976</v>
      </c>
      <c r="F28" s="38">
        <f>IF(VLOOKUP(F$2&amp;Balance_Sheet[[#This Row],[Aop]],Data[],1)=F$2&amp;Balance_Sheet[[#This Row],[Aop]],VLOOKUP(F$2&amp;Balance_Sheet[[#This Row],[Aop]],Data[],F$1)/Jedinica,"")</f>
        <v>4548002</v>
      </c>
      <c r="G28" s="38">
        <f>IF(VLOOKUP(G$2&amp;Balance_Sheet[[#This Row],[Aop]],Data[],1)=G$2&amp;Balance_Sheet[[#This Row],[Aop]],VLOOKUP(G$2&amp;Balance_Sheet[[#This Row],[Aop]],Data[],G$1)/Jedinica,"")</f>
        <v>37815974</v>
      </c>
      <c r="H28" s="38">
        <f>IF(VLOOKUP(H$2&amp;Balance_Sheet[[#This Row],[Aop]],Data[],1)=H$2&amp;Balance_Sheet[[#This Row],[Aop]],VLOOKUP(H$2&amp;Balance_Sheet[[#This Row],[Aop]],Data[],H$1)/Jedinica,"")</f>
        <v>38949041</v>
      </c>
      <c r="I28" s="38">
        <f>IF(VLOOKUP(I$2&amp;Balance_Sheet[[#This Row],[Aop]],Data[],1)=I$2&amp;Balance_Sheet[[#This Row],[Aop]],VLOOKUP(I$2&amp;Balance_Sheet[[#This Row],[Aop]],Data[],I$1)/Jedinica,"")</f>
        <v>30215293</v>
      </c>
      <c r="J28" s="38">
        <f>IF(VLOOKUP(J$2&amp;Balance_Sheet[[#This Row],[Aop]],Data[],1)=J$2&amp;Balance_Sheet[[#This Row],[Aop]],VLOOKUP(J$2&amp;Balance_Sheet[[#This Row],[Aop]],Data[],J$1)/Jedinica,"")</f>
        <v>14920365</v>
      </c>
      <c r="K28" s="38">
        <f>IF(VLOOKUP(K$2&amp;Balance_Sheet[[#This Row],[Aop]],Data[],1)=K$2&amp;Balance_Sheet[[#This Row],[Aop]],VLOOKUP(K$2&amp;Balance_Sheet[[#This Row],[Aop]],Data[],K$1)/Jedinica,"")</f>
        <v>15294928</v>
      </c>
      <c r="L28" s="38">
        <f>IF(VLOOKUP(L$2&amp;Balance_Sheet[[#This Row],[Aop]],Data[],1)=L$2&amp;Balance_Sheet[[#This Row],[Aop]],VLOOKUP(L$2&amp;Balance_Sheet[[#This Row],[Aop]],Data[],L$1)/Jedinica,"")</f>
        <v>7089931</v>
      </c>
      <c r="M28" s="38">
        <f>IF(VLOOKUP(M$2&amp;Balance_Sheet[[#This Row],[Aop]],Data[],1)=M$2&amp;Balance_Sheet[[#This Row],[Aop]],VLOOKUP(M$2&amp;Balance_Sheet[[#This Row],[Aop]],Data[],M$1)/Jedinica,"")</f>
        <v>19118073</v>
      </c>
      <c r="N28" s="38">
        <f>IF(VLOOKUP(N$2&amp;Balance_Sheet[[#This Row],[Aop]],Data[],1)=N$2&amp;Balance_Sheet[[#This Row],[Aop]],VLOOKUP(N$2&amp;Balance_Sheet[[#This Row],[Aop]],Data[],N$1)/Jedinica,"")</f>
        <v>5960167</v>
      </c>
      <c r="O28" s="38">
        <f>IF(VLOOKUP(O$2&amp;Balance_Sheet[[#This Row],[Aop]],Data[],1)=O$2&amp;Balance_Sheet[[#This Row],[Aop]],VLOOKUP(O$2&amp;Balance_Sheet[[#This Row],[Aop]],Data[],O$1)/Jedinica,"")</f>
        <v>13157906</v>
      </c>
      <c r="P28" s="38">
        <f>IF(VLOOKUP(P$2&amp;Balance_Sheet[[#This Row],[Aop]],Data[],1)=P$2&amp;Balance_Sheet[[#This Row],[Aop]],VLOOKUP(P$2&amp;Balance_Sheet[[#This Row],[Aop]],Data[],P$1)/Jedinica,"")</f>
        <v>12632921</v>
      </c>
      <c r="Q28" s="38">
        <f>IF(VLOOKUP(Q$2&amp;Balance_Sheet[[#This Row],[Aop]],Data[],1)=Q$2&amp;Balance_Sheet[[#This Row],[Aop]],VLOOKUP(Q$2&amp;Balance_Sheet[[#This Row],[Aop]],Data[],Q$1)/Jedinica,"")</f>
        <v>4493509</v>
      </c>
      <c r="R28" s="38">
        <f>IF(VLOOKUP(R$2&amp;Balance_Sheet[[#This Row],[Aop]],Data[],1)=R$2&amp;Balance_Sheet[[#This Row],[Aop]],VLOOKUP(R$2&amp;Balance_Sheet[[#This Row],[Aop]],Data[],R$1)/Jedinica,"")</f>
        <v>1296604</v>
      </c>
      <c r="S28" s="38">
        <f>IF(VLOOKUP(S$2&amp;Balance_Sheet[[#This Row],[Aop]],Data[],1)=S$2&amp;Balance_Sheet[[#This Row],[Aop]],VLOOKUP(S$2&amp;Balance_Sheet[[#This Row],[Aop]],Data[],S$1)/Jedinica,"")</f>
        <v>3196905</v>
      </c>
      <c r="T28" s="38">
        <f>IF(VLOOKUP(T$2&amp;Balance_Sheet[[#This Row],[Aop]],Data[],1)=T$2&amp;Balance_Sheet[[#This Row],[Aop]],VLOOKUP(T$2&amp;Balance_Sheet[[#This Row],[Aop]],Data[],T$1)/Jedinica,"")</f>
        <v>2900791</v>
      </c>
      <c r="U28" s="38">
        <f>IF(VLOOKUP(U$2&amp;Balance_Sheet[[#This Row],[Aop]],Data[],1)=U$2&amp;Balance_Sheet[[#This Row],[Aop]],VLOOKUP(U$2&amp;Balance_Sheet[[#This Row],[Aop]],Data[],U$1)/Jedinica,"")</f>
        <v>57736002</v>
      </c>
      <c r="V28" s="38">
        <f>IF(VLOOKUP(V$2&amp;Balance_Sheet[[#This Row],[Aop]],Data[],1)=V$2&amp;Balance_Sheet[[#This Row],[Aop]],VLOOKUP(V$2&amp;Balance_Sheet[[#This Row],[Aop]],Data[],V$1)/Jedinica,"")</f>
        <v>18004174</v>
      </c>
      <c r="W28" s="38">
        <f>IF(VLOOKUP(W$2&amp;Balance_Sheet[[#This Row],[Aop]],Data[],1)=W$2&amp;Balance_Sheet[[#This Row],[Aop]],VLOOKUP(W$2&amp;Balance_Sheet[[#This Row],[Aop]],Data[],W$1)/Jedinica,"")</f>
        <v>39731828</v>
      </c>
      <c r="X28" s="38">
        <f>IF(VLOOKUP(X$2&amp;Balance_Sheet[[#This Row],[Aop]],Data[],1)=X$2&amp;Balance_Sheet[[#This Row],[Aop]],VLOOKUP(X$2&amp;Balance_Sheet[[#This Row],[Aop]],Data[],X$1)/Jedinica,"")</f>
        <v>39908671</v>
      </c>
      <c r="Y28" s="38">
        <f>IF(VLOOKUP(Y$2&amp;Balance_Sheet[[#This Row],[Aop]],Data[],1)=Y$2&amp;Balance_Sheet[[#This Row],[Aop]],VLOOKUP(Y$2&amp;Balance_Sheet[[#This Row],[Aop]],Data[],Y$1)/Jedinica,"")</f>
        <v>4493509</v>
      </c>
      <c r="Z28" s="38">
        <f>IF(VLOOKUP(Z$2&amp;Balance_Sheet[[#This Row],[Aop]],Data[],1)=Z$2&amp;Balance_Sheet[[#This Row],[Aop]],VLOOKUP(Z$2&amp;Balance_Sheet[[#This Row],[Aop]],Data[],Z$1)/Jedinica,"")</f>
        <v>1296604</v>
      </c>
      <c r="AA28" s="38">
        <f>IF(VLOOKUP(AA$2&amp;Balance_Sheet[[#This Row],[Aop]],Data[],1)=AA$2&amp;Balance_Sheet[[#This Row],[Aop]],VLOOKUP(AA$2&amp;Balance_Sheet[[#This Row],[Aop]],Data[],AA$1)/Jedinica,"")</f>
        <v>3196905</v>
      </c>
      <c r="AB28" s="38">
        <f>IF(VLOOKUP(AB$2&amp;Balance_Sheet[[#This Row],[Aop]],Data[],1)=AB$2&amp;Balance_Sheet[[#This Row],[Aop]],VLOOKUP(AB$2&amp;Balance_Sheet[[#This Row],[Aop]],Data[],AB$1)/Jedinica,"")</f>
        <v>2900791</v>
      </c>
      <c r="AC28" s="38">
        <f>IF(VLOOKUP(AC$2&amp;Balance_Sheet[[#This Row],[Aop]],Data[],1)=AC$2&amp;Balance_Sheet[[#This Row],[Aop]],VLOOKUP(AC$2&amp;Balance_Sheet[[#This Row],[Aop]],Data[],AC$1)/Jedinica,"")</f>
        <v>216725738</v>
      </c>
      <c r="AD28" s="38">
        <f>IF(VLOOKUP(AD$2&amp;Balance_Sheet[[#This Row],[Aop]],Data[],1)=AD$2&amp;Balance_Sheet[[#This Row],[Aop]],VLOOKUP(AD$2&amp;Balance_Sheet[[#This Row],[Aop]],Data[],AD$1)/Jedinica,"")</f>
        <v>50696085</v>
      </c>
      <c r="AE28" s="38">
        <f>IF(VLOOKUP(AE$2&amp;Balance_Sheet[[#This Row],[Aop]],Data[],1)=AE$2&amp;Balance_Sheet[[#This Row],[Aop]],VLOOKUP(AE$2&amp;Balance_Sheet[[#This Row],[Aop]],Data[],AE$1)/Jedinica,"")</f>
        <v>166029653</v>
      </c>
      <c r="AF28" s="38">
        <f>IF(VLOOKUP(AF$2&amp;Balance_Sheet[[#This Row],[Aop]],Data[],1)=AF$2&amp;Balance_Sheet[[#This Row],[Aop]],VLOOKUP(AF$2&amp;Balance_Sheet[[#This Row],[Aop]],Data[],AF$1)/Jedinica,"")</f>
        <v>124585576</v>
      </c>
    </row>
    <row r="29" spans="1:32" ht="12.75" customHeight="1" x14ac:dyDescent="0.2">
      <c r="A29" s="74">
        <v>24</v>
      </c>
      <c r="B29" s="75">
        <v>3</v>
      </c>
      <c r="C29" s="76" t="str">
        <f>VLOOKUP(Balance_Sheet[[#This Row],[No]],AOP_Balance,3,0)</f>
        <v>023</v>
      </c>
      <c r="D29" s="52" t="str">
        <f>VLOOKUP(Balance_Sheet[[#This Row],[No]],AOP_Balance,7,0)</f>
        <v xml:space="preserve">      a) Ostali plasmani u domaćoj valuti</v>
      </c>
      <c r="E29" s="38">
        <f>IF(VLOOKUP(E$2&amp;Balance_Sheet[[#This Row],[Aop]],Data[],1)=E$2&amp;Balance_Sheet[[#This Row],[Aop]],VLOOKUP(E$2&amp;Balance_Sheet[[#This Row],[Aop]],Data[],E$1)/Jedinica,"")</f>
        <v>833058</v>
      </c>
      <c r="F29" s="38">
        <f>IF(VLOOKUP(F$2&amp;Balance_Sheet[[#This Row],[Aop]],Data[],1)=F$2&amp;Balance_Sheet[[#This Row],[Aop]],VLOOKUP(F$2&amp;Balance_Sheet[[#This Row],[Aop]],Data[],F$1)/Jedinica,"")</f>
        <v>43229</v>
      </c>
      <c r="G29" s="38">
        <f>IF(VLOOKUP(G$2&amp;Balance_Sheet[[#This Row],[Aop]],Data[],1)=G$2&amp;Balance_Sheet[[#This Row],[Aop]],VLOOKUP(G$2&amp;Balance_Sheet[[#This Row],[Aop]],Data[],G$1)/Jedinica,"")</f>
        <v>789829</v>
      </c>
      <c r="H29" s="38">
        <f>IF(VLOOKUP(H$2&amp;Balance_Sheet[[#This Row],[Aop]],Data[],1)=H$2&amp;Balance_Sheet[[#This Row],[Aop]],VLOOKUP(H$2&amp;Balance_Sheet[[#This Row],[Aop]],Data[],H$1)/Jedinica,"")</f>
        <v>6914353</v>
      </c>
      <c r="I29" s="38" t="str">
        <f>IF(VLOOKUP(I$2&amp;Balance_Sheet[[#This Row],[Aop]],Data[],1)=I$2&amp;Balance_Sheet[[#This Row],[Aop]],VLOOKUP(I$2&amp;Balance_Sheet[[#This Row],[Aop]],Data[],I$1)/Jedinica,"")</f>
        <v/>
      </c>
      <c r="J29" s="38" t="str">
        <f>IF(VLOOKUP(J$2&amp;Balance_Sheet[[#This Row],[Aop]],Data[],1)=J$2&amp;Balance_Sheet[[#This Row],[Aop]],VLOOKUP(J$2&amp;Balance_Sheet[[#This Row],[Aop]],Data[],J$1)/Jedinica,"")</f>
        <v/>
      </c>
      <c r="K29" s="38" t="str">
        <f>IF(VLOOKUP(K$2&amp;Balance_Sheet[[#This Row],[Aop]],Data[],1)=K$2&amp;Balance_Sheet[[#This Row],[Aop]],VLOOKUP(K$2&amp;Balance_Sheet[[#This Row],[Aop]],Data[],K$1)/Jedinica,"")</f>
        <v/>
      </c>
      <c r="L29" s="38" t="str">
        <f>IF(VLOOKUP(L$2&amp;Balance_Sheet[[#This Row],[Aop]],Data[],1)=L$2&amp;Balance_Sheet[[#This Row],[Aop]],VLOOKUP(L$2&amp;Balance_Sheet[[#This Row],[Aop]],Data[],L$1)/Jedinica,"")</f>
        <v/>
      </c>
      <c r="M29" s="38">
        <f>IF(VLOOKUP(M$2&amp;Balance_Sheet[[#This Row],[Aop]],Data[],1)=M$2&amp;Balance_Sheet[[#This Row],[Aop]],VLOOKUP(M$2&amp;Balance_Sheet[[#This Row],[Aop]],Data[],M$1)/Jedinica,"")</f>
        <v>25182</v>
      </c>
      <c r="N29" s="38">
        <f>IF(VLOOKUP(N$2&amp;Balance_Sheet[[#This Row],[Aop]],Data[],1)=N$2&amp;Balance_Sheet[[#This Row],[Aop]],VLOOKUP(N$2&amp;Balance_Sheet[[#This Row],[Aop]],Data[],N$1)/Jedinica,"")</f>
        <v>0</v>
      </c>
      <c r="O29" s="38">
        <f>IF(VLOOKUP(O$2&amp;Balance_Sheet[[#This Row],[Aop]],Data[],1)=O$2&amp;Balance_Sheet[[#This Row],[Aop]],VLOOKUP(O$2&amp;Balance_Sheet[[#This Row],[Aop]],Data[],O$1)/Jedinica,"")</f>
        <v>25182</v>
      </c>
      <c r="P29" s="38">
        <f>IF(VLOOKUP(P$2&amp;Balance_Sheet[[#This Row],[Aop]],Data[],1)=P$2&amp;Balance_Sheet[[#This Row],[Aop]],VLOOKUP(P$2&amp;Balance_Sheet[[#This Row],[Aop]],Data[],P$1)/Jedinica,"")</f>
        <v>24844</v>
      </c>
      <c r="Q29" s="38">
        <f>IF(VLOOKUP(Q$2&amp;Balance_Sheet[[#This Row],[Aop]],Data[],1)=Q$2&amp;Balance_Sheet[[#This Row],[Aop]],VLOOKUP(Q$2&amp;Balance_Sheet[[#This Row],[Aop]],Data[],Q$1)/Jedinica,"")</f>
        <v>58804</v>
      </c>
      <c r="R29" s="38">
        <f>IF(VLOOKUP(R$2&amp;Balance_Sheet[[#This Row],[Aop]],Data[],1)=R$2&amp;Balance_Sheet[[#This Row],[Aop]],VLOOKUP(R$2&amp;Balance_Sheet[[#This Row],[Aop]],Data[],R$1)/Jedinica,"")</f>
        <v>1896</v>
      </c>
      <c r="S29" s="38">
        <f>IF(VLOOKUP(S$2&amp;Balance_Sheet[[#This Row],[Aop]],Data[],1)=S$2&amp;Balance_Sheet[[#This Row],[Aop]],VLOOKUP(S$2&amp;Balance_Sheet[[#This Row],[Aop]],Data[],S$1)/Jedinica,"")</f>
        <v>56908</v>
      </c>
      <c r="T29" s="38">
        <f>IF(VLOOKUP(T$2&amp;Balance_Sheet[[#This Row],[Aop]],Data[],1)=T$2&amp;Balance_Sheet[[#This Row],[Aop]],VLOOKUP(T$2&amp;Balance_Sheet[[#This Row],[Aop]],Data[],T$1)/Jedinica,"")</f>
        <v>1192084</v>
      </c>
      <c r="U29" s="38">
        <f>IF(VLOOKUP(U$2&amp;Balance_Sheet[[#This Row],[Aop]],Data[],1)=U$2&amp;Balance_Sheet[[#This Row],[Aop]],VLOOKUP(U$2&amp;Balance_Sheet[[#This Row],[Aop]],Data[],U$1)/Jedinica,"")</f>
        <v>728768</v>
      </c>
      <c r="V29" s="38">
        <f>IF(VLOOKUP(V$2&amp;Balance_Sheet[[#This Row],[Aop]],Data[],1)=V$2&amp;Balance_Sheet[[#This Row],[Aop]],VLOOKUP(V$2&amp;Balance_Sheet[[#This Row],[Aop]],Data[],V$1)/Jedinica,"")</f>
        <v>656687</v>
      </c>
      <c r="W29" s="38">
        <f>IF(VLOOKUP(W$2&amp;Balance_Sheet[[#This Row],[Aop]],Data[],1)=W$2&amp;Balance_Sheet[[#This Row],[Aop]],VLOOKUP(W$2&amp;Balance_Sheet[[#This Row],[Aop]],Data[],W$1)/Jedinica,"")</f>
        <v>72081</v>
      </c>
      <c r="X29" s="38">
        <f>IF(VLOOKUP(X$2&amp;Balance_Sheet[[#This Row],[Aop]],Data[],1)=X$2&amp;Balance_Sheet[[#This Row],[Aop]],VLOOKUP(X$2&amp;Balance_Sheet[[#This Row],[Aop]],Data[],X$1)/Jedinica,"")</f>
        <v>72081</v>
      </c>
      <c r="Y29" s="38">
        <f>IF(VLOOKUP(Y$2&amp;Balance_Sheet[[#This Row],[Aop]],Data[],1)=Y$2&amp;Balance_Sheet[[#This Row],[Aop]],VLOOKUP(Y$2&amp;Balance_Sheet[[#This Row],[Aop]],Data[],Y$1)/Jedinica,"")</f>
        <v>58804</v>
      </c>
      <c r="Z29" s="38">
        <f>IF(VLOOKUP(Z$2&amp;Balance_Sheet[[#This Row],[Aop]],Data[],1)=Z$2&amp;Balance_Sheet[[#This Row],[Aop]],VLOOKUP(Z$2&amp;Balance_Sheet[[#This Row],[Aop]],Data[],Z$1)/Jedinica,"")</f>
        <v>1896</v>
      </c>
      <c r="AA29" s="38">
        <f>IF(VLOOKUP(AA$2&amp;Balance_Sheet[[#This Row],[Aop]],Data[],1)=AA$2&amp;Balance_Sheet[[#This Row],[Aop]],VLOOKUP(AA$2&amp;Balance_Sheet[[#This Row],[Aop]],Data[],AA$1)/Jedinica,"")</f>
        <v>56908</v>
      </c>
      <c r="AB29" s="38">
        <f>IF(VLOOKUP(AB$2&amp;Balance_Sheet[[#This Row],[Aop]],Data[],1)=AB$2&amp;Balance_Sheet[[#This Row],[Aop]],VLOOKUP(AB$2&amp;Balance_Sheet[[#This Row],[Aop]],Data[],AB$1)/Jedinica,"")</f>
        <v>1192084</v>
      </c>
      <c r="AC29" s="38">
        <f>IF(VLOOKUP(AC$2&amp;Balance_Sheet[[#This Row],[Aop]],Data[],1)=AC$2&amp;Balance_Sheet[[#This Row],[Aop]],VLOOKUP(AC$2&amp;Balance_Sheet[[#This Row],[Aop]],Data[],AC$1)/Jedinica,"")</f>
        <v>101226</v>
      </c>
      <c r="AD29" s="38">
        <f>IF(VLOOKUP(AD$2&amp;Balance_Sheet[[#This Row],[Aop]],Data[],1)=AD$2&amp;Balance_Sheet[[#This Row],[Aop]],VLOOKUP(AD$2&amp;Balance_Sheet[[#This Row],[Aop]],Data[],AD$1)/Jedinica,"")</f>
        <v>2237</v>
      </c>
      <c r="AE29" s="38">
        <f>IF(VLOOKUP(AE$2&amp;Balance_Sheet[[#This Row],[Aop]],Data[],1)=AE$2&amp;Balance_Sheet[[#This Row],[Aop]],VLOOKUP(AE$2&amp;Balance_Sheet[[#This Row],[Aop]],Data[],AE$1)/Jedinica,"")</f>
        <v>98989</v>
      </c>
      <c r="AF29" s="38">
        <f>IF(VLOOKUP(AF$2&amp;Balance_Sheet[[#This Row],[Aop]],Data[],1)=AF$2&amp;Balance_Sheet[[#This Row],[Aop]],VLOOKUP(AF$2&amp;Balance_Sheet[[#This Row],[Aop]],Data[],AF$1)/Jedinica,"")</f>
        <v>189380</v>
      </c>
    </row>
    <row r="30" spans="1:32" ht="12.75" customHeight="1" x14ac:dyDescent="0.2">
      <c r="A30" s="74">
        <v>25</v>
      </c>
      <c r="B30" s="75">
        <v>3</v>
      </c>
      <c r="C30" s="76" t="str">
        <f>VLOOKUP(Balance_Sheet[[#This Row],[No]],AOP_Balance,3,0)</f>
        <v>024</v>
      </c>
      <c r="D30" s="52" t="str">
        <f>VLOOKUP(Balance_Sheet[[#This Row],[No]],AOP_Balance,7,0)</f>
        <v xml:space="preserve">      b) Ostali plasmani sa ugovorenom zaštitom od rizika u domaćoj valuti</v>
      </c>
      <c r="E30" s="38" t="str">
        <f>IF(VLOOKUP(E$2&amp;Balance_Sheet[[#This Row],[Aop]],Data[],1)=E$2&amp;Balance_Sheet[[#This Row],[Aop]],VLOOKUP(E$2&amp;Balance_Sheet[[#This Row],[Aop]],Data[],E$1)/Jedinica,"")</f>
        <v/>
      </c>
      <c r="F30" s="38" t="str">
        <f>IF(VLOOKUP(F$2&amp;Balance_Sheet[[#This Row],[Aop]],Data[],1)=F$2&amp;Balance_Sheet[[#This Row],[Aop]],VLOOKUP(F$2&amp;Balance_Sheet[[#This Row],[Aop]],Data[],F$1)/Jedinica,"")</f>
        <v/>
      </c>
      <c r="G30" s="38" t="str">
        <f>IF(VLOOKUP(G$2&amp;Balance_Sheet[[#This Row],[Aop]],Data[],1)=G$2&amp;Balance_Sheet[[#This Row],[Aop]],VLOOKUP(G$2&amp;Balance_Sheet[[#This Row],[Aop]],Data[],G$1)/Jedinica,"")</f>
        <v/>
      </c>
      <c r="H30" s="38" t="str">
        <f>IF(VLOOKUP(H$2&amp;Balance_Sheet[[#This Row],[Aop]],Data[],1)=H$2&amp;Balance_Sheet[[#This Row],[Aop]],VLOOKUP(H$2&amp;Balance_Sheet[[#This Row],[Aop]],Data[],H$1)/Jedinica,"")</f>
        <v/>
      </c>
      <c r="I30" s="38" t="str">
        <f>IF(VLOOKUP(I$2&amp;Balance_Sheet[[#This Row],[Aop]],Data[],1)=I$2&amp;Balance_Sheet[[#This Row],[Aop]],VLOOKUP(I$2&amp;Balance_Sheet[[#This Row],[Aop]],Data[],I$1)/Jedinica,"")</f>
        <v/>
      </c>
      <c r="J30" s="38" t="str">
        <f>IF(VLOOKUP(J$2&amp;Balance_Sheet[[#This Row],[Aop]],Data[],1)=J$2&amp;Balance_Sheet[[#This Row],[Aop]],VLOOKUP(J$2&amp;Balance_Sheet[[#This Row],[Aop]],Data[],J$1)/Jedinica,"")</f>
        <v/>
      </c>
      <c r="K30" s="38" t="str">
        <f>IF(VLOOKUP(K$2&amp;Balance_Sheet[[#This Row],[Aop]],Data[],1)=K$2&amp;Balance_Sheet[[#This Row],[Aop]],VLOOKUP(K$2&amp;Balance_Sheet[[#This Row],[Aop]],Data[],K$1)/Jedinica,"")</f>
        <v/>
      </c>
      <c r="L30" s="38" t="str">
        <f>IF(VLOOKUP(L$2&amp;Balance_Sheet[[#This Row],[Aop]],Data[],1)=L$2&amp;Balance_Sheet[[#This Row],[Aop]],VLOOKUP(L$2&amp;Balance_Sheet[[#This Row],[Aop]],Data[],L$1)/Jedinica,"")</f>
        <v/>
      </c>
      <c r="M30" s="38" t="str">
        <f>IF(VLOOKUP(M$2&amp;Balance_Sheet[[#This Row],[Aop]],Data[],1)=M$2&amp;Balance_Sheet[[#This Row],[Aop]],VLOOKUP(M$2&amp;Balance_Sheet[[#This Row],[Aop]],Data[],M$1)/Jedinica,"")</f>
        <v/>
      </c>
      <c r="N30" s="38" t="str">
        <f>IF(VLOOKUP(N$2&amp;Balance_Sheet[[#This Row],[Aop]],Data[],1)=N$2&amp;Balance_Sheet[[#This Row],[Aop]],VLOOKUP(N$2&amp;Balance_Sheet[[#This Row],[Aop]],Data[],N$1)/Jedinica,"")</f>
        <v/>
      </c>
      <c r="O30" s="38" t="str">
        <f>IF(VLOOKUP(O$2&amp;Balance_Sheet[[#This Row],[Aop]],Data[],1)=O$2&amp;Balance_Sheet[[#This Row],[Aop]],VLOOKUP(O$2&amp;Balance_Sheet[[#This Row],[Aop]],Data[],O$1)/Jedinica,"")</f>
        <v/>
      </c>
      <c r="P30" s="38" t="str">
        <f>IF(VLOOKUP(P$2&amp;Balance_Sheet[[#This Row],[Aop]],Data[],1)=P$2&amp;Balance_Sheet[[#This Row],[Aop]],VLOOKUP(P$2&amp;Balance_Sheet[[#This Row],[Aop]],Data[],P$1)/Jedinica,"")</f>
        <v/>
      </c>
      <c r="Q30" s="38" t="str">
        <f>IF(VLOOKUP(Q$2&amp;Balance_Sheet[[#This Row],[Aop]],Data[],1)=Q$2&amp;Balance_Sheet[[#This Row],[Aop]],VLOOKUP(Q$2&amp;Balance_Sheet[[#This Row],[Aop]],Data[],Q$1)/Jedinica,"")</f>
        <v/>
      </c>
      <c r="R30" s="38" t="str">
        <f>IF(VLOOKUP(R$2&amp;Balance_Sheet[[#This Row],[Aop]],Data[],1)=R$2&amp;Balance_Sheet[[#This Row],[Aop]],VLOOKUP(R$2&amp;Balance_Sheet[[#This Row],[Aop]],Data[],R$1)/Jedinica,"")</f>
        <v/>
      </c>
      <c r="S30" s="38" t="str">
        <f>IF(VLOOKUP(S$2&amp;Balance_Sheet[[#This Row],[Aop]],Data[],1)=S$2&amp;Balance_Sheet[[#This Row],[Aop]],VLOOKUP(S$2&amp;Balance_Sheet[[#This Row],[Aop]],Data[],S$1)/Jedinica,"")</f>
        <v/>
      </c>
      <c r="T30" s="38" t="str">
        <f>IF(VLOOKUP(T$2&amp;Balance_Sheet[[#This Row],[Aop]],Data[],1)=T$2&amp;Balance_Sheet[[#This Row],[Aop]],VLOOKUP(T$2&amp;Balance_Sheet[[#This Row],[Aop]],Data[],T$1)/Jedinica,"")</f>
        <v/>
      </c>
      <c r="U30" s="38" t="str">
        <f>IF(VLOOKUP(U$2&amp;Balance_Sheet[[#This Row],[Aop]],Data[],1)=U$2&amp;Balance_Sheet[[#This Row],[Aop]],VLOOKUP(U$2&amp;Balance_Sheet[[#This Row],[Aop]],Data[],U$1)/Jedinica,"")</f>
        <v/>
      </c>
      <c r="V30" s="38" t="str">
        <f>IF(VLOOKUP(V$2&amp;Balance_Sheet[[#This Row],[Aop]],Data[],1)=V$2&amp;Balance_Sheet[[#This Row],[Aop]],VLOOKUP(V$2&amp;Balance_Sheet[[#This Row],[Aop]],Data[],V$1)/Jedinica,"")</f>
        <v/>
      </c>
      <c r="W30" s="38" t="str">
        <f>IF(VLOOKUP(W$2&amp;Balance_Sheet[[#This Row],[Aop]],Data[],1)=W$2&amp;Balance_Sheet[[#This Row],[Aop]],VLOOKUP(W$2&amp;Balance_Sheet[[#This Row],[Aop]],Data[],W$1)/Jedinica,"")</f>
        <v/>
      </c>
      <c r="X30" s="38" t="str">
        <f>IF(VLOOKUP(X$2&amp;Balance_Sheet[[#This Row],[Aop]],Data[],1)=X$2&amp;Balance_Sheet[[#This Row],[Aop]],VLOOKUP(X$2&amp;Balance_Sheet[[#This Row],[Aop]],Data[],X$1)/Jedinica,"")</f>
        <v/>
      </c>
      <c r="Y30" s="38" t="str">
        <f>IF(VLOOKUP(Y$2&amp;Balance_Sheet[[#This Row],[Aop]],Data[],1)=Y$2&amp;Balance_Sheet[[#This Row],[Aop]],VLOOKUP(Y$2&amp;Balance_Sheet[[#This Row],[Aop]],Data[],Y$1)/Jedinica,"")</f>
        <v/>
      </c>
      <c r="Z30" s="38" t="str">
        <f>IF(VLOOKUP(Z$2&amp;Balance_Sheet[[#This Row],[Aop]],Data[],1)=Z$2&amp;Balance_Sheet[[#This Row],[Aop]],VLOOKUP(Z$2&amp;Balance_Sheet[[#This Row],[Aop]],Data[],Z$1)/Jedinica,"")</f>
        <v/>
      </c>
      <c r="AA30" s="38" t="str">
        <f>IF(VLOOKUP(AA$2&amp;Balance_Sheet[[#This Row],[Aop]],Data[],1)=AA$2&amp;Balance_Sheet[[#This Row],[Aop]],VLOOKUP(AA$2&amp;Balance_Sheet[[#This Row],[Aop]],Data[],AA$1)/Jedinica,"")</f>
        <v/>
      </c>
      <c r="AB30" s="38" t="str">
        <f>IF(VLOOKUP(AB$2&amp;Balance_Sheet[[#This Row],[Aop]],Data[],1)=AB$2&amp;Balance_Sheet[[#This Row],[Aop]],VLOOKUP(AB$2&amp;Balance_Sheet[[#This Row],[Aop]],Data[],AB$1)/Jedinica,"")</f>
        <v/>
      </c>
      <c r="AC30" s="38">
        <f>IF(VLOOKUP(AC$2&amp;Balance_Sheet[[#This Row],[Aop]],Data[],1)=AC$2&amp;Balance_Sheet[[#This Row],[Aop]],VLOOKUP(AC$2&amp;Balance_Sheet[[#This Row],[Aop]],Data[],AC$1)/Jedinica,"")</f>
        <v>2916667</v>
      </c>
      <c r="AD30" s="38">
        <f>IF(VLOOKUP(AD$2&amp;Balance_Sheet[[#This Row],[Aop]],Data[],1)=AD$2&amp;Balance_Sheet[[#This Row],[Aop]],VLOOKUP(AD$2&amp;Balance_Sheet[[#This Row],[Aop]],Data[],AD$1)/Jedinica,"")</f>
        <v>0</v>
      </c>
      <c r="AE30" s="38">
        <f>IF(VLOOKUP(AE$2&amp;Balance_Sheet[[#This Row],[Aop]],Data[],1)=AE$2&amp;Balance_Sheet[[#This Row],[Aop]],VLOOKUP(AE$2&amp;Balance_Sheet[[#This Row],[Aop]],Data[],AE$1)/Jedinica,"")</f>
        <v>2916667</v>
      </c>
      <c r="AF30" s="38">
        <f>IF(VLOOKUP(AF$2&amp;Balance_Sheet[[#This Row],[Aop]],Data[],1)=AF$2&amp;Balance_Sheet[[#This Row],[Aop]],VLOOKUP(AF$2&amp;Balance_Sheet[[#This Row],[Aop]],Data[],AF$1)/Jedinica,"")</f>
        <v>3277778</v>
      </c>
    </row>
    <row r="31" spans="1:32" ht="12.75" customHeight="1" x14ac:dyDescent="0.2">
      <c r="A31" s="74">
        <v>26</v>
      </c>
      <c r="B31" s="75">
        <v>3</v>
      </c>
      <c r="C31" s="76" t="str">
        <f>VLOOKUP(Balance_Sheet[[#This Row],[No]],AOP_Balance,3,0)</f>
        <v>025</v>
      </c>
      <c r="D31" s="52" t="str">
        <f>VLOOKUP(Balance_Sheet[[#This Row],[No]],AOP_Balance,7,0)</f>
        <v xml:space="preserve">      v) Dospjeli plasmani i tekuća dospijeća dugoročnih plasmana u domaćoj valuti</v>
      </c>
      <c r="E31" s="38">
        <f>IF(VLOOKUP(E$2&amp;Balance_Sheet[[#This Row],[Aop]],Data[],1)=E$2&amp;Balance_Sheet[[#This Row],[Aop]],VLOOKUP(E$2&amp;Balance_Sheet[[#This Row],[Aop]],Data[],E$1)/Jedinica,"")</f>
        <v>39662162</v>
      </c>
      <c r="F31" s="38">
        <f>IF(VLOOKUP(F$2&amp;Balance_Sheet[[#This Row],[Aop]],Data[],1)=F$2&amp;Balance_Sheet[[#This Row],[Aop]],VLOOKUP(F$2&amp;Balance_Sheet[[#This Row],[Aop]],Data[],F$1)/Jedinica,"")</f>
        <v>4454593</v>
      </c>
      <c r="G31" s="38">
        <f>IF(VLOOKUP(G$2&amp;Balance_Sheet[[#This Row],[Aop]],Data[],1)=G$2&amp;Balance_Sheet[[#This Row],[Aop]],VLOOKUP(G$2&amp;Balance_Sheet[[#This Row],[Aop]],Data[],G$1)/Jedinica,"")</f>
        <v>35207569</v>
      </c>
      <c r="H31" s="38">
        <f>IF(VLOOKUP(H$2&amp;Balance_Sheet[[#This Row],[Aop]],Data[],1)=H$2&amp;Balance_Sheet[[#This Row],[Aop]],VLOOKUP(H$2&amp;Balance_Sheet[[#This Row],[Aop]],Data[],H$1)/Jedinica,"")</f>
        <v>31249952</v>
      </c>
      <c r="I31" s="38">
        <f>IF(VLOOKUP(I$2&amp;Balance_Sheet[[#This Row],[Aop]],Data[],1)=I$2&amp;Balance_Sheet[[#This Row],[Aop]],VLOOKUP(I$2&amp;Balance_Sheet[[#This Row],[Aop]],Data[],I$1)/Jedinica,"")</f>
        <v>24507929</v>
      </c>
      <c r="J31" s="38">
        <f>IF(VLOOKUP(J$2&amp;Balance_Sheet[[#This Row],[Aop]],Data[],1)=J$2&amp;Balance_Sheet[[#This Row],[Aop]],VLOOKUP(J$2&amp;Balance_Sheet[[#This Row],[Aop]],Data[],J$1)/Jedinica,"")</f>
        <v>11512075</v>
      </c>
      <c r="K31" s="38">
        <f>IF(VLOOKUP(K$2&amp;Balance_Sheet[[#This Row],[Aop]],Data[],1)=K$2&amp;Balance_Sheet[[#This Row],[Aop]],VLOOKUP(K$2&amp;Balance_Sheet[[#This Row],[Aop]],Data[],K$1)/Jedinica,"")</f>
        <v>12995854</v>
      </c>
      <c r="L31" s="38">
        <f>IF(VLOOKUP(L$2&amp;Balance_Sheet[[#This Row],[Aop]],Data[],1)=L$2&amp;Balance_Sheet[[#This Row],[Aop]],VLOOKUP(L$2&amp;Balance_Sheet[[#This Row],[Aop]],Data[],L$1)/Jedinica,"")</f>
        <v>5508549</v>
      </c>
      <c r="M31" s="38">
        <f>IF(VLOOKUP(M$2&amp;Balance_Sheet[[#This Row],[Aop]],Data[],1)=M$2&amp;Balance_Sheet[[#This Row],[Aop]],VLOOKUP(M$2&amp;Balance_Sheet[[#This Row],[Aop]],Data[],M$1)/Jedinica,"")</f>
        <v>18566077</v>
      </c>
      <c r="N31" s="38">
        <f>IF(VLOOKUP(N$2&amp;Balance_Sheet[[#This Row],[Aop]],Data[],1)=N$2&amp;Balance_Sheet[[#This Row],[Aop]],VLOOKUP(N$2&amp;Balance_Sheet[[#This Row],[Aop]],Data[],N$1)/Jedinica,"")</f>
        <v>5856305</v>
      </c>
      <c r="O31" s="38">
        <f>IF(VLOOKUP(O$2&amp;Balance_Sheet[[#This Row],[Aop]],Data[],1)=O$2&amp;Balance_Sheet[[#This Row],[Aop]],VLOOKUP(O$2&amp;Balance_Sheet[[#This Row],[Aop]],Data[],O$1)/Jedinica,"")</f>
        <v>12709772</v>
      </c>
      <c r="P31" s="38">
        <f>IF(VLOOKUP(P$2&amp;Balance_Sheet[[#This Row],[Aop]],Data[],1)=P$2&amp;Balance_Sheet[[#This Row],[Aop]],VLOOKUP(P$2&amp;Balance_Sheet[[#This Row],[Aop]],Data[],P$1)/Jedinica,"")</f>
        <v>12112642</v>
      </c>
      <c r="Q31" s="38">
        <f>IF(VLOOKUP(Q$2&amp;Balance_Sheet[[#This Row],[Aop]],Data[],1)=Q$2&amp;Balance_Sheet[[#This Row],[Aop]],VLOOKUP(Q$2&amp;Balance_Sheet[[#This Row],[Aop]],Data[],Q$1)/Jedinica,"")</f>
        <v>3694897</v>
      </c>
      <c r="R31" s="38">
        <f>IF(VLOOKUP(R$2&amp;Balance_Sheet[[#This Row],[Aop]],Data[],1)=R$2&amp;Balance_Sheet[[#This Row],[Aop]],VLOOKUP(R$2&amp;Balance_Sheet[[#This Row],[Aop]],Data[],R$1)/Jedinica,"")</f>
        <v>1294708</v>
      </c>
      <c r="S31" s="38">
        <f>IF(VLOOKUP(S$2&amp;Balance_Sheet[[#This Row],[Aop]],Data[],1)=S$2&amp;Balance_Sheet[[#This Row],[Aop]],VLOOKUP(S$2&amp;Balance_Sheet[[#This Row],[Aop]],Data[],S$1)/Jedinica,"")</f>
        <v>2400189</v>
      </c>
      <c r="T31" s="38">
        <f>IF(VLOOKUP(T$2&amp;Balance_Sheet[[#This Row],[Aop]],Data[],1)=T$2&amp;Balance_Sheet[[#This Row],[Aop]],VLOOKUP(T$2&amp;Balance_Sheet[[#This Row],[Aop]],Data[],T$1)/Jedinica,"")</f>
        <v>1015734</v>
      </c>
      <c r="U31" s="38">
        <f>IF(VLOOKUP(U$2&amp;Balance_Sheet[[#This Row],[Aop]],Data[],1)=U$2&amp;Balance_Sheet[[#This Row],[Aop]],VLOOKUP(U$2&amp;Balance_Sheet[[#This Row],[Aop]],Data[],U$1)/Jedinica,"")</f>
        <v>47240974</v>
      </c>
      <c r="V31" s="38">
        <f>IF(VLOOKUP(V$2&amp;Balance_Sheet[[#This Row],[Aop]],Data[],1)=V$2&amp;Balance_Sheet[[#This Row],[Aop]],VLOOKUP(V$2&amp;Balance_Sheet[[#This Row],[Aop]],Data[],V$1)/Jedinica,"")</f>
        <v>16872341</v>
      </c>
      <c r="W31" s="38">
        <f>IF(VLOOKUP(W$2&amp;Balance_Sheet[[#This Row],[Aop]],Data[],1)=W$2&amp;Balance_Sheet[[#This Row],[Aop]],VLOOKUP(W$2&amp;Balance_Sheet[[#This Row],[Aop]],Data[],W$1)/Jedinica,"")</f>
        <v>30368633</v>
      </c>
      <c r="X31" s="38">
        <f>IF(VLOOKUP(X$2&amp;Balance_Sheet[[#This Row],[Aop]],Data[],1)=X$2&amp;Balance_Sheet[[#This Row],[Aop]],VLOOKUP(X$2&amp;Balance_Sheet[[#This Row],[Aop]],Data[],X$1)/Jedinica,"")</f>
        <v>32357544</v>
      </c>
      <c r="Y31" s="38">
        <f>IF(VLOOKUP(Y$2&amp;Balance_Sheet[[#This Row],[Aop]],Data[],1)=Y$2&amp;Balance_Sheet[[#This Row],[Aop]],VLOOKUP(Y$2&amp;Balance_Sheet[[#This Row],[Aop]],Data[],Y$1)/Jedinica,"")</f>
        <v>3694897</v>
      </c>
      <c r="Z31" s="38">
        <f>IF(VLOOKUP(Z$2&amp;Balance_Sheet[[#This Row],[Aop]],Data[],1)=Z$2&amp;Balance_Sheet[[#This Row],[Aop]],VLOOKUP(Z$2&amp;Balance_Sheet[[#This Row],[Aop]],Data[],Z$1)/Jedinica,"")</f>
        <v>1294708</v>
      </c>
      <c r="AA31" s="38">
        <f>IF(VLOOKUP(AA$2&amp;Balance_Sheet[[#This Row],[Aop]],Data[],1)=AA$2&amp;Balance_Sheet[[#This Row],[Aop]],VLOOKUP(AA$2&amp;Balance_Sheet[[#This Row],[Aop]],Data[],AA$1)/Jedinica,"")</f>
        <v>2400189</v>
      </c>
      <c r="AB31" s="38">
        <f>IF(VLOOKUP(AB$2&amp;Balance_Sheet[[#This Row],[Aop]],Data[],1)=AB$2&amp;Balance_Sheet[[#This Row],[Aop]],VLOOKUP(AB$2&amp;Balance_Sheet[[#This Row],[Aop]],Data[],AB$1)/Jedinica,"")</f>
        <v>1015734</v>
      </c>
      <c r="AC31" s="38">
        <f>IF(VLOOKUP(AC$2&amp;Balance_Sheet[[#This Row],[Aop]],Data[],1)=AC$2&amp;Balance_Sheet[[#This Row],[Aop]],VLOOKUP(AC$2&amp;Balance_Sheet[[#This Row],[Aop]],Data[],AC$1)/Jedinica,"")</f>
        <v>144217406</v>
      </c>
      <c r="AD31" s="38">
        <f>IF(VLOOKUP(AD$2&amp;Balance_Sheet[[#This Row],[Aop]],Data[],1)=AD$2&amp;Balance_Sheet[[#This Row],[Aop]],VLOOKUP(AD$2&amp;Balance_Sheet[[#This Row],[Aop]],Data[],AD$1)/Jedinica,"")</f>
        <v>43317515</v>
      </c>
      <c r="AE31" s="38">
        <f>IF(VLOOKUP(AE$2&amp;Balance_Sheet[[#This Row],[Aop]],Data[],1)=AE$2&amp;Balance_Sheet[[#This Row],[Aop]],VLOOKUP(AE$2&amp;Balance_Sheet[[#This Row],[Aop]],Data[],AE$1)/Jedinica,"")</f>
        <v>100899891</v>
      </c>
      <c r="AF31" s="38">
        <f>IF(VLOOKUP(AF$2&amp;Balance_Sheet[[#This Row],[Aop]],Data[],1)=AF$2&amp;Balance_Sheet[[#This Row],[Aop]],VLOOKUP(AF$2&amp;Balance_Sheet[[#This Row],[Aop]],Data[],AF$1)/Jedinica,"")</f>
        <v>99807284</v>
      </c>
    </row>
    <row r="32" spans="1:32" ht="12.75" customHeight="1" x14ac:dyDescent="0.2">
      <c r="A32" s="74">
        <v>27</v>
      </c>
      <c r="B32" s="75">
        <v>3</v>
      </c>
      <c r="C32" s="76" t="str">
        <f>VLOOKUP(Balance_Sheet[[#This Row],[No]],AOP_Balance,3,0)</f>
        <v>026</v>
      </c>
      <c r="D32" s="52" t="str">
        <f>VLOOKUP(Balance_Sheet[[#This Row],[No]],AOP_Balance,7,0)</f>
        <v xml:space="preserve">      g) AVR u domaćoj valuti</v>
      </c>
      <c r="E32" s="38">
        <f>IF(VLOOKUP(E$2&amp;Balance_Sheet[[#This Row],[Aop]],Data[],1)=E$2&amp;Balance_Sheet[[#This Row],[Aop]],VLOOKUP(E$2&amp;Balance_Sheet[[#This Row],[Aop]],Data[],E$1)/Jedinica,"")</f>
        <v>1390189</v>
      </c>
      <c r="F32" s="38">
        <f>IF(VLOOKUP(F$2&amp;Balance_Sheet[[#This Row],[Aop]],Data[],1)=F$2&amp;Balance_Sheet[[#This Row],[Aop]],VLOOKUP(F$2&amp;Balance_Sheet[[#This Row],[Aop]],Data[],F$1)/Jedinica,"")</f>
        <v>15732</v>
      </c>
      <c r="G32" s="38">
        <f>IF(VLOOKUP(G$2&amp;Balance_Sheet[[#This Row],[Aop]],Data[],1)=G$2&amp;Balance_Sheet[[#This Row],[Aop]],VLOOKUP(G$2&amp;Balance_Sheet[[#This Row],[Aop]],Data[],G$1)/Jedinica,"")</f>
        <v>1374457</v>
      </c>
      <c r="H32" s="38">
        <f>IF(VLOOKUP(H$2&amp;Balance_Sheet[[#This Row],[Aop]],Data[],1)=H$2&amp;Balance_Sheet[[#This Row],[Aop]],VLOOKUP(H$2&amp;Balance_Sheet[[#This Row],[Aop]],Data[],H$1)/Jedinica,"")</f>
        <v>501765</v>
      </c>
      <c r="I32" s="38">
        <f>IF(VLOOKUP(I$2&amp;Balance_Sheet[[#This Row],[Aop]],Data[],1)=I$2&amp;Balance_Sheet[[#This Row],[Aop]],VLOOKUP(I$2&amp;Balance_Sheet[[#This Row],[Aop]],Data[],I$1)/Jedinica,"")</f>
        <v>1927325</v>
      </c>
      <c r="J32" s="38">
        <f>IF(VLOOKUP(J$2&amp;Balance_Sheet[[#This Row],[Aop]],Data[],1)=J$2&amp;Balance_Sheet[[#This Row],[Aop]],VLOOKUP(J$2&amp;Balance_Sheet[[#This Row],[Aop]],Data[],J$1)/Jedinica,"")</f>
        <v>49407</v>
      </c>
      <c r="K32" s="38">
        <f>IF(VLOOKUP(K$2&amp;Balance_Sheet[[#This Row],[Aop]],Data[],1)=K$2&amp;Balance_Sheet[[#This Row],[Aop]],VLOOKUP(K$2&amp;Balance_Sheet[[#This Row],[Aop]],Data[],K$1)/Jedinica,"")</f>
        <v>1877918</v>
      </c>
      <c r="L32" s="38">
        <f>IF(VLOOKUP(L$2&amp;Balance_Sheet[[#This Row],[Aop]],Data[],1)=L$2&amp;Balance_Sheet[[#This Row],[Aop]],VLOOKUP(L$2&amp;Balance_Sheet[[#This Row],[Aop]],Data[],L$1)/Jedinica,"")</f>
        <v>1355866</v>
      </c>
      <c r="M32" s="38">
        <f>IF(VLOOKUP(M$2&amp;Balance_Sheet[[#This Row],[Aop]],Data[],1)=M$2&amp;Balance_Sheet[[#This Row],[Aop]],VLOOKUP(M$2&amp;Balance_Sheet[[#This Row],[Aop]],Data[],M$1)/Jedinica,"")</f>
        <v>325239</v>
      </c>
      <c r="N32" s="38">
        <f>IF(VLOOKUP(N$2&amp;Balance_Sheet[[#This Row],[Aop]],Data[],1)=N$2&amp;Balance_Sheet[[#This Row],[Aop]],VLOOKUP(N$2&amp;Balance_Sheet[[#This Row],[Aop]],Data[],N$1)/Jedinica,"")</f>
        <v>0</v>
      </c>
      <c r="O32" s="38">
        <f>IF(VLOOKUP(O$2&amp;Balance_Sheet[[#This Row],[Aop]],Data[],1)=O$2&amp;Balance_Sheet[[#This Row],[Aop]],VLOOKUP(O$2&amp;Balance_Sheet[[#This Row],[Aop]],Data[],O$1)/Jedinica,"")</f>
        <v>325239</v>
      </c>
      <c r="P32" s="38">
        <f>IF(VLOOKUP(P$2&amp;Balance_Sheet[[#This Row],[Aop]],Data[],1)=P$2&amp;Balance_Sheet[[#This Row],[Aop]],VLOOKUP(P$2&amp;Balance_Sheet[[#This Row],[Aop]],Data[],P$1)/Jedinica,"")</f>
        <v>398914</v>
      </c>
      <c r="Q32" s="38">
        <f>IF(VLOOKUP(Q$2&amp;Balance_Sheet[[#This Row],[Aop]],Data[],1)=Q$2&amp;Balance_Sheet[[#This Row],[Aop]],VLOOKUP(Q$2&amp;Balance_Sheet[[#This Row],[Aop]],Data[],Q$1)/Jedinica,"")</f>
        <v>477870</v>
      </c>
      <c r="R32" s="38">
        <f>IF(VLOOKUP(R$2&amp;Balance_Sheet[[#This Row],[Aop]],Data[],1)=R$2&amp;Balance_Sheet[[#This Row],[Aop]],VLOOKUP(R$2&amp;Balance_Sheet[[#This Row],[Aop]],Data[],R$1)/Jedinica,"")</f>
        <v>0</v>
      </c>
      <c r="S32" s="38">
        <f>IF(VLOOKUP(S$2&amp;Balance_Sheet[[#This Row],[Aop]],Data[],1)=S$2&amp;Balance_Sheet[[#This Row],[Aop]],VLOOKUP(S$2&amp;Balance_Sheet[[#This Row],[Aop]],Data[],S$1)/Jedinica,"")</f>
        <v>477870</v>
      </c>
      <c r="T32" s="38">
        <f>IF(VLOOKUP(T$2&amp;Balance_Sheet[[#This Row],[Aop]],Data[],1)=T$2&amp;Balance_Sheet[[#This Row],[Aop]],VLOOKUP(T$2&amp;Balance_Sheet[[#This Row],[Aop]],Data[],T$1)/Jedinica,"")</f>
        <v>464138</v>
      </c>
      <c r="U32" s="38">
        <f>IF(VLOOKUP(U$2&amp;Balance_Sheet[[#This Row],[Aop]],Data[],1)=U$2&amp;Balance_Sheet[[#This Row],[Aop]],VLOOKUP(U$2&amp;Balance_Sheet[[#This Row],[Aop]],Data[],U$1)/Jedinica,"")</f>
        <v>755849</v>
      </c>
      <c r="V32" s="38">
        <f>IF(VLOOKUP(V$2&amp;Balance_Sheet[[#This Row],[Aop]],Data[],1)=V$2&amp;Balance_Sheet[[#This Row],[Aop]],VLOOKUP(V$2&amp;Balance_Sheet[[#This Row],[Aop]],Data[],V$1)/Jedinica,"")</f>
        <v>1144</v>
      </c>
      <c r="W32" s="38">
        <f>IF(VLOOKUP(W$2&amp;Balance_Sheet[[#This Row],[Aop]],Data[],1)=W$2&amp;Balance_Sheet[[#This Row],[Aop]],VLOOKUP(W$2&amp;Balance_Sheet[[#This Row],[Aop]],Data[],W$1)/Jedinica,"")</f>
        <v>754705</v>
      </c>
      <c r="X32" s="38">
        <f>IF(VLOOKUP(X$2&amp;Balance_Sheet[[#This Row],[Aop]],Data[],1)=X$2&amp;Balance_Sheet[[#This Row],[Aop]],VLOOKUP(X$2&amp;Balance_Sheet[[#This Row],[Aop]],Data[],X$1)/Jedinica,"")</f>
        <v>548925</v>
      </c>
      <c r="Y32" s="38">
        <f>IF(VLOOKUP(Y$2&amp;Balance_Sheet[[#This Row],[Aop]],Data[],1)=Y$2&amp;Balance_Sheet[[#This Row],[Aop]],VLOOKUP(Y$2&amp;Balance_Sheet[[#This Row],[Aop]],Data[],Y$1)/Jedinica,"")</f>
        <v>477870</v>
      </c>
      <c r="Z32" s="38">
        <f>IF(VLOOKUP(Z$2&amp;Balance_Sheet[[#This Row],[Aop]],Data[],1)=Z$2&amp;Balance_Sheet[[#This Row],[Aop]],VLOOKUP(Z$2&amp;Balance_Sheet[[#This Row],[Aop]],Data[],Z$1)/Jedinica,"")</f>
        <v>0</v>
      </c>
      <c r="AA32" s="38">
        <f>IF(VLOOKUP(AA$2&amp;Balance_Sheet[[#This Row],[Aop]],Data[],1)=AA$2&amp;Balance_Sheet[[#This Row],[Aop]],VLOOKUP(AA$2&amp;Balance_Sheet[[#This Row],[Aop]],Data[],AA$1)/Jedinica,"")</f>
        <v>477870</v>
      </c>
      <c r="AB32" s="38">
        <f>IF(VLOOKUP(AB$2&amp;Balance_Sheet[[#This Row],[Aop]],Data[],1)=AB$2&amp;Balance_Sheet[[#This Row],[Aop]],VLOOKUP(AB$2&amp;Balance_Sheet[[#This Row],[Aop]],Data[],AB$1)/Jedinica,"")</f>
        <v>464138</v>
      </c>
      <c r="AC32" s="38">
        <f>IF(VLOOKUP(AC$2&amp;Balance_Sheet[[#This Row],[Aop]],Data[],1)=AC$2&amp;Balance_Sheet[[#This Row],[Aop]],VLOOKUP(AC$2&amp;Balance_Sheet[[#This Row],[Aop]],Data[],AC$1)/Jedinica,"")</f>
        <v>1978493</v>
      </c>
      <c r="AD32" s="38">
        <f>IF(VLOOKUP(AD$2&amp;Balance_Sheet[[#This Row],[Aop]],Data[],1)=AD$2&amp;Balance_Sheet[[#This Row],[Aop]],VLOOKUP(AD$2&amp;Balance_Sheet[[#This Row],[Aop]],Data[],AD$1)/Jedinica,"")</f>
        <v>165274</v>
      </c>
      <c r="AE32" s="38">
        <f>IF(VLOOKUP(AE$2&amp;Balance_Sheet[[#This Row],[Aop]],Data[],1)=AE$2&amp;Balance_Sheet[[#This Row],[Aop]],VLOOKUP(AE$2&amp;Balance_Sheet[[#This Row],[Aop]],Data[],AE$1)/Jedinica,"")</f>
        <v>1813219</v>
      </c>
      <c r="AF32" s="38">
        <f>IF(VLOOKUP(AF$2&amp;Balance_Sheet[[#This Row],[Aop]],Data[],1)=AF$2&amp;Balance_Sheet[[#This Row],[Aop]],VLOOKUP(AF$2&amp;Balance_Sheet[[#This Row],[Aop]],Data[],AF$1)/Jedinica,"")</f>
        <v>1916652</v>
      </c>
    </row>
    <row r="33" spans="1:32" ht="12.75" customHeight="1" x14ac:dyDescent="0.2">
      <c r="A33" s="74">
        <v>28</v>
      </c>
      <c r="B33" s="75">
        <v>3</v>
      </c>
      <c r="C33" s="76" t="str">
        <f>VLOOKUP(Balance_Sheet[[#This Row],[No]],AOP_Balance,3,0)</f>
        <v>027</v>
      </c>
      <c r="D33" s="52" t="str">
        <f>VLOOKUP(Balance_Sheet[[#This Row],[No]],AOP_Balance,7,0)</f>
        <v xml:space="preserve">      d) Ostali plasmani u stranoj valuti</v>
      </c>
      <c r="E33" s="38" t="str">
        <f>IF(VLOOKUP(E$2&amp;Balance_Sheet[[#This Row],[Aop]],Data[],1)=E$2&amp;Balance_Sheet[[#This Row],[Aop]],VLOOKUP(E$2&amp;Balance_Sheet[[#This Row],[Aop]],Data[],E$1)/Jedinica,"")</f>
        <v/>
      </c>
      <c r="F33" s="38" t="str">
        <f>IF(VLOOKUP(F$2&amp;Balance_Sheet[[#This Row],[Aop]],Data[],1)=F$2&amp;Balance_Sheet[[#This Row],[Aop]],VLOOKUP(F$2&amp;Balance_Sheet[[#This Row],[Aop]],Data[],F$1)/Jedinica,"")</f>
        <v/>
      </c>
      <c r="G33" s="38" t="str">
        <f>IF(VLOOKUP(G$2&amp;Balance_Sheet[[#This Row],[Aop]],Data[],1)=G$2&amp;Balance_Sheet[[#This Row],[Aop]],VLOOKUP(G$2&amp;Balance_Sheet[[#This Row],[Aop]],Data[],G$1)/Jedinica,"")</f>
        <v/>
      </c>
      <c r="H33" s="38" t="str">
        <f>IF(VLOOKUP(H$2&amp;Balance_Sheet[[#This Row],[Aop]],Data[],1)=H$2&amp;Balance_Sheet[[#This Row],[Aop]],VLOOKUP(H$2&amp;Balance_Sheet[[#This Row],[Aop]],Data[],H$1)/Jedinica,"")</f>
        <v/>
      </c>
      <c r="I33" s="38" t="str">
        <f>IF(VLOOKUP(I$2&amp;Balance_Sheet[[#This Row],[Aop]],Data[],1)=I$2&amp;Balance_Sheet[[#This Row],[Aop]],VLOOKUP(I$2&amp;Balance_Sheet[[#This Row],[Aop]],Data[],I$1)/Jedinica,"")</f>
        <v/>
      </c>
      <c r="J33" s="38" t="str">
        <f>IF(VLOOKUP(J$2&amp;Balance_Sheet[[#This Row],[Aop]],Data[],1)=J$2&amp;Balance_Sheet[[#This Row],[Aop]],VLOOKUP(J$2&amp;Balance_Sheet[[#This Row],[Aop]],Data[],J$1)/Jedinica,"")</f>
        <v/>
      </c>
      <c r="K33" s="38" t="str">
        <f>IF(VLOOKUP(K$2&amp;Balance_Sheet[[#This Row],[Aop]],Data[],1)=K$2&amp;Balance_Sheet[[#This Row],[Aop]],VLOOKUP(K$2&amp;Balance_Sheet[[#This Row],[Aop]],Data[],K$1)/Jedinica,"")</f>
        <v/>
      </c>
      <c r="L33" s="38" t="str">
        <f>IF(VLOOKUP(L$2&amp;Balance_Sheet[[#This Row],[Aop]],Data[],1)=L$2&amp;Balance_Sheet[[#This Row],[Aop]],VLOOKUP(L$2&amp;Balance_Sheet[[#This Row],[Aop]],Data[],L$1)/Jedinica,"")</f>
        <v/>
      </c>
      <c r="M33" s="38">
        <f>IF(VLOOKUP(M$2&amp;Balance_Sheet[[#This Row],[Aop]],Data[],1)=M$2&amp;Balance_Sheet[[#This Row],[Aop]],VLOOKUP(M$2&amp;Balance_Sheet[[#This Row],[Aop]],Data[],M$1)/Jedinica,"")</f>
        <v>103862</v>
      </c>
      <c r="N33" s="38">
        <f>IF(VLOOKUP(N$2&amp;Balance_Sheet[[#This Row],[Aop]],Data[],1)=N$2&amp;Balance_Sheet[[#This Row],[Aop]],VLOOKUP(N$2&amp;Balance_Sheet[[#This Row],[Aop]],Data[],N$1)/Jedinica,"")</f>
        <v>103862</v>
      </c>
      <c r="O33" s="38">
        <f>IF(VLOOKUP(O$2&amp;Balance_Sheet[[#This Row],[Aop]],Data[],1)=O$2&amp;Balance_Sheet[[#This Row],[Aop]],VLOOKUP(O$2&amp;Balance_Sheet[[#This Row],[Aop]],Data[],O$1)/Jedinica,"")</f>
        <v>0</v>
      </c>
      <c r="P33" s="38">
        <f>IF(VLOOKUP(P$2&amp;Balance_Sheet[[#This Row],[Aop]],Data[],1)=P$2&amp;Balance_Sheet[[#This Row],[Aop]],VLOOKUP(P$2&amp;Balance_Sheet[[#This Row],[Aop]],Data[],P$1)/Jedinica,"")</f>
        <v>0</v>
      </c>
      <c r="Q33" s="38" t="str">
        <f>IF(VLOOKUP(Q$2&amp;Balance_Sheet[[#This Row],[Aop]],Data[],1)=Q$2&amp;Balance_Sheet[[#This Row],[Aop]],VLOOKUP(Q$2&amp;Balance_Sheet[[#This Row],[Aop]],Data[],Q$1)/Jedinica,"")</f>
        <v/>
      </c>
      <c r="R33" s="38" t="str">
        <f>IF(VLOOKUP(R$2&amp;Balance_Sheet[[#This Row],[Aop]],Data[],1)=R$2&amp;Balance_Sheet[[#This Row],[Aop]],VLOOKUP(R$2&amp;Balance_Sheet[[#This Row],[Aop]],Data[],R$1)/Jedinica,"")</f>
        <v/>
      </c>
      <c r="S33" s="38" t="str">
        <f>IF(VLOOKUP(S$2&amp;Balance_Sheet[[#This Row],[Aop]],Data[],1)=S$2&amp;Balance_Sheet[[#This Row],[Aop]],VLOOKUP(S$2&amp;Balance_Sheet[[#This Row],[Aop]],Data[],S$1)/Jedinica,"")</f>
        <v/>
      </c>
      <c r="T33" s="38" t="str">
        <f>IF(VLOOKUP(T$2&amp;Balance_Sheet[[#This Row],[Aop]],Data[],1)=T$2&amp;Balance_Sheet[[#This Row],[Aop]],VLOOKUP(T$2&amp;Balance_Sheet[[#This Row],[Aop]],Data[],T$1)/Jedinica,"")</f>
        <v/>
      </c>
      <c r="U33" s="38">
        <f>IF(VLOOKUP(U$2&amp;Balance_Sheet[[#This Row],[Aop]],Data[],1)=U$2&amp;Balance_Sheet[[#This Row],[Aop]],VLOOKUP(U$2&amp;Balance_Sheet[[#This Row],[Aop]],Data[],U$1)/Jedinica,"")</f>
        <v>215836</v>
      </c>
      <c r="V33" s="38">
        <f>IF(VLOOKUP(V$2&amp;Balance_Sheet[[#This Row],[Aop]],Data[],1)=V$2&amp;Balance_Sheet[[#This Row],[Aop]],VLOOKUP(V$2&amp;Balance_Sheet[[#This Row],[Aop]],Data[],V$1)/Jedinica,"")</f>
        <v>196076</v>
      </c>
      <c r="W33" s="38">
        <f>IF(VLOOKUP(W$2&amp;Balance_Sheet[[#This Row],[Aop]],Data[],1)=W$2&amp;Balance_Sheet[[#This Row],[Aop]],VLOOKUP(W$2&amp;Balance_Sheet[[#This Row],[Aop]],Data[],W$1)/Jedinica,"")</f>
        <v>19760</v>
      </c>
      <c r="X33" s="38">
        <f>IF(VLOOKUP(X$2&amp;Balance_Sheet[[#This Row],[Aop]],Data[],1)=X$2&amp;Balance_Sheet[[#This Row],[Aop]],VLOOKUP(X$2&amp;Balance_Sheet[[#This Row],[Aop]],Data[],X$1)/Jedinica,"")</f>
        <v>19760</v>
      </c>
      <c r="Y33" s="38" t="str">
        <f>IF(VLOOKUP(Y$2&amp;Balance_Sheet[[#This Row],[Aop]],Data[],1)=Y$2&amp;Balance_Sheet[[#This Row],[Aop]],VLOOKUP(Y$2&amp;Balance_Sheet[[#This Row],[Aop]],Data[],Y$1)/Jedinica,"")</f>
        <v/>
      </c>
      <c r="Z33" s="38" t="str">
        <f>IF(VLOOKUP(Z$2&amp;Balance_Sheet[[#This Row],[Aop]],Data[],1)=Z$2&amp;Balance_Sheet[[#This Row],[Aop]],VLOOKUP(Z$2&amp;Balance_Sheet[[#This Row],[Aop]],Data[],Z$1)/Jedinica,"")</f>
        <v/>
      </c>
      <c r="AA33" s="38" t="str">
        <f>IF(VLOOKUP(AA$2&amp;Balance_Sheet[[#This Row],[Aop]],Data[],1)=AA$2&amp;Balance_Sheet[[#This Row],[Aop]],VLOOKUP(AA$2&amp;Balance_Sheet[[#This Row],[Aop]],Data[],AA$1)/Jedinica,"")</f>
        <v/>
      </c>
      <c r="AB33" s="38" t="str">
        <f>IF(VLOOKUP(AB$2&amp;Balance_Sheet[[#This Row],[Aop]],Data[],1)=AB$2&amp;Balance_Sheet[[#This Row],[Aop]],VLOOKUP(AB$2&amp;Balance_Sheet[[#This Row],[Aop]],Data[],AB$1)/Jedinica,"")</f>
        <v/>
      </c>
      <c r="AC33" s="38">
        <f>IF(VLOOKUP(AC$2&amp;Balance_Sheet[[#This Row],[Aop]],Data[],1)=AC$2&amp;Balance_Sheet[[#This Row],[Aop]],VLOOKUP(AC$2&amp;Balance_Sheet[[#This Row],[Aop]],Data[],AC$1)/Jedinica,"")</f>
        <v>61592824</v>
      </c>
      <c r="AD33" s="38">
        <f>IF(VLOOKUP(AD$2&amp;Balance_Sheet[[#This Row],[Aop]],Data[],1)=AD$2&amp;Balance_Sheet[[#This Row],[Aop]],VLOOKUP(AD$2&amp;Balance_Sheet[[#This Row],[Aop]],Data[],AD$1)/Jedinica,"")</f>
        <v>3091377</v>
      </c>
      <c r="AE33" s="38">
        <f>IF(VLOOKUP(AE$2&amp;Balance_Sheet[[#This Row],[Aop]],Data[],1)=AE$2&amp;Balance_Sheet[[#This Row],[Aop]],VLOOKUP(AE$2&amp;Balance_Sheet[[#This Row],[Aop]],Data[],AE$1)/Jedinica,"")</f>
        <v>58501447</v>
      </c>
      <c r="AF33" s="38">
        <f>IF(VLOOKUP(AF$2&amp;Balance_Sheet[[#This Row],[Aop]],Data[],1)=AF$2&amp;Balance_Sheet[[#This Row],[Aop]],VLOOKUP(AF$2&amp;Balance_Sheet[[#This Row],[Aop]],Data[],AF$1)/Jedinica,"")</f>
        <v>17602470</v>
      </c>
    </row>
    <row r="34" spans="1:32" ht="12.75" customHeight="1" x14ac:dyDescent="0.2">
      <c r="A34" s="74">
        <v>29</v>
      </c>
      <c r="B34" s="75">
        <v>3</v>
      </c>
      <c r="C34" s="76" t="str">
        <f>VLOOKUP(Balance_Sheet[[#This Row],[No]],AOP_Balance,3,0)</f>
        <v>028</v>
      </c>
      <c r="D34" s="52" t="str">
        <f>VLOOKUP(Balance_Sheet[[#This Row],[No]],AOP_Balance,7,0)</f>
        <v xml:space="preserve">      đ) Dospjeli plasmani i tekuća dospijeća dugoročnih plasmana u stranoj valuti</v>
      </c>
      <c r="E34" s="38">
        <f>IF(VLOOKUP(E$2&amp;Balance_Sheet[[#This Row],[Aop]],Data[],1)=E$2&amp;Balance_Sheet[[#This Row],[Aop]],VLOOKUP(E$2&amp;Balance_Sheet[[#This Row],[Aop]],Data[],E$1)/Jedinica,"")</f>
        <v>468935</v>
      </c>
      <c r="F34" s="38">
        <f>IF(VLOOKUP(F$2&amp;Balance_Sheet[[#This Row],[Aop]],Data[],1)=F$2&amp;Balance_Sheet[[#This Row],[Aop]],VLOOKUP(F$2&amp;Balance_Sheet[[#This Row],[Aop]],Data[],F$1)/Jedinica,"")</f>
        <v>33709</v>
      </c>
      <c r="G34" s="38">
        <f>IF(VLOOKUP(G$2&amp;Balance_Sheet[[#This Row],[Aop]],Data[],1)=G$2&amp;Balance_Sheet[[#This Row],[Aop]],VLOOKUP(G$2&amp;Balance_Sheet[[#This Row],[Aop]],Data[],G$1)/Jedinica,"")</f>
        <v>435226</v>
      </c>
      <c r="H34" s="38">
        <f>IF(VLOOKUP(H$2&amp;Balance_Sheet[[#This Row],[Aop]],Data[],1)=H$2&amp;Balance_Sheet[[#This Row],[Aop]],VLOOKUP(H$2&amp;Balance_Sheet[[#This Row],[Aop]],Data[],H$1)/Jedinica,"")</f>
        <v>274527</v>
      </c>
      <c r="I34" s="38">
        <f>IF(VLOOKUP(I$2&amp;Balance_Sheet[[#This Row],[Aop]],Data[],1)=I$2&amp;Balance_Sheet[[#This Row],[Aop]],VLOOKUP(I$2&amp;Balance_Sheet[[#This Row],[Aop]],Data[],I$1)/Jedinica,"")</f>
        <v>3533378</v>
      </c>
      <c r="J34" s="38">
        <f>IF(VLOOKUP(J$2&amp;Balance_Sheet[[#This Row],[Aop]],Data[],1)=J$2&amp;Balance_Sheet[[#This Row],[Aop]],VLOOKUP(J$2&amp;Balance_Sheet[[#This Row],[Aop]],Data[],J$1)/Jedinica,"")</f>
        <v>3358335</v>
      </c>
      <c r="K34" s="38">
        <f>IF(VLOOKUP(K$2&amp;Balance_Sheet[[#This Row],[Aop]],Data[],1)=K$2&amp;Balance_Sheet[[#This Row],[Aop]],VLOOKUP(K$2&amp;Balance_Sheet[[#This Row],[Aop]],Data[],K$1)/Jedinica,"")</f>
        <v>175043</v>
      </c>
      <c r="L34" s="38">
        <f>IF(VLOOKUP(L$2&amp;Balance_Sheet[[#This Row],[Aop]],Data[],1)=L$2&amp;Balance_Sheet[[#This Row],[Aop]],VLOOKUP(L$2&amp;Balance_Sheet[[#This Row],[Aop]],Data[],L$1)/Jedinica,"")</f>
        <v>81870</v>
      </c>
      <c r="M34" s="38" t="str">
        <f>IF(VLOOKUP(M$2&amp;Balance_Sheet[[#This Row],[Aop]],Data[],1)=M$2&amp;Balance_Sheet[[#This Row],[Aop]],VLOOKUP(M$2&amp;Balance_Sheet[[#This Row],[Aop]],Data[],M$1)/Jedinica,"")</f>
        <v/>
      </c>
      <c r="N34" s="38" t="str">
        <f>IF(VLOOKUP(N$2&amp;Balance_Sheet[[#This Row],[Aop]],Data[],1)=N$2&amp;Balance_Sheet[[#This Row],[Aop]],VLOOKUP(N$2&amp;Balance_Sheet[[#This Row],[Aop]],Data[],N$1)/Jedinica,"")</f>
        <v/>
      </c>
      <c r="O34" s="38" t="str">
        <f>IF(VLOOKUP(O$2&amp;Balance_Sheet[[#This Row],[Aop]],Data[],1)=O$2&amp;Balance_Sheet[[#This Row],[Aop]],VLOOKUP(O$2&amp;Balance_Sheet[[#This Row],[Aop]],Data[],O$1)/Jedinica,"")</f>
        <v/>
      </c>
      <c r="P34" s="38" t="str">
        <f>IF(VLOOKUP(P$2&amp;Balance_Sheet[[#This Row],[Aop]],Data[],1)=P$2&amp;Balance_Sheet[[#This Row],[Aop]],VLOOKUP(P$2&amp;Balance_Sheet[[#This Row],[Aop]],Data[],P$1)/Jedinica,"")</f>
        <v/>
      </c>
      <c r="Q34" s="38" t="str">
        <f>IF(VLOOKUP(Q$2&amp;Balance_Sheet[[#This Row],[Aop]],Data[],1)=Q$2&amp;Balance_Sheet[[#This Row],[Aop]],VLOOKUP(Q$2&amp;Balance_Sheet[[#This Row],[Aop]],Data[],Q$1)/Jedinica,"")</f>
        <v/>
      </c>
      <c r="R34" s="38" t="str">
        <f>IF(VLOOKUP(R$2&amp;Balance_Sheet[[#This Row],[Aop]],Data[],1)=R$2&amp;Balance_Sheet[[#This Row],[Aop]],VLOOKUP(R$2&amp;Balance_Sheet[[#This Row],[Aop]],Data[],R$1)/Jedinica,"")</f>
        <v/>
      </c>
      <c r="S34" s="38" t="str">
        <f>IF(VLOOKUP(S$2&amp;Balance_Sheet[[#This Row],[Aop]],Data[],1)=S$2&amp;Balance_Sheet[[#This Row],[Aop]],VLOOKUP(S$2&amp;Balance_Sheet[[#This Row],[Aop]],Data[],S$1)/Jedinica,"")</f>
        <v/>
      </c>
      <c r="T34" s="38" t="str">
        <f>IF(VLOOKUP(T$2&amp;Balance_Sheet[[#This Row],[Aop]],Data[],1)=T$2&amp;Balance_Sheet[[#This Row],[Aop]],VLOOKUP(T$2&amp;Balance_Sheet[[#This Row],[Aop]],Data[],T$1)/Jedinica,"")</f>
        <v/>
      </c>
      <c r="U34" s="38">
        <f>IF(VLOOKUP(U$2&amp;Balance_Sheet[[#This Row],[Aop]],Data[],1)=U$2&amp;Balance_Sheet[[#This Row],[Aop]],VLOOKUP(U$2&amp;Balance_Sheet[[#This Row],[Aop]],Data[],U$1)/Jedinica,"")</f>
        <v>8690489</v>
      </c>
      <c r="V34" s="38">
        <f>IF(VLOOKUP(V$2&amp;Balance_Sheet[[#This Row],[Aop]],Data[],1)=V$2&amp;Balance_Sheet[[#This Row],[Aop]],VLOOKUP(V$2&amp;Balance_Sheet[[#This Row],[Aop]],Data[],V$1)/Jedinica,"")</f>
        <v>277156</v>
      </c>
      <c r="W34" s="38">
        <f>IF(VLOOKUP(W$2&amp;Balance_Sheet[[#This Row],[Aop]],Data[],1)=W$2&amp;Balance_Sheet[[#This Row],[Aop]],VLOOKUP(W$2&amp;Balance_Sheet[[#This Row],[Aop]],Data[],W$1)/Jedinica,"")</f>
        <v>8413333</v>
      </c>
      <c r="X34" s="38">
        <f>IF(VLOOKUP(X$2&amp;Balance_Sheet[[#This Row],[Aop]],Data[],1)=X$2&amp;Balance_Sheet[[#This Row],[Aop]],VLOOKUP(X$2&amp;Balance_Sheet[[#This Row],[Aop]],Data[],X$1)/Jedinica,"")</f>
        <v>6895308</v>
      </c>
      <c r="Y34" s="38" t="str">
        <f>IF(VLOOKUP(Y$2&amp;Balance_Sheet[[#This Row],[Aop]],Data[],1)=Y$2&amp;Balance_Sheet[[#This Row],[Aop]],VLOOKUP(Y$2&amp;Balance_Sheet[[#This Row],[Aop]],Data[],Y$1)/Jedinica,"")</f>
        <v/>
      </c>
      <c r="Z34" s="38" t="str">
        <f>IF(VLOOKUP(Z$2&amp;Balance_Sheet[[#This Row],[Aop]],Data[],1)=Z$2&amp;Balance_Sheet[[#This Row],[Aop]],VLOOKUP(Z$2&amp;Balance_Sheet[[#This Row],[Aop]],Data[],Z$1)/Jedinica,"")</f>
        <v/>
      </c>
      <c r="AA34" s="38" t="str">
        <f>IF(VLOOKUP(AA$2&amp;Balance_Sheet[[#This Row],[Aop]],Data[],1)=AA$2&amp;Balance_Sheet[[#This Row],[Aop]],VLOOKUP(AA$2&amp;Balance_Sheet[[#This Row],[Aop]],Data[],AA$1)/Jedinica,"")</f>
        <v/>
      </c>
      <c r="AB34" s="38" t="str">
        <f>IF(VLOOKUP(AB$2&amp;Balance_Sheet[[#This Row],[Aop]],Data[],1)=AB$2&amp;Balance_Sheet[[#This Row],[Aop]],VLOOKUP(AB$2&amp;Balance_Sheet[[#This Row],[Aop]],Data[],AB$1)/Jedinica,"")</f>
        <v/>
      </c>
      <c r="AC34" s="38">
        <f>IF(VLOOKUP(AC$2&amp;Balance_Sheet[[#This Row],[Aop]],Data[],1)=AC$2&amp;Balance_Sheet[[#This Row],[Aop]],VLOOKUP(AC$2&amp;Balance_Sheet[[#This Row],[Aop]],Data[],AC$1)/Jedinica,"")</f>
        <v>5702436</v>
      </c>
      <c r="AD34" s="38">
        <f>IF(VLOOKUP(AD$2&amp;Balance_Sheet[[#This Row],[Aop]],Data[],1)=AD$2&amp;Balance_Sheet[[#This Row],[Aop]],VLOOKUP(AD$2&amp;Balance_Sheet[[#This Row],[Aop]],Data[],AD$1)/Jedinica,"")</f>
        <v>4119682</v>
      </c>
      <c r="AE34" s="38">
        <f>IF(VLOOKUP(AE$2&amp;Balance_Sheet[[#This Row],[Aop]],Data[],1)=AE$2&amp;Balance_Sheet[[#This Row],[Aop]],VLOOKUP(AE$2&amp;Balance_Sheet[[#This Row],[Aop]],Data[],AE$1)/Jedinica,"")</f>
        <v>1582754</v>
      </c>
      <c r="AF34" s="38">
        <f>IF(VLOOKUP(AF$2&amp;Balance_Sheet[[#This Row],[Aop]],Data[],1)=AF$2&amp;Balance_Sheet[[#This Row],[Aop]],VLOOKUP(AF$2&amp;Balance_Sheet[[#This Row],[Aop]],Data[],AF$1)/Jedinica,"")</f>
        <v>1566816</v>
      </c>
    </row>
    <row r="35" spans="1:32" ht="12.75" customHeight="1" x14ac:dyDescent="0.2">
      <c r="A35" s="74">
        <v>30</v>
      </c>
      <c r="B35" s="75">
        <v>3</v>
      </c>
      <c r="C35" s="76" t="str">
        <f>VLOOKUP(Balance_Sheet[[#This Row],[No]],AOP_Balance,3,0)</f>
        <v>029</v>
      </c>
      <c r="D35" s="52" t="str">
        <f>VLOOKUP(Balance_Sheet[[#This Row],[No]],AOP_Balance,7,0)</f>
        <v xml:space="preserve">      e) AVR u stranoj valuti</v>
      </c>
      <c r="E35" s="38">
        <f>IF(VLOOKUP(E$2&amp;Balance_Sheet[[#This Row],[Aop]],Data[],1)=E$2&amp;Balance_Sheet[[#This Row],[Aop]],VLOOKUP(E$2&amp;Balance_Sheet[[#This Row],[Aop]],Data[],E$1)/Jedinica,"")</f>
        <v>9632</v>
      </c>
      <c r="F35" s="38">
        <f>IF(VLOOKUP(F$2&amp;Balance_Sheet[[#This Row],[Aop]],Data[],1)=F$2&amp;Balance_Sheet[[#This Row],[Aop]],VLOOKUP(F$2&amp;Balance_Sheet[[#This Row],[Aop]],Data[],F$1)/Jedinica,"")</f>
        <v>739</v>
      </c>
      <c r="G35" s="38">
        <f>IF(VLOOKUP(G$2&amp;Balance_Sheet[[#This Row],[Aop]],Data[],1)=G$2&amp;Balance_Sheet[[#This Row],[Aop]],VLOOKUP(G$2&amp;Balance_Sheet[[#This Row],[Aop]],Data[],G$1)/Jedinica,"")</f>
        <v>8893</v>
      </c>
      <c r="H35" s="38">
        <f>IF(VLOOKUP(H$2&amp;Balance_Sheet[[#This Row],[Aop]],Data[],1)=H$2&amp;Balance_Sheet[[#This Row],[Aop]],VLOOKUP(H$2&amp;Balance_Sheet[[#This Row],[Aop]],Data[],H$1)/Jedinica,"")</f>
        <v>8444</v>
      </c>
      <c r="I35" s="38">
        <f>IF(VLOOKUP(I$2&amp;Balance_Sheet[[#This Row],[Aop]],Data[],1)=I$2&amp;Balance_Sheet[[#This Row],[Aop]],VLOOKUP(I$2&amp;Balance_Sheet[[#This Row],[Aop]],Data[],I$1)/Jedinica,"")</f>
        <v>246661</v>
      </c>
      <c r="J35" s="38">
        <f>IF(VLOOKUP(J$2&amp;Balance_Sheet[[#This Row],[Aop]],Data[],1)=J$2&amp;Balance_Sheet[[#This Row],[Aop]],VLOOKUP(J$2&amp;Balance_Sheet[[#This Row],[Aop]],Data[],J$1)/Jedinica,"")</f>
        <v>548</v>
      </c>
      <c r="K35" s="38">
        <f>IF(VLOOKUP(K$2&amp;Balance_Sheet[[#This Row],[Aop]],Data[],1)=K$2&amp;Balance_Sheet[[#This Row],[Aop]],VLOOKUP(K$2&amp;Balance_Sheet[[#This Row],[Aop]],Data[],K$1)/Jedinica,"")</f>
        <v>246113</v>
      </c>
      <c r="L35" s="38">
        <f>IF(VLOOKUP(L$2&amp;Balance_Sheet[[#This Row],[Aop]],Data[],1)=L$2&amp;Balance_Sheet[[#This Row],[Aop]],VLOOKUP(L$2&amp;Balance_Sheet[[#This Row],[Aop]],Data[],L$1)/Jedinica,"")</f>
        <v>143646</v>
      </c>
      <c r="M35" s="38">
        <f>IF(VLOOKUP(M$2&amp;Balance_Sheet[[#This Row],[Aop]],Data[],1)=M$2&amp;Balance_Sheet[[#This Row],[Aop]],VLOOKUP(M$2&amp;Balance_Sheet[[#This Row],[Aop]],Data[],M$1)/Jedinica,"")</f>
        <v>97713</v>
      </c>
      <c r="N35" s="38">
        <f>IF(VLOOKUP(N$2&amp;Balance_Sheet[[#This Row],[Aop]],Data[],1)=N$2&amp;Balance_Sheet[[#This Row],[Aop]],VLOOKUP(N$2&amp;Balance_Sheet[[#This Row],[Aop]],Data[],N$1)/Jedinica,"")</f>
        <v>0</v>
      </c>
      <c r="O35" s="38">
        <f>IF(VLOOKUP(O$2&amp;Balance_Sheet[[#This Row],[Aop]],Data[],1)=O$2&amp;Balance_Sheet[[#This Row],[Aop]],VLOOKUP(O$2&amp;Balance_Sheet[[#This Row],[Aop]],Data[],O$1)/Jedinica,"")</f>
        <v>97713</v>
      </c>
      <c r="P35" s="38">
        <f>IF(VLOOKUP(P$2&amp;Balance_Sheet[[#This Row],[Aop]],Data[],1)=P$2&amp;Balance_Sheet[[#This Row],[Aop]],VLOOKUP(P$2&amp;Balance_Sheet[[#This Row],[Aop]],Data[],P$1)/Jedinica,"")</f>
        <v>96521</v>
      </c>
      <c r="Q35" s="38">
        <f>IF(VLOOKUP(Q$2&amp;Balance_Sheet[[#This Row],[Aop]],Data[],1)=Q$2&amp;Balance_Sheet[[#This Row],[Aop]],VLOOKUP(Q$2&amp;Balance_Sheet[[#This Row],[Aop]],Data[],Q$1)/Jedinica,"")</f>
        <v>261938</v>
      </c>
      <c r="R35" s="38">
        <f>IF(VLOOKUP(R$2&amp;Balance_Sheet[[#This Row],[Aop]],Data[],1)=R$2&amp;Balance_Sheet[[#This Row],[Aop]],VLOOKUP(R$2&amp;Balance_Sheet[[#This Row],[Aop]],Data[],R$1)/Jedinica,"")</f>
        <v>0</v>
      </c>
      <c r="S35" s="38">
        <f>IF(VLOOKUP(S$2&amp;Balance_Sheet[[#This Row],[Aop]],Data[],1)=S$2&amp;Balance_Sheet[[#This Row],[Aop]],VLOOKUP(S$2&amp;Balance_Sheet[[#This Row],[Aop]],Data[],S$1)/Jedinica,"")</f>
        <v>261938</v>
      </c>
      <c r="T35" s="38">
        <f>IF(VLOOKUP(T$2&amp;Balance_Sheet[[#This Row],[Aop]],Data[],1)=T$2&amp;Balance_Sheet[[#This Row],[Aop]],VLOOKUP(T$2&amp;Balance_Sheet[[#This Row],[Aop]],Data[],T$1)/Jedinica,"")</f>
        <v>228835</v>
      </c>
      <c r="U35" s="38">
        <f>IF(VLOOKUP(U$2&amp;Balance_Sheet[[#This Row],[Aop]],Data[],1)=U$2&amp;Balance_Sheet[[#This Row],[Aop]],VLOOKUP(U$2&amp;Balance_Sheet[[#This Row],[Aop]],Data[],U$1)/Jedinica,"")</f>
        <v>104086</v>
      </c>
      <c r="V35" s="38">
        <f>IF(VLOOKUP(V$2&amp;Balance_Sheet[[#This Row],[Aop]],Data[],1)=V$2&amp;Balance_Sheet[[#This Row],[Aop]],VLOOKUP(V$2&amp;Balance_Sheet[[#This Row],[Aop]],Data[],V$1)/Jedinica,"")</f>
        <v>770</v>
      </c>
      <c r="W35" s="38">
        <f>IF(VLOOKUP(W$2&amp;Balance_Sheet[[#This Row],[Aop]],Data[],1)=W$2&amp;Balance_Sheet[[#This Row],[Aop]],VLOOKUP(W$2&amp;Balance_Sheet[[#This Row],[Aop]],Data[],W$1)/Jedinica,"")</f>
        <v>103316</v>
      </c>
      <c r="X35" s="38">
        <f>IF(VLOOKUP(X$2&amp;Balance_Sheet[[#This Row],[Aop]],Data[],1)=X$2&amp;Balance_Sheet[[#This Row],[Aop]],VLOOKUP(X$2&amp;Balance_Sheet[[#This Row],[Aop]],Data[],X$1)/Jedinica,"")</f>
        <v>15053</v>
      </c>
      <c r="Y35" s="38">
        <f>IF(VLOOKUP(Y$2&amp;Balance_Sheet[[#This Row],[Aop]],Data[],1)=Y$2&amp;Balance_Sheet[[#This Row],[Aop]],VLOOKUP(Y$2&amp;Balance_Sheet[[#This Row],[Aop]],Data[],Y$1)/Jedinica,"")</f>
        <v>261938</v>
      </c>
      <c r="Z35" s="38">
        <f>IF(VLOOKUP(Z$2&amp;Balance_Sheet[[#This Row],[Aop]],Data[],1)=Z$2&amp;Balance_Sheet[[#This Row],[Aop]],VLOOKUP(Z$2&amp;Balance_Sheet[[#This Row],[Aop]],Data[],Z$1)/Jedinica,"")</f>
        <v>0</v>
      </c>
      <c r="AA35" s="38">
        <f>IF(VLOOKUP(AA$2&amp;Balance_Sheet[[#This Row],[Aop]],Data[],1)=AA$2&amp;Balance_Sheet[[#This Row],[Aop]],VLOOKUP(AA$2&amp;Balance_Sheet[[#This Row],[Aop]],Data[],AA$1)/Jedinica,"")</f>
        <v>261938</v>
      </c>
      <c r="AB35" s="38">
        <f>IF(VLOOKUP(AB$2&amp;Balance_Sheet[[#This Row],[Aop]],Data[],1)=AB$2&amp;Balance_Sheet[[#This Row],[Aop]],VLOOKUP(AB$2&amp;Balance_Sheet[[#This Row],[Aop]],Data[],AB$1)/Jedinica,"")</f>
        <v>228835</v>
      </c>
      <c r="AC35" s="38">
        <f>IF(VLOOKUP(AC$2&amp;Balance_Sheet[[#This Row],[Aop]],Data[],1)=AC$2&amp;Balance_Sheet[[#This Row],[Aop]],VLOOKUP(AC$2&amp;Balance_Sheet[[#This Row],[Aop]],Data[],AC$1)/Jedinica,"")</f>
        <v>216686</v>
      </c>
      <c r="AD35" s="38">
        <f>IF(VLOOKUP(AD$2&amp;Balance_Sheet[[#This Row],[Aop]],Data[],1)=AD$2&amp;Balance_Sheet[[#This Row],[Aop]],VLOOKUP(AD$2&amp;Balance_Sheet[[#This Row],[Aop]],Data[],AD$1)/Jedinica,"")</f>
        <v>0</v>
      </c>
      <c r="AE35" s="38">
        <f>IF(VLOOKUP(AE$2&amp;Balance_Sheet[[#This Row],[Aop]],Data[],1)=AE$2&amp;Balance_Sheet[[#This Row],[Aop]],VLOOKUP(AE$2&amp;Balance_Sheet[[#This Row],[Aop]],Data[],AE$1)/Jedinica,"")</f>
        <v>216686</v>
      </c>
      <c r="AF35" s="38">
        <f>IF(VLOOKUP(AF$2&amp;Balance_Sheet[[#This Row],[Aop]],Data[],1)=AF$2&amp;Balance_Sheet[[#This Row],[Aop]],VLOOKUP(AF$2&amp;Balance_Sheet[[#This Row],[Aop]],Data[],AF$1)/Jedinica,"")</f>
        <v>225196</v>
      </c>
    </row>
    <row r="36" spans="1:32" ht="12.75" customHeight="1" x14ac:dyDescent="0.2">
      <c r="A36" s="74">
        <v>31</v>
      </c>
      <c r="B36" s="75">
        <v>2</v>
      </c>
      <c r="C36" s="76" t="str">
        <f>VLOOKUP(Balance_Sheet[[#This Row],[No]],AOP_Balance,3,0)</f>
        <v>030</v>
      </c>
      <c r="D36" s="52" t="str">
        <f>VLOOKUP(Balance_Sheet[[#This Row],[No]],AOP_Balance,7,0)</f>
        <v xml:space="preserve">    7. Zalihe</v>
      </c>
      <c r="E36" s="38">
        <f>IF(VLOOKUP(E$2&amp;Balance_Sheet[[#This Row],[Aop]],Data[],1)=E$2&amp;Balance_Sheet[[#This Row],[Aop]],VLOOKUP(E$2&amp;Balance_Sheet[[#This Row],[Aop]],Data[],E$1)/Jedinica,"")</f>
        <v>1132137</v>
      </c>
      <c r="F36" s="38">
        <f>IF(VLOOKUP(F$2&amp;Balance_Sheet[[#This Row],[Aop]],Data[],1)=F$2&amp;Balance_Sheet[[#This Row],[Aop]],VLOOKUP(F$2&amp;Balance_Sheet[[#This Row],[Aop]],Data[],F$1)/Jedinica,"")</f>
        <v>0</v>
      </c>
      <c r="G36" s="38">
        <f>IF(VLOOKUP(G$2&amp;Balance_Sheet[[#This Row],[Aop]],Data[],1)=G$2&amp;Balance_Sheet[[#This Row],[Aop]],VLOOKUP(G$2&amp;Balance_Sheet[[#This Row],[Aop]],Data[],G$1)/Jedinica,"")</f>
        <v>1132137</v>
      </c>
      <c r="H36" s="38">
        <f>IF(VLOOKUP(H$2&amp;Balance_Sheet[[#This Row],[Aop]],Data[],1)=H$2&amp;Balance_Sheet[[#This Row],[Aop]],VLOOKUP(H$2&amp;Balance_Sheet[[#This Row],[Aop]],Data[],H$1)/Jedinica,"")</f>
        <v>1597108</v>
      </c>
      <c r="I36" s="38">
        <f>IF(VLOOKUP(I$2&amp;Balance_Sheet[[#This Row],[Aop]],Data[],1)=I$2&amp;Balance_Sheet[[#This Row],[Aop]],VLOOKUP(I$2&amp;Balance_Sheet[[#This Row],[Aop]],Data[],I$1)/Jedinica,"")</f>
        <v>5058358</v>
      </c>
      <c r="J36" s="38">
        <f>IF(VLOOKUP(J$2&amp;Balance_Sheet[[#This Row],[Aop]],Data[],1)=J$2&amp;Balance_Sheet[[#This Row],[Aop]],VLOOKUP(J$2&amp;Balance_Sheet[[#This Row],[Aop]],Data[],J$1)/Jedinica,"")</f>
        <v>163704</v>
      </c>
      <c r="K36" s="38">
        <f>IF(VLOOKUP(K$2&amp;Balance_Sheet[[#This Row],[Aop]],Data[],1)=K$2&amp;Balance_Sheet[[#This Row],[Aop]],VLOOKUP(K$2&amp;Balance_Sheet[[#This Row],[Aop]],Data[],K$1)/Jedinica,"")</f>
        <v>4894654</v>
      </c>
      <c r="L36" s="38">
        <f>IF(VLOOKUP(L$2&amp;Balance_Sheet[[#This Row],[Aop]],Data[],1)=L$2&amp;Balance_Sheet[[#This Row],[Aop]],VLOOKUP(L$2&amp;Balance_Sheet[[#This Row],[Aop]],Data[],L$1)/Jedinica,"")</f>
        <v>4898735</v>
      </c>
      <c r="M36" s="38">
        <f>IF(VLOOKUP(M$2&amp;Balance_Sheet[[#This Row],[Aop]],Data[],1)=M$2&amp;Balance_Sheet[[#This Row],[Aop]],VLOOKUP(M$2&amp;Balance_Sheet[[#This Row],[Aop]],Data[],M$1)/Jedinica,"")</f>
        <v>214405</v>
      </c>
      <c r="N36" s="38">
        <f>IF(VLOOKUP(N$2&amp;Balance_Sheet[[#This Row],[Aop]],Data[],1)=N$2&amp;Balance_Sheet[[#This Row],[Aop]],VLOOKUP(N$2&amp;Balance_Sheet[[#This Row],[Aop]],Data[],N$1)/Jedinica,"")</f>
        <v>124469</v>
      </c>
      <c r="O36" s="38">
        <f>IF(VLOOKUP(O$2&amp;Balance_Sheet[[#This Row],[Aop]],Data[],1)=O$2&amp;Balance_Sheet[[#This Row],[Aop]],VLOOKUP(O$2&amp;Balance_Sheet[[#This Row],[Aop]],Data[],O$1)/Jedinica,"")</f>
        <v>89936</v>
      </c>
      <c r="P36" s="38">
        <f>IF(VLOOKUP(P$2&amp;Balance_Sheet[[#This Row],[Aop]],Data[],1)=P$2&amp;Balance_Sheet[[#This Row],[Aop]],VLOOKUP(P$2&amp;Balance_Sheet[[#This Row],[Aop]],Data[],P$1)/Jedinica,"")</f>
        <v>96035</v>
      </c>
      <c r="Q36" s="38">
        <f>IF(VLOOKUP(Q$2&amp;Balance_Sheet[[#This Row],[Aop]],Data[],1)=Q$2&amp;Balance_Sheet[[#This Row],[Aop]],VLOOKUP(Q$2&amp;Balance_Sheet[[#This Row],[Aop]],Data[],Q$1)/Jedinica,"")</f>
        <v>170471</v>
      </c>
      <c r="R36" s="38">
        <f>IF(VLOOKUP(R$2&amp;Balance_Sheet[[#This Row],[Aop]],Data[],1)=R$2&amp;Balance_Sheet[[#This Row],[Aop]],VLOOKUP(R$2&amp;Balance_Sheet[[#This Row],[Aop]],Data[],R$1)/Jedinica,"")</f>
        <v>114293</v>
      </c>
      <c r="S36" s="38">
        <f>IF(VLOOKUP(S$2&amp;Balance_Sheet[[#This Row],[Aop]],Data[],1)=S$2&amp;Balance_Sheet[[#This Row],[Aop]],VLOOKUP(S$2&amp;Balance_Sheet[[#This Row],[Aop]],Data[],S$1)/Jedinica,"")</f>
        <v>56178</v>
      </c>
      <c r="T36" s="38">
        <f>IF(VLOOKUP(T$2&amp;Balance_Sheet[[#This Row],[Aop]],Data[],1)=T$2&amp;Balance_Sheet[[#This Row],[Aop]],VLOOKUP(T$2&amp;Balance_Sheet[[#This Row],[Aop]],Data[],T$1)/Jedinica,"")</f>
        <v>58502</v>
      </c>
      <c r="U36" s="38">
        <f>IF(VLOOKUP(U$2&amp;Balance_Sheet[[#This Row],[Aop]],Data[],1)=U$2&amp;Balance_Sheet[[#This Row],[Aop]],VLOOKUP(U$2&amp;Balance_Sheet[[#This Row],[Aop]],Data[],U$1)/Jedinica,"")</f>
        <v>186812</v>
      </c>
      <c r="V36" s="38">
        <f>IF(VLOOKUP(V$2&amp;Balance_Sheet[[#This Row],[Aop]],Data[],1)=V$2&amp;Balance_Sheet[[#This Row],[Aop]],VLOOKUP(V$2&amp;Balance_Sheet[[#This Row],[Aop]],Data[],V$1)/Jedinica,"")</f>
        <v>169697</v>
      </c>
      <c r="W36" s="38">
        <f>IF(VLOOKUP(W$2&amp;Balance_Sheet[[#This Row],[Aop]],Data[],1)=W$2&amp;Balance_Sheet[[#This Row],[Aop]],VLOOKUP(W$2&amp;Balance_Sheet[[#This Row],[Aop]],Data[],W$1)/Jedinica,"")</f>
        <v>17115</v>
      </c>
      <c r="X36" s="38">
        <f>IF(VLOOKUP(X$2&amp;Balance_Sheet[[#This Row],[Aop]],Data[],1)=X$2&amp;Balance_Sheet[[#This Row],[Aop]],VLOOKUP(X$2&amp;Balance_Sheet[[#This Row],[Aop]],Data[],X$1)/Jedinica,"")</f>
        <v>23113</v>
      </c>
      <c r="Y36" s="38">
        <f>IF(VLOOKUP(Y$2&amp;Balance_Sheet[[#This Row],[Aop]],Data[],1)=Y$2&amp;Balance_Sheet[[#This Row],[Aop]],VLOOKUP(Y$2&amp;Balance_Sheet[[#This Row],[Aop]],Data[],Y$1)/Jedinica,"")</f>
        <v>170471</v>
      </c>
      <c r="Z36" s="38">
        <f>IF(VLOOKUP(Z$2&amp;Balance_Sheet[[#This Row],[Aop]],Data[],1)=Z$2&amp;Balance_Sheet[[#This Row],[Aop]],VLOOKUP(Z$2&amp;Balance_Sheet[[#This Row],[Aop]],Data[],Z$1)/Jedinica,"")</f>
        <v>114293</v>
      </c>
      <c r="AA36" s="38">
        <f>IF(VLOOKUP(AA$2&amp;Balance_Sheet[[#This Row],[Aop]],Data[],1)=AA$2&amp;Balance_Sheet[[#This Row],[Aop]],VLOOKUP(AA$2&amp;Balance_Sheet[[#This Row],[Aop]],Data[],AA$1)/Jedinica,"")</f>
        <v>56178</v>
      </c>
      <c r="AB36" s="38">
        <f>IF(VLOOKUP(AB$2&amp;Balance_Sheet[[#This Row],[Aop]],Data[],1)=AB$2&amp;Balance_Sheet[[#This Row],[Aop]],VLOOKUP(AB$2&amp;Balance_Sheet[[#This Row],[Aop]],Data[],AB$1)/Jedinica,"")</f>
        <v>58502</v>
      </c>
      <c r="AC36" s="38">
        <f>IF(VLOOKUP(AC$2&amp;Balance_Sheet[[#This Row],[Aop]],Data[],1)=AC$2&amp;Balance_Sheet[[#This Row],[Aop]],VLOOKUP(AC$2&amp;Balance_Sheet[[#This Row],[Aop]],Data[],AC$1)/Jedinica,"")</f>
        <v>2567621</v>
      </c>
      <c r="AD36" s="38">
        <f>IF(VLOOKUP(AD$2&amp;Balance_Sheet[[#This Row],[Aop]],Data[],1)=AD$2&amp;Balance_Sheet[[#This Row],[Aop]],VLOOKUP(AD$2&amp;Balance_Sheet[[#This Row],[Aop]],Data[],AD$1)/Jedinica,"")</f>
        <v>229888</v>
      </c>
      <c r="AE36" s="38">
        <f>IF(VLOOKUP(AE$2&amp;Balance_Sheet[[#This Row],[Aop]],Data[],1)=AE$2&amp;Balance_Sheet[[#This Row],[Aop]],VLOOKUP(AE$2&amp;Balance_Sheet[[#This Row],[Aop]],Data[],AE$1)/Jedinica,"")</f>
        <v>2337733</v>
      </c>
      <c r="AF36" s="38">
        <f>IF(VLOOKUP(AF$2&amp;Balance_Sheet[[#This Row],[Aop]],Data[],1)=AF$2&amp;Balance_Sheet[[#This Row],[Aop]],VLOOKUP(AF$2&amp;Balance_Sheet[[#This Row],[Aop]],Data[],AF$1)/Jedinica,"")</f>
        <v>2518949</v>
      </c>
    </row>
    <row r="37" spans="1:32" ht="12.75" customHeight="1" x14ac:dyDescent="0.2">
      <c r="A37" s="74">
        <v>32</v>
      </c>
      <c r="B37" s="75">
        <v>2</v>
      </c>
      <c r="C37" s="76" t="str">
        <f>VLOOKUP(Balance_Sheet[[#This Row],[No]],AOP_Balance,3,0)</f>
        <v>031</v>
      </c>
      <c r="D37" s="52" t="str">
        <f>VLOOKUP(Balance_Sheet[[#This Row],[No]],AOP_Balance,7,0)</f>
        <v xml:space="preserve">    8. Stalna sredstva namijenjena prodaji</v>
      </c>
      <c r="E37" s="38">
        <f>IF(VLOOKUP(E$2&amp;Balance_Sheet[[#This Row],[Aop]],Data[],1)=E$2&amp;Balance_Sheet[[#This Row],[Aop]],VLOOKUP(E$2&amp;Balance_Sheet[[#This Row],[Aop]],Data[],E$1)/Jedinica,"")</f>
        <v>987396</v>
      </c>
      <c r="F37" s="38">
        <f>IF(VLOOKUP(F$2&amp;Balance_Sheet[[#This Row],[Aop]],Data[],1)=F$2&amp;Balance_Sheet[[#This Row],[Aop]],VLOOKUP(F$2&amp;Balance_Sheet[[#This Row],[Aop]],Data[],F$1)/Jedinica,"")</f>
        <v>0</v>
      </c>
      <c r="G37" s="38">
        <f>IF(VLOOKUP(G$2&amp;Balance_Sheet[[#This Row],[Aop]],Data[],1)=G$2&amp;Balance_Sheet[[#This Row],[Aop]],VLOOKUP(G$2&amp;Balance_Sheet[[#This Row],[Aop]],Data[],G$1)/Jedinica,"")</f>
        <v>987396</v>
      </c>
      <c r="H37" s="38">
        <f>IF(VLOOKUP(H$2&amp;Balance_Sheet[[#This Row],[Aop]],Data[],1)=H$2&amp;Balance_Sheet[[#This Row],[Aop]],VLOOKUP(H$2&amp;Balance_Sheet[[#This Row],[Aop]],Data[],H$1)/Jedinica,"")</f>
        <v>3</v>
      </c>
      <c r="I37" s="38">
        <f>IF(VLOOKUP(I$2&amp;Balance_Sheet[[#This Row],[Aop]],Data[],1)=I$2&amp;Balance_Sheet[[#This Row],[Aop]],VLOOKUP(I$2&amp;Balance_Sheet[[#This Row],[Aop]],Data[],I$1)/Jedinica,"")</f>
        <v>9359968</v>
      </c>
      <c r="J37" s="38">
        <f>IF(VLOOKUP(J$2&amp;Balance_Sheet[[#This Row],[Aop]],Data[],1)=J$2&amp;Balance_Sheet[[#This Row],[Aop]],VLOOKUP(J$2&amp;Balance_Sheet[[#This Row],[Aop]],Data[],J$1)/Jedinica,"")</f>
        <v>0</v>
      </c>
      <c r="K37" s="38">
        <f>IF(VLOOKUP(K$2&amp;Balance_Sheet[[#This Row],[Aop]],Data[],1)=K$2&amp;Balance_Sheet[[#This Row],[Aop]],VLOOKUP(K$2&amp;Balance_Sheet[[#This Row],[Aop]],Data[],K$1)/Jedinica,"")</f>
        <v>9359968</v>
      </c>
      <c r="L37" s="38">
        <f>IF(VLOOKUP(L$2&amp;Balance_Sheet[[#This Row],[Aop]],Data[],1)=L$2&amp;Balance_Sheet[[#This Row],[Aop]],VLOOKUP(L$2&amp;Balance_Sheet[[#This Row],[Aop]],Data[],L$1)/Jedinica,"")</f>
        <v>4674439</v>
      </c>
      <c r="M37" s="38">
        <f>IF(VLOOKUP(M$2&amp;Balance_Sheet[[#This Row],[Aop]],Data[],1)=M$2&amp;Balance_Sheet[[#This Row],[Aop]],VLOOKUP(M$2&amp;Balance_Sheet[[#This Row],[Aop]],Data[],M$1)/Jedinica,"")</f>
        <v>74000</v>
      </c>
      <c r="N37" s="38">
        <f>IF(VLOOKUP(N$2&amp;Balance_Sheet[[#This Row],[Aop]],Data[],1)=N$2&amp;Balance_Sheet[[#This Row],[Aop]],VLOOKUP(N$2&amp;Balance_Sheet[[#This Row],[Aop]],Data[],N$1)/Jedinica,"")</f>
        <v>0</v>
      </c>
      <c r="O37" s="38">
        <f>IF(VLOOKUP(O$2&amp;Balance_Sheet[[#This Row],[Aop]],Data[],1)=O$2&amp;Balance_Sheet[[#This Row],[Aop]],VLOOKUP(O$2&amp;Balance_Sheet[[#This Row],[Aop]],Data[],O$1)/Jedinica,"")</f>
        <v>74000</v>
      </c>
      <c r="P37" s="38">
        <f>IF(VLOOKUP(P$2&amp;Balance_Sheet[[#This Row],[Aop]],Data[],1)=P$2&amp;Balance_Sheet[[#This Row],[Aop]],VLOOKUP(P$2&amp;Balance_Sheet[[#This Row],[Aop]],Data[],P$1)/Jedinica,"")</f>
        <v>1</v>
      </c>
      <c r="Q37" s="38" t="str">
        <f>IF(VLOOKUP(Q$2&amp;Balance_Sheet[[#This Row],[Aop]],Data[],1)=Q$2&amp;Balance_Sheet[[#This Row],[Aop]],VLOOKUP(Q$2&amp;Balance_Sheet[[#This Row],[Aop]],Data[],Q$1)/Jedinica,"")</f>
        <v/>
      </c>
      <c r="R37" s="38" t="str">
        <f>IF(VLOOKUP(R$2&amp;Balance_Sheet[[#This Row],[Aop]],Data[],1)=R$2&amp;Balance_Sheet[[#This Row],[Aop]],VLOOKUP(R$2&amp;Balance_Sheet[[#This Row],[Aop]],Data[],R$1)/Jedinica,"")</f>
        <v/>
      </c>
      <c r="S37" s="38" t="str">
        <f>IF(VLOOKUP(S$2&amp;Balance_Sheet[[#This Row],[Aop]],Data[],1)=S$2&amp;Balance_Sheet[[#This Row],[Aop]],VLOOKUP(S$2&amp;Balance_Sheet[[#This Row],[Aop]],Data[],S$1)/Jedinica,"")</f>
        <v/>
      </c>
      <c r="T37" s="38" t="str">
        <f>IF(VLOOKUP(T$2&amp;Balance_Sheet[[#This Row],[Aop]],Data[],1)=T$2&amp;Balance_Sheet[[#This Row],[Aop]],VLOOKUP(T$2&amp;Balance_Sheet[[#This Row],[Aop]],Data[],T$1)/Jedinica,"")</f>
        <v/>
      </c>
      <c r="U37" s="38" t="str">
        <f>IF(VLOOKUP(U$2&amp;Balance_Sheet[[#This Row],[Aop]],Data[],1)=U$2&amp;Balance_Sheet[[#This Row],[Aop]],VLOOKUP(U$2&amp;Balance_Sheet[[#This Row],[Aop]],Data[],U$1)/Jedinica,"")</f>
        <v/>
      </c>
      <c r="V37" s="38" t="str">
        <f>IF(VLOOKUP(V$2&amp;Balance_Sheet[[#This Row],[Aop]],Data[],1)=V$2&amp;Balance_Sheet[[#This Row],[Aop]],VLOOKUP(V$2&amp;Balance_Sheet[[#This Row],[Aop]],Data[],V$1)/Jedinica,"")</f>
        <v/>
      </c>
      <c r="W37" s="38" t="str">
        <f>IF(VLOOKUP(W$2&amp;Balance_Sheet[[#This Row],[Aop]],Data[],1)=W$2&amp;Balance_Sheet[[#This Row],[Aop]],VLOOKUP(W$2&amp;Balance_Sheet[[#This Row],[Aop]],Data[],W$1)/Jedinica,"")</f>
        <v/>
      </c>
      <c r="X37" s="38" t="str">
        <f>IF(VLOOKUP(X$2&amp;Balance_Sheet[[#This Row],[Aop]],Data[],1)=X$2&amp;Balance_Sheet[[#This Row],[Aop]],VLOOKUP(X$2&amp;Balance_Sheet[[#This Row],[Aop]],Data[],X$1)/Jedinica,"")</f>
        <v/>
      </c>
      <c r="Y37" s="38" t="str">
        <f>IF(VLOOKUP(Y$2&amp;Balance_Sheet[[#This Row],[Aop]],Data[],1)=Y$2&amp;Balance_Sheet[[#This Row],[Aop]],VLOOKUP(Y$2&amp;Balance_Sheet[[#This Row],[Aop]],Data[],Y$1)/Jedinica,"")</f>
        <v/>
      </c>
      <c r="Z37" s="38" t="str">
        <f>IF(VLOOKUP(Z$2&amp;Balance_Sheet[[#This Row],[Aop]],Data[],1)=Z$2&amp;Balance_Sheet[[#This Row],[Aop]],VLOOKUP(Z$2&amp;Balance_Sheet[[#This Row],[Aop]],Data[],Z$1)/Jedinica,"")</f>
        <v/>
      </c>
      <c r="AA37" s="38" t="str">
        <f>IF(VLOOKUP(AA$2&amp;Balance_Sheet[[#This Row],[Aop]],Data[],1)=AA$2&amp;Balance_Sheet[[#This Row],[Aop]],VLOOKUP(AA$2&amp;Balance_Sheet[[#This Row],[Aop]],Data[],AA$1)/Jedinica,"")</f>
        <v/>
      </c>
      <c r="AB37" s="38" t="str">
        <f>IF(VLOOKUP(AB$2&amp;Balance_Sheet[[#This Row],[Aop]],Data[],1)=AB$2&amp;Balance_Sheet[[#This Row],[Aop]],VLOOKUP(AB$2&amp;Balance_Sheet[[#This Row],[Aop]],Data[],AB$1)/Jedinica,"")</f>
        <v/>
      </c>
      <c r="AC37" s="38">
        <f>IF(VLOOKUP(AC$2&amp;Balance_Sheet[[#This Row],[Aop]],Data[],1)=AC$2&amp;Balance_Sheet[[#This Row],[Aop]],VLOOKUP(AC$2&amp;Balance_Sheet[[#This Row],[Aop]],Data[],AC$1)/Jedinica,"")</f>
        <v>83640</v>
      </c>
      <c r="AD37" s="38">
        <f>IF(VLOOKUP(AD$2&amp;Balance_Sheet[[#This Row],[Aop]],Data[],1)=AD$2&amp;Balance_Sheet[[#This Row],[Aop]],VLOOKUP(AD$2&amp;Balance_Sheet[[#This Row],[Aop]],Data[],AD$1)/Jedinica,"")</f>
        <v>0</v>
      </c>
      <c r="AE37" s="38">
        <f>IF(VLOOKUP(AE$2&amp;Balance_Sheet[[#This Row],[Aop]],Data[],1)=AE$2&amp;Balance_Sheet[[#This Row],[Aop]],VLOOKUP(AE$2&amp;Balance_Sheet[[#This Row],[Aop]],Data[],AE$1)/Jedinica,"")</f>
        <v>83640</v>
      </c>
      <c r="AF37" s="38">
        <f>IF(VLOOKUP(AF$2&amp;Balance_Sheet[[#This Row],[Aop]],Data[],1)=AF$2&amp;Balance_Sheet[[#This Row],[Aop]],VLOOKUP(AF$2&amp;Balance_Sheet[[#This Row],[Aop]],Data[],AF$1)/Jedinica,"")</f>
        <v>83230</v>
      </c>
    </row>
    <row r="38" spans="1:32" ht="12.75" customHeight="1" x14ac:dyDescent="0.2">
      <c r="A38" s="74">
        <v>33</v>
      </c>
      <c r="B38" s="75">
        <v>2</v>
      </c>
      <c r="C38" s="76" t="str">
        <f>VLOOKUP(Balance_Sheet[[#This Row],[No]],AOP_Balance,3,0)</f>
        <v>032</v>
      </c>
      <c r="D38" s="52" t="str">
        <f>VLOOKUP(Balance_Sheet[[#This Row],[No]],AOP_Balance,7,0)</f>
        <v xml:space="preserve">    9. Sredstva poslovanja koje se obustavlja</v>
      </c>
      <c r="E38" s="38" t="str">
        <f>IF(VLOOKUP(E$2&amp;Balance_Sheet[[#This Row],[Aop]],Data[],1)=E$2&amp;Balance_Sheet[[#This Row],[Aop]],VLOOKUP(E$2&amp;Balance_Sheet[[#This Row],[Aop]],Data[],E$1)/Jedinica,"")</f>
        <v/>
      </c>
      <c r="F38" s="38" t="str">
        <f>IF(VLOOKUP(F$2&amp;Balance_Sheet[[#This Row],[Aop]],Data[],1)=F$2&amp;Balance_Sheet[[#This Row],[Aop]],VLOOKUP(F$2&amp;Balance_Sheet[[#This Row],[Aop]],Data[],F$1)/Jedinica,"")</f>
        <v/>
      </c>
      <c r="G38" s="38" t="str">
        <f>IF(VLOOKUP(G$2&amp;Balance_Sheet[[#This Row],[Aop]],Data[],1)=G$2&amp;Balance_Sheet[[#This Row],[Aop]],VLOOKUP(G$2&amp;Balance_Sheet[[#This Row],[Aop]],Data[],G$1)/Jedinica,"")</f>
        <v/>
      </c>
      <c r="H38" s="38" t="str">
        <f>IF(VLOOKUP(H$2&amp;Balance_Sheet[[#This Row],[Aop]],Data[],1)=H$2&amp;Balance_Sheet[[#This Row],[Aop]],VLOOKUP(H$2&amp;Balance_Sheet[[#This Row],[Aop]],Data[],H$1)/Jedinica,"")</f>
        <v/>
      </c>
      <c r="I38" s="38" t="str">
        <f>IF(VLOOKUP(I$2&amp;Balance_Sheet[[#This Row],[Aop]],Data[],1)=I$2&amp;Balance_Sheet[[#This Row],[Aop]],VLOOKUP(I$2&amp;Balance_Sheet[[#This Row],[Aop]],Data[],I$1)/Jedinica,"")</f>
        <v/>
      </c>
      <c r="J38" s="38" t="str">
        <f>IF(VLOOKUP(J$2&amp;Balance_Sheet[[#This Row],[Aop]],Data[],1)=J$2&amp;Balance_Sheet[[#This Row],[Aop]],VLOOKUP(J$2&amp;Balance_Sheet[[#This Row],[Aop]],Data[],J$1)/Jedinica,"")</f>
        <v/>
      </c>
      <c r="K38" s="38" t="str">
        <f>IF(VLOOKUP(K$2&amp;Balance_Sheet[[#This Row],[Aop]],Data[],1)=K$2&amp;Balance_Sheet[[#This Row],[Aop]],VLOOKUP(K$2&amp;Balance_Sheet[[#This Row],[Aop]],Data[],K$1)/Jedinica,"")</f>
        <v/>
      </c>
      <c r="L38" s="38" t="str">
        <f>IF(VLOOKUP(L$2&amp;Balance_Sheet[[#This Row],[Aop]],Data[],1)=L$2&amp;Balance_Sheet[[#This Row],[Aop]],VLOOKUP(L$2&amp;Balance_Sheet[[#This Row],[Aop]],Data[],L$1)/Jedinica,"")</f>
        <v/>
      </c>
      <c r="M38" s="38" t="str">
        <f>IF(VLOOKUP(M$2&amp;Balance_Sheet[[#This Row],[Aop]],Data[],1)=M$2&amp;Balance_Sheet[[#This Row],[Aop]],VLOOKUP(M$2&amp;Balance_Sheet[[#This Row],[Aop]],Data[],M$1)/Jedinica,"")</f>
        <v/>
      </c>
      <c r="N38" s="38" t="str">
        <f>IF(VLOOKUP(N$2&amp;Balance_Sheet[[#This Row],[Aop]],Data[],1)=N$2&amp;Balance_Sheet[[#This Row],[Aop]],VLOOKUP(N$2&amp;Balance_Sheet[[#This Row],[Aop]],Data[],N$1)/Jedinica,"")</f>
        <v/>
      </c>
      <c r="O38" s="38" t="str">
        <f>IF(VLOOKUP(O$2&amp;Balance_Sheet[[#This Row],[Aop]],Data[],1)=O$2&amp;Balance_Sheet[[#This Row],[Aop]],VLOOKUP(O$2&amp;Balance_Sheet[[#This Row],[Aop]],Data[],O$1)/Jedinica,"")</f>
        <v/>
      </c>
      <c r="P38" s="38" t="str">
        <f>IF(VLOOKUP(P$2&amp;Balance_Sheet[[#This Row],[Aop]],Data[],1)=P$2&amp;Balance_Sheet[[#This Row],[Aop]],VLOOKUP(P$2&amp;Balance_Sheet[[#This Row],[Aop]],Data[],P$1)/Jedinica,"")</f>
        <v/>
      </c>
      <c r="Q38" s="38" t="str">
        <f>IF(VLOOKUP(Q$2&amp;Balance_Sheet[[#This Row],[Aop]],Data[],1)=Q$2&amp;Balance_Sheet[[#This Row],[Aop]],VLOOKUP(Q$2&amp;Balance_Sheet[[#This Row],[Aop]],Data[],Q$1)/Jedinica,"")</f>
        <v/>
      </c>
      <c r="R38" s="38" t="str">
        <f>IF(VLOOKUP(R$2&amp;Balance_Sheet[[#This Row],[Aop]],Data[],1)=R$2&amp;Balance_Sheet[[#This Row],[Aop]],VLOOKUP(R$2&amp;Balance_Sheet[[#This Row],[Aop]],Data[],R$1)/Jedinica,"")</f>
        <v/>
      </c>
      <c r="S38" s="38" t="str">
        <f>IF(VLOOKUP(S$2&amp;Balance_Sheet[[#This Row],[Aop]],Data[],1)=S$2&amp;Balance_Sheet[[#This Row],[Aop]],VLOOKUP(S$2&amp;Balance_Sheet[[#This Row],[Aop]],Data[],S$1)/Jedinica,"")</f>
        <v/>
      </c>
      <c r="T38" s="38" t="str">
        <f>IF(VLOOKUP(T$2&amp;Balance_Sheet[[#This Row],[Aop]],Data[],1)=T$2&amp;Balance_Sheet[[#This Row],[Aop]],VLOOKUP(T$2&amp;Balance_Sheet[[#This Row],[Aop]],Data[],T$1)/Jedinica,"")</f>
        <v/>
      </c>
      <c r="U38" s="38" t="str">
        <f>IF(VLOOKUP(U$2&amp;Balance_Sheet[[#This Row],[Aop]],Data[],1)=U$2&amp;Balance_Sheet[[#This Row],[Aop]],VLOOKUP(U$2&amp;Balance_Sheet[[#This Row],[Aop]],Data[],U$1)/Jedinica,"")</f>
        <v/>
      </c>
      <c r="V38" s="38" t="str">
        <f>IF(VLOOKUP(V$2&amp;Balance_Sheet[[#This Row],[Aop]],Data[],1)=V$2&amp;Balance_Sheet[[#This Row],[Aop]],VLOOKUP(V$2&amp;Balance_Sheet[[#This Row],[Aop]],Data[],V$1)/Jedinica,"")</f>
        <v/>
      </c>
      <c r="W38" s="38" t="str">
        <f>IF(VLOOKUP(W$2&amp;Balance_Sheet[[#This Row],[Aop]],Data[],1)=W$2&amp;Balance_Sheet[[#This Row],[Aop]],VLOOKUP(W$2&amp;Balance_Sheet[[#This Row],[Aop]],Data[],W$1)/Jedinica,"")</f>
        <v/>
      </c>
      <c r="X38" s="38" t="str">
        <f>IF(VLOOKUP(X$2&amp;Balance_Sheet[[#This Row],[Aop]],Data[],1)=X$2&amp;Balance_Sheet[[#This Row],[Aop]],VLOOKUP(X$2&amp;Balance_Sheet[[#This Row],[Aop]],Data[],X$1)/Jedinica,"")</f>
        <v/>
      </c>
      <c r="Y38" s="38" t="str">
        <f>IF(VLOOKUP(Y$2&amp;Balance_Sheet[[#This Row],[Aop]],Data[],1)=Y$2&amp;Balance_Sheet[[#This Row],[Aop]],VLOOKUP(Y$2&amp;Balance_Sheet[[#This Row],[Aop]],Data[],Y$1)/Jedinica,"")</f>
        <v/>
      </c>
      <c r="Z38" s="38" t="str">
        <f>IF(VLOOKUP(Z$2&amp;Balance_Sheet[[#This Row],[Aop]],Data[],1)=Z$2&amp;Balance_Sheet[[#This Row],[Aop]],VLOOKUP(Z$2&amp;Balance_Sheet[[#This Row],[Aop]],Data[],Z$1)/Jedinica,"")</f>
        <v/>
      </c>
      <c r="AA38" s="38" t="str">
        <f>IF(VLOOKUP(AA$2&amp;Balance_Sheet[[#This Row],[Aop]],Data[],1)=AA$2&amp;Balance_Sheet[[#This Row],[Aop]],VLOOKUP(AA$2&amp;Balance_Sheet[[#This Row],[Aop]],Data[],AA$1)/Jedinica,"")</f>
        <v/>
      </c>
      <c r="AB38" s="38" t="str">
        <f>IF(VLOOKUP(AB$2&amp;Balance_Sheet[[#This Row],[Aop]],Data[],1)=AB$2&amp;Balance_Sheet[[#This Row],[Aop]],VLOOKUP(AB$2&amp;Balance_Sheet[[#This Row],[Aop]],Data[],AB$1)/Jedinica,"")</f>
        <v/>
      </c>
      <c r="AC38" s="38" t="str">
        <f>IF(VLOOKUP(AC$2&amp;Balance_Sheet[[#This Row],[Aop]],Data[],1)=AC$2&amp;Balance_Sheet[[#This Row],[Aop]],VLOOKUP(AC$2&amp;Balance_Sheet[[#This Row],[Aop]],Data[],AC$1)/Jedinica,"")</f>
        <v/>
      </c>
      <c r="AD38" s="38" t="str">
        <f>IF(VLOOKUP(AD$2&amp;Balance_Sheet[[#This Row],[Aop]],Data[],1)=AD$2&amp;Balance_Sheet[[#This Row],[Aop]],VLOOKUP(AD$2&amp;Balance_Sheet[[#This Row],[Aop]],Data[],AD$1)/Jedinica,"")</f>
        <v/>
      </c>
      <c r="AE38" s="38" t="str">
        <f>IF(VLOOKUP(AE$2&amp;Balance_Sheet[[#This Row],[Aop]],Data[],1)=AE$2&amp;Balance_Sheet[[#This Row],[Aop]],VLOOKUP(AE$2&amp;Balance_Sheet[[#This Row],[Aop]],Data[],AE$1)/Jedinica,"")</f>
        <v/>
      </c>
      <c r="AF38" s="38" t="str">
        <f>IF(VLOOKUP(AF$2&amp;Balance_Sheet[[#This Row],[Aop]],Data[],1)=AF$2&amp;Balance_Sheet[[#This Row],[Aop]],VLOOKUP(AF$2&amp;Balance_Sheet[[#This Row],[Aop]],Data[],AF$1)/Jedinica,"")</f>
        <v/>
      </c>
    </row>
    <row r="39" spans="1:32" ht="12.75" customHeight="1" x14ac:dyDescent="0.2">
      <c r="A39" s="74">
        <v>34</v>
      </c>
      <c r="B39" s="75">
        <v>2</v>
      </c>
      <c r="C39" s="76" t="str">
        <f>VLOOKUP(Balance_Sheet[[#This Row],[No]],AOP_Balance,3,0)</f>
        <v>033</v>
      </c>
      <c r="D39" s="52" t="str">
        <f>VLOOKUP(Balance_Sheet[[#This Row],[No]],AOP_Balance,7,0)</f>
        <v xml:space="preserve">    10. Ostala sredstva</v>
      </c>
      <c r="E39" s="38" t="str">
        <f>IF(VLOOKUP(E$2&amp;Balance_Sheet[[#This Row],[Aop]],Data[],1)=E$2&amp;Balance_Sheet[[#This Row],[Aop]],VLOOKUP(E$2&amp;Balance_Sheet[[#This Row],[Aop]],Data[],E$1)/Jedinica,"")</f>
        <v/>
      </c>
      <c r="F39" s="38" t="str">
        <f>IF(VLOOKUP(F$2&amp;Balance_Sheet[[#This Row],[Aop]],Data[],1)=F$2&amp;Balance_Sheet[[#This Row],[Aop]],VLOOKUP(F$2&amp;Balance_Sheet[[#This Row],[Aop]],Data[],F$1)/Jedinica,"")</f>
        <v/>
      </c>
      <c r="G39" s="38" t="str">
        <f>IF(VLOOKUP(G$2&amp;Balance_Sheet[[#This Row],[Aop]],Data[],1)=G$2&amp;Balance_Sheet[[#This Row],[Aop]],VLOOKUP(G$2&amp;Balance_Sheet[[#This Row],[Aop]],Data[],G$1)/Jedinica,"")</f>
        <v/>
      </c>
      <c r="H39" s="38" t="str">
        <f>IF(VLOOKUP(H$2&amp;Balance_Sheet[[#This Row],[Aop]],Data[],1)=H$2&amp;Balance_Sheet[[#This Row],[Aop]],VLOOKUP(H$2&amp;Balance_Sheet[[#This Row],[Aop]],Data[],H$1)/Jedinica,"")</f>
        <v/>
      </c>
      <c r="I39" s="38" t="str">
        <f>IF(VLOOKUP(I$2&amp;Balance_Sheet[[#This Row],[Aop]],Data[],1)=I$2&amp;Balance_Sheet[[#This Row],[Aop]],VLOOKUP(I$2&amp;Balance_Sheet[[#This Row],[Aop]],Data[],I$1)/Jedinica,"")</f>
        <v/>
      </c>
      <c r="J39" s="38" t="str">
        <f>IF(VLOOKUP(J$2&amp;Balance_Sheet[[#This Row],[Aop]],Data[],1)=J$2&amp;Balance_Sheet[[#This Row],[Aop]],VLOOKUP(J$2&amp;Balance_Sheet[[#This Row],[Aop]],Data[],J$1)/Jedinica,"")</f>
        <v/>
      </c>
      <c r="K39" s="38" t="str">
        <f>IF(VLOOKUP(K$2&amp;Balance_Sheet[[#This Row],[Aop]],Data[],1)=K$2&amp;Balance_Sheet[[#This Row],[Aop]],VLOOKUP(K$2&amp;Balance_Sheet[[#This Row],[Aop]],Data[],K$1)/Jedinica,"")</f>
        <v/>
      </c>
      <c r="L39" s="38" t="str">
        <f>IF(VLOOKUP(L$2&amp;Balance_Sheet[[#This Row],[Aop]],Data[],1)=L$2&amp;Balance_Sheet[[#This Row],[Aop]],VLOOKUP(L$2&amp;Balance_Sheet[[#This Row],[Aop]],Data[],L$1)/Jedinica,"")</f>
        <v/>
      </c>
      <c r="M39" s="38" t="str">
        <f>IF(VLOOKUP(M$2&amp;Balance_Sheet[[#This Row],[Aop]],Data[],1)=M$2&amp;Balance_Sheet[[#This Row],[Aop]],VLOOKUP(M$2&amp;Balance_Sheet[[#This Row],[Aop]],Data[],M$1)/Jedinica,"")</f>
        <v/>
      </c>
      <c r="N39" s="38" t="str">
        <f>IF(VLOOKUP(N$2&amp;Balance_Sheet[[#This Row],[Aop]],Data[],1)=N$2&amp;Balance_Sheet[[#This Row],[Aop]],VLOOKUP(N$2&amp;Balance_Sheet[[#This Row],[Aop]],Data[],N$1)/Jedinica,"")</f>
        <v/>
      </c>
      <c r="O39" s="38" t="str">
        <f>IF(VLOOKUP(O$2&amp;Balance_Sheet[[#This Row],[Aop]],Data[],1)=O$2&amp;Balance_Sheet[[#This Row],[Aop]],VLOOKUP(O$2&amp;Balance_Sheet[[#This Row],[Aop]],Data[],O$1)/Jedinica,"")</f>
        <v/>
      </c>
      <c r="P39" s="38" t="str">
        <f>IF(VLOOKUP(P$2&amp;Balance_Sheet[[#This Row],[Aop]],Data[],1)=P$2&amp;Balance_Sheet[[#This Row],[Aop]],VLOOKUP(P$2&amp;Balance_Sheet[[#This Row],[Aop]],Data[],P$1)/Jedinica,"")</f>
        <v/>
      </c>
      <c r="Q39" s="38" t="str">
        <f>IF(VLOOKUP(Q$2&amp;Balance_Sheet[[#This Row],[Aop]],Data[],1)=Q$2&amp;Balance_Sheet[[#This Row],[Aop]],VLOOKUP(Q$2&amp;Balance_Sheet[[#This Row],[Aop]],Data[],Q$1)/Jedinica,"")</f>
        <v/>
      </c>
      <c r="R39" s="38" t="str">
        <f>IF(VLOOKUP(R$2&amp;Balance_Sheet[[#This Row],[Aop]],Data[],1)=R$2&amp;Balance_Sheet[[#This Row],[Aop]],VLOOKUP(R$2&amp;Balance_Sheet[[#This Row],[Aop]],Data[],R$1)/Jedinica,"")</f>
        <v/>
      </c>
      <c r="S39" s="38" t="str">
        <f>IF(VLOOKUP(S$2&amp;Balance_Sheet[[#This Row],[Aop]],Data[],1)=S$2&amp;Balance_Sheet[[#This Row],[Aop]],VLOOKUP(S$2&amp;Balance_Sheet[[#This Row],[Aop]],Data[],S$1)/Jedinica,"")</f>
        <v/>
      </c>
      <c r="T39" s="38" t="str">
        <f>IF(VLOOKUP(T$2&amp;Balance_Sheet[[#This Row],[Aop]],Data[],1)=T$2&amp;Balance_Sheet[[#This Row],[Aop]],VLOOKUP(T$2&amp;Balance_Sheet[[#This Row],[Aop]],Data[],T$1)/Jedinica,"")</f>
        <v/>
      </c>
      <c r="U39" s="38" t="str">
        <f>IF(VLOOKUP(U$2&amp;Balance_Sheet[[#This Row],[Aop]],Data[],1)=U$2&amp;Balance_Sheet[[#This Row],[Aop]],VLOOKUP(U$2&amp;Balance_Sheet[[#This Row],[Aop]],Data[],U$1)/Jedinica,"")</f>
        <v/>
      </c>
      <c r="V39" s="38" t="str">
        <f>IF(VLOOKUP(V$2&amp;Balance_Sheet[[#This Row],[Aop]],Data[],1)=V$2&amp;Balance_Sheet[[#This Row],[Aop]],VLOOKUP(V$2&amp;Balance_Sheet[[#This Row],[Aop]],Data[],V$1)/Jedinica,"")</f>
        <v/>
      </c>
      <c r="W39" s="38" t="str">
        <f>IF(VLOOKUP(W$2&amp;Balance_Sheet[[#This Row],[Aop]],Data[],1)=W$2&amp;Balance_Sheet[[#This Row],[Aop]],VLOOKUP(W$2&amp;Balance_Sheet[[#This Row],[Aop]],Data[],W$1)/Jedinica,"")</f>
        <v/>
      </c>
      <c r="X39" s="38" t="str">
        <f>IF(VLOOKUP(X$2&amp;Balance_Sheet[[#This Row],[Aop]],Data[],1)=X$2&amp;Balance_Sheet[[#This Row],[Aop]],VLOOKUP(X$2&amp;Balance_Sheet[[#This Row],[Aop]],Data[],X$1)/Jedinica,"")</f>
        <v/>
      </c>
      <c r="Y39" s="38" t="str">
        <f>IF(VLOOKUP(Y$2&amp;Balance_Sheet[[#This Row],[Aop]],Data[],1)=Y$2&amp;Balance_Sheet[[#This Row],[Aop]],VLOOKUP(Y$2&amp;Balance_Sheet[[#This Row],[Aop]],Data[],Y$1)/Jedinica,"")</f>
        <v/>
      </c>
      <c r="Z39" s="38" t="str">
        <f>IF(VLOOKUP(Z$2&amp;Balance_Sheet[[#This Row],[Aop]],Data[],1)=Z$2&amp;Balance_Sheet[[#This Row],[Aop]],VLOOKUP(Z$2&amp;Balance_Sheet[[#This Row],[Aop]],Data[],Z$1)/Jedinica,"")</f>
        <v/>
      </c>
      <c r="AA39" s="38" t="str">
        <f>IF(VLOOKUP(AA$2&amp;Balance_Sheet[[#This Row],[Aop]],Data[],1)=AA$2&amp;Balance_Sheet[[#This Row],[Aop]],VLOOKUP(AA$2&amp;Balance_Sheet[[#This Row],[Aop]],Data[],AA$1)/Jedinica,"")</f>
        <v/>
      </c>
      <c r="AB39" s="38" t="str">
        <f>IF(VLOOKUP(AB$2&amp;Balance_Sheet[[#This Row],[Aop]],Data[],1)=AB$2&amp;Balance_Sheet[[#This Row],[Aop]],VLOOKUP(AB$2&amp;Balance_Sheet[[#This Row],[Aop]],Data[],AB$1)/Jedinica,"")</f>
        <v/>
      </c>
      <c r="AC39" s="38" t="str">
        <f>IF(VLOOKUP(AC$2&amp;Balance_Sheet[[#This Row],[Aop]],Data[],1)=AC$2&amp;Balance_Sheet[[#This Row],[Aop]],VLOOKUP(AC$2&amp;Balance_Sheet[[#This Row],[Aop]],Data[],AC$1)/Jedinica,"")</f>
        <v/>
      </c>
      <c r="AD39" s="38" t="str">
        <f>IF(VLOOKUP(AD$2&amp;Balance_Sheet[[#This Row],[Aop]],Data[],1)=AD$2&amp;Balance_Sheet[[#This Row],[Aop]],VLOOKUP(AD$2&amp;Balance_Sheet[[#This Row],[Aop]],Data[],AD$1)/Jedinica,"")</f>
        <v/>
      </c>
      <c r="AE39" s="38" t="str">
        <f>IF(VLOOKUP(AE$2&amp;Balance_Sheet[[#This Row],[Aop]],Data[],1)=AE$2&amp;Balance_Sheet[[#This Row],[Aop]],VLOOKUP(AE$2&amp;Balance_Sheet[[#This Row],[Aop]],Data[],AE$1)/Jedinica,"")</f>
        <v/>
      </c>
      <c r="AF39" s="38" t="str">
        <f>IF(VLOOKUP(AF$2&amp;Balance_Sheet[[#This Row],[Aop]],Data[],1)=AF$2&amp;Balance_Sheet[[#This Row],[Aop]],VLOOKUP(AF$2&amp;Balance_Sheet[[#This Row],[Aop]],Data[],AF$1)/Jedinica,"")</f>
        <v/>
      </c>
    </row>
    <row r="40" spans="1:32" ht="12.75" customHeight="1" x14ac:dyDescent="0.2">
      <c r="A40" s="74">
        <v>35</v>
      </c>
      <c r="B40" s="75">
        <v>2</v>
      </c>
      <c r="C40" s="76" t="str">
        <f>VLOOKUP(Balance_Sheet[[#This Row],[No]],AOP_Balance,3,0)</f>
        <v>034</v>
      </c>
      <c r="D40" s="52" t="str">
        <f>VLOOKUP(Balance_Sheet[[#This Row],[No]],AOP_Balance,7,0)</f>
        <v xml:space="preserve">    11. Akontacioni porez na dodatu vrijednost</v>
      </c>
      <c r="E40" s="38" t="str">
        <f>IF(VLOOKUP(E$2&amp;Balance_Sheet[[#This Row],[Aop]],Data[],1)=E$2&amp;Balance_Sheet[[#This Row],[Aop]],VLOOKUP(E$2&amp;Balance_Sheet[[#This Row],[Aop]],Data[],E$1)/Jedinica,"")</f>
        <v/>
      </c>
      <c r="F40" s="38" t="str">
        <f>IF(VLOOKUP(F$2&amp;Balance_Sheet[[#This Row],[Aop]],Data[],1)=F$2&amp;Balance_Sheet[[#This Row],[Aop]],VLOOKUP(F$2&amp;Balance_Sheet[[#This Row],[Aop]],Data[],F$1)/Jedinica,"")</f>
        <v/>
      </c>
      <c r="G40" s="38" t="str">
        <f>IF(VLOOKUP(G$2&amp;Balance_Sheet[[#This Row],[Aop]],Data[],1)=G$2&amp;Balance_Sheet[[#This Row],[Aop]],VLOOKUP(G$2&amp;Balance_Sheet[[#This Row],[Aop]],Data[],G$1)/Jedinica,"")</f>
        <v/>
      </c>
      <c r="H40" s="38" t="str">
        <f>IF(VLOOKUP(H$2&amp;Balance_Sheet[[#This Row],[Aop]],Data[],1)=H$2&amp;Balance_Sheet[[#This Row],[Aop]],VLOOKUP(H$2&amp;Balance_Sheet[[#This Row],[Aop]],Data[],H$1)/Jedinica,"")</f>
        <v/>
      </c>
      <c r="I40" s="38" t="str">
        <f>IF(VLOOKUP(I$2&amp;Balance_Sheet[[#This Row],[Aop]],Data[],1)=I$2&amp;Balance_Sheet[[#This Row],[Aop]],VLOOKUP(I$2&amp;Balance_Sheet[[#This Row],[Aop]],Data[],I$1)/Jedinica,"")</f>
        <v/>
      </c>
      <c r="J40" s="38" t="str">
        <f>IF(VLOOKUP(J$2&amp;Balance_Sheet[[#This Row],[Aop]],Data[],1)=J$2&amp;Balance_Sheet[[#This Row],[Aop]],VLOOKUP(J$2&amp;Balance_Sheet[[#This Row],[Aop]],Data[],J$1)/Jedinica,"")</f>
        <v/>
      </c>
      <c r="K40" s="38" t="str">
        <f>IF(VLOOKUP(K$2&amp;Balance_Sheet[[#This Row],[Aop]],Data[],1)=K$2&amp;Balance_Sheet[[#This Row],[Aop]],VLOOKUP(K$2&amp;Balance_Sheet[[#This Row],[Aop]],Data[],K$1)/Jedinica,"")</f>
        <v/>
      </c>
      <c r="L40" s="38" t="str">
        <f>IF(VLOOKUP(L$2&amp;Balance_Sheet[[#This Row],[Aop]],Data[],1)=L$2&amp;Balance_Sheet[[#This Row],[Aop]],VLOOKUP(L$2&amp;Balance_Sheet[[#This Row],[Aop]],Data[],L$1)/Jedinica,"")</f>
        <v/>
      </c>
      <c r="M40" s="38" t="str">
        <f>IF(VLOOKUP(M$2&amp;Balance_Sheet[[#This Row],[Aop]],Data[],1)=M$2&amp;Balance_Sheet[[#This Row],[Aop]],VLOOKUP(M$2&amp;Balance_Sheet[[#This Row],[Aop]],Data[],M$1)/Jedinica,"")</f>
        <v/>
      </c>
      <c r="N40" s="38" t="str">
        <f>IF(VLOOKUP(N$2&amp;Balance_Sheet[[#This Row],[Aop]],Data[],1)=N$2&amp;Balance_Sheet[[#This Row],[Aop]],VLOOKUP(N$2&amp;Balance_Sheet[[#This Row],[Aop]],Data[],N$1)/Jedinica,"")</f>
        <v/>
      </c>
      <c r="O40" s="38" t="str">
        <f>IF(VLOOKUP(O$2&amp;Balance_Sheet[[#This Row],[Aop]],Data[],1)=O$2&amp;Balance_Sheet[[#This Row],[Aop]],VLOOKUP(O$2&amp;Balance_Sheet[[#This Row],[Aop]],Data[],O$1)/Jedinica,"")</f>
        <v/>
      </c>
      <c r="P40" s="38" t="str">
        <f>IF(VLOOKUP(P$2&amp;Balance_Sheet[[#This Row],[Aop]],Data[],1)=P$2&amp;Balance_Sheet[[#This Row],[Aop]],VLOOKUP(P$2&amp;Balance_Sheet[[#This Row],[Aop]],Data[],P$1)/Jedinica,"")</f>
        <v/>
      </c>
      <c r="Q40" s="38" t="str">
        <f>IF(VLOOKUP(Q$2&amp;Balance_Sheet[[#This Row],[Aop]],Data[],1)=Q$2&amp;Balance_Sheet[[#This Row],[Aop]],VLOOKUP(Q$2&amp;Balance_Sheet[[#This Row],[Aop]],Data[],Q$1)/Jedinica,"")</f>
        <v/>
      </c>
      <c r="R40" s="38" t="str">
        <f>IF(VLOOKUP(R$2&amp;Balance_Sheet[[#This Row],[Aop]],Data[],1)=R$2&amp;Balance_Sheet[[#This Row],[Aop]],VLOOKUP(R$2&amp;Balance_Sheet[[#This Row],[Aop]],Data[],R$1)/Jedinica,"")</f>
        <v/>
      </c>
      <c r="S40" s="38" t="str">
        <f>IF(VLOOKUP(S$2&amp;Balance_Sheet[[#This Row],[Aop]],Data[],1)=S$2&amp;Balance_Sheet[[#This Row],[Aop]],VLOOKUP(S$2&amp;Balance_Sheet[[#This Row],[Aop]],Data[],S$1)/Jedinica,"")</f>
        <v/>
      </c>
      <c r="T40" s="38" t="str">
        <f>IF(VLOOKUP(T$2&amp;Balance_Sheet[[#This Row],[Aop]],Data[],1)=T$2&amp;Balance_Sheet[[#This Row],[Aop]],VLOOKUP(T$2&amp;Balance_Sheet[[#This Row],[Aop]],Data[],T$1)/Jedinica,"")</f>
        <v/>
      </c>
      <c r="U40" s="38" t="str">
        <f>IF(VLOOKUP(U$2&amp;Balance_Sheet[[#This Row],[Aop]],Data[],1)=U$2&amp;Balance_Sheet[[#This Row],[Aop]],VLOOKUP(U$2&amp;Balance_Sheet[[#This Row],[Aop]],Data[],U$1)/Jedinica,"")</f>
        <v/>
      </c>
      <c r="V40" s="38" t="str">
        <f>IF(VLOOKUP(V$2&amp;Balance_Sheet[[#This Row],[Aop]],Data[],1)=V$2&amp;Balance_Sheet[[#This Row],[Aop]],VLOOKUP(V$2&amp;Balance_Sheet[[#This Row],[Aop]],Data[],V$1)/Jedinica,"")</f>
        <v/>
      </c>
      <c r="W40" s="38" t="str">
        <f>IF(VLOOKUP(W$2&amp;Balance_Sheet[[#This Row],[Aop]],Data[],1)=W$2&amp;Balance_Sheet[[#This Row],[Aop]],VLOOKUP(W$2&amp;Balance_Sheet[[#This Row],[Aop]],Data[],W$1)/Jedinica,"")</f>
        <v/>
      </c>
      <c r="X40" s="38" t="str">
        <f>IF(VLOOKUP(X$2&amp;Balance_Sheet[[#This Row],[Aop]],Data[],1)=X$2&amp;Balance_Sheet[[#This Row],[Aop]],VLOOKUP(X$2&amp;Balance_Sheet[[#This Row],[Aop]],Data[],X$1)/Jedinica,"")</f>
        <v/>
      </c>
      <c r="Y40" s="38" t="str">
        <f>IF(VLOOKUP(Y$2&amp;Balance_Sheet[[#This Row],[Aop]],Data[],1)=Y$2&amp;Balance_Sheet[[#This Row],[Aop]],VLOOKUP(Y$2&amp;Balance_Sheet[[#This Row],[Aop]],Data[],Y$1)/Jedinica,"")</f>
        <v/>
      </c>
      <c r="Z40" s="38" t="str">
        <f>IF(VLOOKUP(Z$2&amp;Balance_Sheet[[#This Row],[Aop]],Data[],1)=Z$2&amp;Balance_Sheet[[#This Row],[Aop]],VLOOKUP(Z$2&amp;Balance_Sheet[[#This Row],[Aop]],Data[],Z$1)/Jedinica,"")</f>
        <v/>
      </c>
      <c r="AA40" s="38" t="str">
        <f>IF(VLOOKUP(AA$2&amp;Balance_Sheet[[#This Row],[Aop]],Data[],1)=AA$2&amp;Balance_Sheet[[#This Row],[Aop]],VLOOKUP(AA$2&amp;Balance_Sheet[[#This Row],[Aop]],Data[],AA$1)/Jedinica,"")</f>
        <v/>
      </c>
      <c r="AB40" s="38" t="str">
        <f>IF(VLOOKUP(AB$2&amp;Balance_Sheet[[#This Row],[Aop]],Data[],1)=AB$2&amp;Balance_Sheet[[#This Row],[Aop]],VLOOKUP(AB$2&amp;Balance_Sheet[[#This Row],[Aop]],Data[],AB$1)/Jedinica,"")</f>
        <v/>
      </c>
      <c r="AC40" s="38" t="str">
        <f>IF(VLOOKUP(AC$2&amp;Balance_Sheet[[#This Row],[Aop]],Data[],1)=AC$2&amp;Balance_Sheet[[#This Row],[Aop]],VLOOKUP(AC$2&amp;Balance_Sheet[[#This Row],[Aop]],Data[],AC$1)/Jedinica,"")</f>
        <v/>
      </c>
      <c r="AD40" s="38" t="str">
        <f>IF(VLOOKUP(AD$2&amp;Balance_Sheet[[#This Row],[Aop]],Data[],1)=AD$2&amp;Balance_Sheet[[#This Row],[Aop]],VLOOKUP(AD$2&amp;Balance_Sheet[[#This Row],[Aop]],Data[],AD$1)/Jedinica,"")</f>
        <v/>
      </c>
      <c r="AE40" s="38" t="str">
        <f>IF(VLOOKUP(AE$2&amp;Balance_Sheet[[#This Row],[Aop]],Data[],1)=AE$2&amp;Balance_Sheet[[#This Row],[Aop]],VLOOKUP(AE$2&amp;Balance_Sheet[[#This Row],[Aop]],Data[],AE$1)/Jedinica,"")</f>
        <v/>
      </c>
      <c r="AF40" s="38" t="str">
        <f>IF(VLOOKUP(AF$2&amp;Balance_Sheet[[#This Row],[Aop]],Data[],1)=AF$2&amp;Balance_Sheet[[#This Row],[Aop]],VLOOKUP(AF$2&amp;Balance_Sheet[[#This Row],[Aop]],Data[],AF$1)/Jedinica,"")</f>
        <v/>
      </c>
    </row>
    <row r="41" spans="1:32" ht="12.75" customHeight="1" x14ac:dyDescent="0.2">
      <c r="A41" s="74">
        <v>36</v>
      </c>
      <c r="B41" s="75">
        <v>1</v>
      </c>
      <c r="C41" s="76" t="str">
        <f>VLOOKUP(Balance_Sheet[[#This Row],[No]],AOP_Balance,3,0)</f>
        <v>035</v>
      </c>
      <c r="D41" s="52" t="str">
        <f>VLOOKUP(Balance_Sheet[[#This Row],[No]],AOP_Balance,7,0)</f>
        <v xml:space="preserve">  B. STALNA SREDSTVA (036+041+047)</v>
      </c>
      <c r="E41" s="38">
        <f>IF(VLOOKUP(E$2&amp;Balance_Sheet[[#This Row],[Aop]],Data[],1)=E$2&amp;Balance_Sheet[[#This Row],[Aop]],VLOOKUP(E$2&amp;Balance_Sheet[[#This Row],[Aop]],Data[],E$1)/Jedinica,"")</f>
        <v>14724073</v>
      </c>
      <c r="F41" s="38">
        <f>IF(VLOOKUP(F$2&amp;Balance_Sheet[[#This Row],[Aop]],Data[],1)=F$2&amp;Balance_Sheet[[#This Row],[Aop]],VLOOKUP(F$2&amp;Balance_Sheet[[#This Row],[Aop]],Data[],F$1)/Jedinica,"")</f>
        <v>4858648</v>
      </c>
      <c r="G41" s="38">
        <f>IF(VLOOKUP(G$2&amp;Balance_Sheet[[#This Row],[Aop]],Data[],1)=G$2&amp;Balance_Sheet[[#This Row],[Aop]],VLOOKUP(G$2&amp;Balance_Sheet[[#This Row],[Aop]],Data[],G$1)/Jedinica,"")</f>
        <v>9865425</v>
      </c>
      <c r="H41" s="38">
        <f>IF(VLOOKUP(H$2&amp;Balance_Sheet[[#This Row],[Aop]],Data[],1)=H$2&amp;Balance_Sheet[[#This Row],[Aop]],VLOOKUP(H$2&amp;Balance_Sheet[[#This Row],[Aop]],Data[],H$1)/Jedinica,"")</f>
        <v>10244605</v>
      </c>
      <c r="I41" s="38">
        <f>IF(VLOOKUP(I$2&amp;Balance_Sheet[[#This Row],[Aop]],Data[],1)=I$2&amp;Balance_Sheet[[#This Row],[Aop]],VLOOKUP(I$2&amp;Balance_Sheet[[#This Row],[Aop]],Data[],I$1)/Jedinica,"")</f>
        <v>24146598</v>
      </c>
      <c r="J41" s="38">
        <f>IF(VLOOKUP(J$2&amp;Balance_Sheet[[#This Row],[Aop]],Data[],1)=J$2&amp;Balance_Sheet[[#This Row],[Aop]],VLOOKUP(J$2&amp;Balance_Sheet[[#This Row],[Aop]],Data[],J$1)/Jedinica,"")</f>
        <v>6281299</v>
      </c>
      <c r="K41" s="38">
        <f>IF(VLOOKUP(K$2&amp;Balance_Sheet[[#This Row],[Aop]],Data[],1)=K$2&amp;Balance_Sheet[[#This Row],[Aop]],VLOOKUP(K$2&amp;Balance_Sheet[[#This Row],[Aop]],Data[],K$1)/Jedinica,"")</f>
        <v>17865299</v>
      </c>
      <c r="L41" s="38">
        <f>IF(VLOOKUP(L$2&amp;Balance_Sheet[[#This Row],[Aop]],Data[],1)=L$2&amp;Balance_Sheet[[#This Row],[Aop]],VLOOKUP(L$2&amp;Balance_Sheet[[#This Row],[Aop]],Data[],L$1)/Jedinica,"")</f>
        <v>18418291</v>
      </c>
      <c r="M41" s="38">
        <f>IF(VLOOKUP(M$2&amp;Balance_Sheet[[#This Row],[Aop]],Data[],1)=M$2&amp;Balance_Sheet[[#This Row],[Aop]],VLOOKUP(M$2&amp;Balance_Sheet[[#This Row],[Aop]],Data[],M$1)/Jedinica,"")</f>
        <v>9998417</v>
      </c>
      <c r="N41" s="38">
        <f>IF(VLOOKUP(N$2&amp;Balance_Sheet[[#This Row],[Aop]],Data[],1)=N$2&amp;Balance_Sheet[[#This Row],[Aop]],VLOOKUP(N$2&amp;Balance_Sheet[[#This Row],[Aop]],Data[],N$1)/Jedinica,"")</f>
        <v>5887591</v>
      </c>
      <c r="O41" s="38">
        <f>IF(VLOOKUP(O$2&amp;Balance_Sheet[[#This Row],[Aop]],Data[],1)=O$2&amp;Balance_Sheet[[#This Row],[Aop]],VLOOKUP(O$2&amp;Balance_Sheet[[#This Row],[Aop]],Data[],O$1)/Jedinica,"")</f>
        <v>4110826</v>
      </c>
      <c r="P41" s="38">
        <f>IF(VLOOKUP(P$2&amp;Balance_Sheet[[#This Row],[Aop]],Data[],1)=P$2&amp;Balance_Sheet[[#This Row],[Aop]],VLOOKUP(P$2&amp;Balance_Sheet[[#This Row],[Aop]],Data[],P$1)/Jedinica,"")</f>
        <v>4357551</v>
      </c>
      <c r="Q41" s="38">
        <f>IF(VLOOKUP(Q$2&amp;Balance_Sheet[[#This Row],[Aop]],Data[],1)=Q$2&amp;Balance_Sheet[[#This Row],[Aop]],VLOOKUP(Q$2&amp;Balance_Sheet[[#This Row],[Aop]],Data[],Q$1)/Jedinica,"")</f>
        <v>2746061</v>
      </c>
      <c r="R41" s="38">
        <f>IF(VLOOKUP(R$2&amp;Balance_Sheet[[#This Row],[Aop]],Data[],1)=R$2&amp;Balance_Sheet[[#This Row],[Aop]],VLOOKUP(R$2&amp;Balance_Sheet[[#This Row],[Aop]],Data[],R$1)/Jedinica,"")</f>
        <v>1186233</v>
      </c>
      <c r="S41" s="38">
        <f>IF(VLOOKUP(S$2&amp;Balance_Sheet[[#This Row],[Aop]],Data[],1)=S$2&amp;Balance_Sheet[[#This Row],[Aop]],VLOOKUP(S$2&amp;Balance_Sheet[[#This Row],[Aop]],Data[],S$1)/Jedinica,"")</f>
        <v>1559828</v>
      </c>
      <c r="T41" s="38">
        <f>IF(VLOOKUP(T$2&amp;Balance_Sheet[[#This Row],[Aop]],Data[],1)=T$2&amp;Balance_Sheet[[#This Row],[Aop]],VLOOKUP(T$2&amp;Balance_Sheet[[#This Row],[Aop]],Data[],T$1)/Jedinica,"")</f>
        <v>1552583</v>
      </c>
      <c r="U41" s="38">
        <f>IF(VLOOKUP(U$2&amp;Balance_Sheet[[#This Row],[Aop]],Data[],1)=U$2&amp;Balance_Sheet[[#This Row],[Aop]],VLOOKUP(U$2&amp;Balance_Sheet[[#This Row],[Aop]],Data[],U$1)/Jedinica,"")</f>
        <v>64666016</v>
      </c>
      <c r="V41" s="38">
        <f>IF(VLOOKUP(V$2&amp;Balance_Sheet[[#This Row],[Aop]],Data[],1)=V$2&amp;Balance_Sheet[[#This Row],[Aop]],VLOOKUP(V$2&amp;Balance_Sheet[[#This Row],[Aop]],Data[],V$1)/Jedinica,"")</f>
        <v>43604051</v>
      </c>
      <c r="W41" s="38">
        <f>IF(VLOOKUP(W$2&amp;Balance_Sheet[[#This Row],[Aop]],Data[],1)=W$2&amp;Balance_Sheet[[#This Row],[Aop]],VLOOKUP(W$2&amp;Balance_Sheet[[#This Row],[Aop]],Data[],W$1)/Jedinica,"")</f>
        <v>21061965</v>
      </c>
      <c r="X41" s="38">
        <f>IF(VLOOKUP(X$2&amp;Balance_Sheet[[#This Row],[Aop]],Data[],1)=X$2&amp;Balance_Sheet[[#This Row],[Aop]],VLOOKUP(X$2&amp;Balance_Sheet[[#This Row],[Aop]],Data[],X$1)/Jedinica,"")</f>
        <v>22515735</v>
      </c>
      <c r="Y41" s="38">
        <f>IF(VLOOKUP(Y$2&amp;Balance_Sheet[[#This Row],[Aop]],Data[],1)=Y$2&amp;Balance_Sheet[[#This Row],[Aop]],VLOOKUP(Y$2&amp;Balance_Sheet[[#This Row],[Aop]],Data[],Y$1)/Jedinica,"")</f>
        <v>2746061</v>
      </c>
      <c r="Z41" s="38">
        <f>IF(VLOOKUP(Z$2&amp;Balance_Sheet[[#This Row],[Aop]],Data[],1)=Z$2&amp;Balance_Sheet[[#This Row],[Aop]],VLOOKUP(Z$2&amp;Balance_Sheet[[#This Row],[Aop]],Data[],Z$1)/Jedinica,"")</f>
        <v>1186233</v>
      </c>
      <c r="AA41" s="38">
        <f>IF(VLOOKUP(AA$2&amp;Balance_Sheet[[#This Row],[Aop]],Data[],1)=AA$2&amp;Balance_Sheet[[#This Row],[Aop]],VLOOKUP(AA$2&amp;Balance_Sheet[[#This Row],[Aop]],Data[],AA$1)/Jedinica,"")</f>
        <v>1559828</v>
      </c>
      <c r="AB41" s="38">
        <f>IF(VLOOKUP(AB$2&amp;Balance_Sheet[[#This Row],[Aop]],Data[],1)=AB$2&amp;Balance_Sheet[[#This Row],[Aop]],VLOOKUP(AB$2&amp;Balance_Sheet[[#This Row],[Aop]],Data[],AB$1)/Jedinica,"")</f>
        <v>1552583</v>
      </c>
      <c r="AC41" s="38">
        <f>IF(VLOOKUP(AC$2&amp;Balance_Sheet[[#This Row],[Aop]],Data[],1)=AC$2&amp;Balance_Sheet[[#This Row],[Aop]],VLOOKUP(AC$2&amp;Balance_Sheet[[#This Row],[Aop]],Data[],AC$1)/Jedinica,"")</f>
        <v>56056502</v>
      </c>
      <c r="AD41" s="38">
        <f>IF(VLOOKUP(AD$2&amp;Balance_Sheet[[#This Row],[Aop]],Data[],1)=AD$2&amp;Balance_Sheet[[#This Row],[Aop]],VLOOKUP(AD$2&amp;Balance_Sheet[[#This Row],[Aop]],Data[],AD$1)/Jedinica,"")</f>
        <v>19734032</v>
      </c>
      <c r="AE41" s="38">
        <f>IF(VLOOKUP(AE$2&amp;Balance_Sheet[[#This Row],[Aop]],Data[],1)=AE$2&amp;Balance_Sheet[[#This Row],[Aop]],VLOOKUP(AE$2&amp;Balance_Sheet[[#This Row],[Aop]],Data[],AE$1)/Jedinica,"")</f>
        <v>36322470</v>
      </c>
      <c r="AF41" s="38">
        <f>IF(VLOOKUP(AF$2&amp;Balance_Sheet[[#This Row],[Aop]],Data[],1)=AF$2&amp;Balance_Sheet[[#This Row],[Aop]],VLOOKUP(AF$2&amp;Balance_Sheet[[#This Row],[Aop]],Data[],AF$1)/Jedinica,"")</f>
        <v>36679273</v>
      </c>
    </row>
    <row r="42" spans="1:32" ht="12.75" customHeight="1" x14ac:dyDescent="0.2">
      <c r="A42" s="74">
        <v>37</v>
      </c>
      <c r="B42" s="75">
        <v>2</v>
      </c>
      <c r="C42" s="76" t="str">
        <f>VLOOKUP(Balance_Sheet[[#This Row],[No]],AOP_Balance,3,0)</f>
        <v>036</v>
      </c>
      <c r="D42" s="52" t="str">
        <f>VLOOKUP(Balance_Sheet[[#This Row],[No]],AOP_Balance,7,0)</f>
        <v xml:space="preserve">    1. Osnovna sredstva i ulaganja u nekretnine (037 do 040)</v>
      </c>
      <c r="E42" s="38">
        <f>IF(VLOOKUP(E$2&amp;Balance_Sheet[[#This Row],[Aop]],Data[],1)=E$2&amp;Balance_Sheet[[#This Row],[Aop]],VLOOKUP(E$2&amp;Balance_Sheet[[#This Row],[Aop]],Data[],E$1)/Jedinica,"")</f>
        <v>12975231</v>
      </c>
      <c r="F42" s="38">
        <f>IF(VLOOKUP(F$2&amp;Balance_Sheet[[#This Row],[Aop]],Data[],1)=F$2&amp;Balance_Sheet[[#This Row],[Aop]],VLOOKUP(F$2&amp;Balance_Sheet[[#This Row],[Aop]],Data[],F$1)/Jedinica,"")</f>
        <v>3422094</v>
      </c>
      <c r="G42" s="38">
        <f>IF(VLOOKUP(G$2&amp;Balance_Sheet[[#This Row],[Aop]],Data[],1)=G$2&amp;Balance_Sheet[[#This Row],[Aop]],VLOOKUP(G$2&amp;Balance_Sheet[[#This Row],[Aop]],Data[],G$1)/Jedinica,"")</f>
        <v>9553137</v>
      </c>
      <c r="H42" s="38">
        <f>IF(VLOOKUP(H$2&amp;Balance_Sheet[[#This Row],[Aop]],Data[],1)=H$2&amp;Balance_Sheet[[#This Row],[Aop]],VLOOKUP(H$2&amp;Balance_Sheet[[#This Row],[Aop]],Data[],H$1)/Jedinica,"")</f>
        <v>9890695</v>
      </c>
      <c r="I42" s="38">
        <f>IF(VLOOKUP(I$2&amp;Balance_Sheet[[#This Row],[Aop]],Data[],1)=I$2&amp;Balance_Sheet[[#This Row],[Aop]],VLOOKUP(I$2&amp;Balance_Sheet[[#This Row],[Aop]],Data[],I$1)/Jedinica,"")</f>
        <v>20542713</v>
      </c>
      <c r="J42" s="38">
        <f>IF(VLOOKUP(J$2&amp;Balance_Sheet[[#This Row],[Aop]],Data[],1)=J$2&amp;Balance_Sheet[[#This Row],[Aop]],VLOOKUP(J$2&amp;Balance_Sheet[[#This Row],[Aop]],Data[],J$1)/Jedinica,"")</f>
        <v>3666435</v>
      </c>
      <c r="K42" s="38">
        <f>IF(VLOOKUP(K$2&amp;Balance_Sheet[[#This Row],[Aop]],Data[],1)=K$2&amp;Balance_Sheet[[#This Row],[Aop]],VLOOKUP(K$2&amp;Balance_Sheet[[#This Row],[Aop]],Data[],K$1)/Jedinica,"")</f>
        <v>16876278</v>
      </c>
      <c r="L42" s="38">
        <f>IF(VLOOKUP(L$2&amp;Balance_Sheet[[#This Row],[Aop]],Data[],1)=L$2&amp;Balance_Sheet[[#This Row],[Aop]],VLOOKUP(L$2&amp;Balance_Sheet[[#This Row],[Aop]],Data[],L$1)/Jedinica,"")</f>
        <v>17357972</v>
      </c>
      <c r="M42" s="38">
        <f>IF(VLOOKUP(M$2&amp;Balance_Sheet[[#This Row],[Aop]],Data[],1)=M$2&amp;Balance_Sheet[[#This Row],[Aop]],VLOOKUP(M$2&amp;Balance_Sheet[[#This Row],[Aop]],Data[],M$1)/Jedinica,"")</f>
        <v>7679562</v>
      </c>
      <c r="N42" s="38">
        <f>IF(VLOOKUP(N$2&amp;Balance_Sheet[[#This Row],[Aop]],Data[],1)=N$2&amp;Balance_Sheet[[#This Row],[Aop]],VLOOKUP(N$2&amp;Balance_Sheet[[#This Row],[Aop]],Data[],N$1)/Jedinica,"")</f>
        <v>4076061</v>
      </c>
      <c r="O42" s="38">
        <f>IF(VLOOKUP(O$2&amp;Balance_Sheet[[#This Row],[Aop]],Data[],1)=O$2&amp;Balance_Sheet[[#This Row],[Aop]],VLOOKUP(O$2&amp;Balance_Sheet[[#This Row],[Aop]],Data[],O$1)/Jedinica,"")</f>
        <v>3603501</v>
      </c>
      <c r="P42" s="38">
        <f>IF(VLOOKUP(P$2&amp;Balance_Sheet[[#This Row],[Aop]],Data[],1)=P$2&amp;Balance_Sheet[[#This Row],[Aop]],VLOOKUP(P$2&amp;Balance_Sheet[[#This Row],[Aop]],Data[],P$1)/Jedinica,"")</f>
        <v>3842870</v>
      </c>
      <c r="Q42" s="38">
        <f>IF(VLOOKUP(Q$2&amp;Balance_Sheet[[#This Row],[Aop]],Data[],1)=Q$2&amp;Balance_Sheet[[#This Row],[Aop]],VLOOKUP(Q$2&amp;Balance_Sheet[[#This Row],[Aop]],Data[],Q$1)/Jedinica,"")</f>
        <v>1899182</v>
      </c>
      <c r="R42" s="38">
        <f>IF(VLOOKUP(R$2&amp;Balance_Sheet[[#This Row],[Aop]],Data[],1)=R$2&amp;Balance_Sheet[[#This Row],[Aop]],VLOOKUP(R$2&amp;Balance_Sheet[[#This Row],[Aop]],Data[],R$1)/Jedinica,"")</f>
        <v>637951</v>
      </c>
      <c r="S42" s="38">
        <f>IF(VLOOKUP(S$2&amp;Balance_Sheet[[#This Row],[Aop]],Data[],1)=S$2&amp;Balance_Sheet[[#This Row],[Aop]],VLOOKUP(S$2&amp;Balance_Sheet[[#This Row],[Aop]],Data[],S$1)/Jedinica,"")</f>
        <v>1261231</v>
      </c>
      <c r="T42" s="38">
        <f>IF(VLOOKUP(T$2&amp;Balance_Sheet[[#This Row],[Aop]],Data[],1)=T$2&amp;Balance_Sheet[[#This Row],[Aop]],VLOOKUP(T$2&amp;Balance_Sheet[[#This Row],[Aop]],Data[],T$1)/Jedinica,"")</f>
        <v>1168004</v>
      </c>
      <c r="U42" s="38">
        <f>IF(VLOOKUP(U$2&amp;Balance_Sheet[[#This Row],[Aop]],Data[],1)=U$2&amp;Balance_Sheet[[#This Row],[Aop]],VLOOKUP(U$2&amp;Balance_Sheet[[#This Row],[Aop]],Data[],U$1)/Jedinica,"")</f>
        <v>45669978</v>
      </c>
      <c r="V42" s="38">
        <f>IF(VLOOKUP(V$2&amp;Balance_Sheet[[#This Row],[Aop]],Data[],1)=V$2&amp;Balance_Sheet[[#This Row],[Aop]],VLOOKUP(V$2&amp;Balance_Sheet[[#This Row],[Aop]],Data[],V$1)/Jedinica,"")</f>
        <v>28646200</v>
      </c>
      <c r="W42" s="38">
        <f>IF(VLOOKUP(W$2&amp;Balance_Sheet[[#This Row],[Aop]],Data[],1)=W$2&amp;Balance_Sheet[[#This Row],[Aop]],VLOOKUP(W$2&amp;Balance_Sheet[[#This Row],[Aop]],Data[],W$1)/Jedinica,"")</f>
        <v>17023778</v>
      </c>
      <c r="X42" s="38">
        <f>IF(VLOOKUP(X$2&amp;Balance_Sheet[[#This Row],[Aop]],Data[],1)=X$2&amp;Balance_Sheet[[#This Row],[Aop]],VLOOKUP(X$2&amp;Balance_Sheet[[#This Row],[Aop]],Data[],X$1)/Jedinica,"")</f>
        <v>17839243</v>
      </c>
      <c r="Y42" s="38">
        <f>IF(VLOOKUP(Y$2&amp;Balance_Sheet[[#This Row],[Aop]],Data[],1)=Y$2&amp;Balance_Sheet[[#This Row],[Aop]],VLOOKUP(Y$2&amp;Balance_Sheet[[#This Row],[Aop]],Data[],Y$1)/Jedinica,"")</f>
        <v>1899182</v>
      </c>
      <c r="Z42" s="38">
        <f>IF(VLOOKUP(Z$2&amp;Balance_Sheet[[#This Row],[Aop]],Data[],1)=Z$2&amp;Balance_Sheet[[#This Row],[Aop]],VLOOKUP(Z$2&amp;Balance_Sheet[[#This Row],[Aop]],Data[],Z$1)/Jedinica,"")</f>
        <v>637951</v>
      </c>
      <c r="AA42" s="38">
        <f>IF(VLOOKUP(AA$2&amp;Balance_Sheet[[#This Row],[Aop]],Data[],1)=AA$2&amp;Balance_Sheet[[#This Row],[Aop]],VLOOKUP(AA$2&amp;Balance_Sheet[[#This Row],[Aop]],Data[],AA$1)/Jedinica,"")</f>
        <v>1261231</v>
      </c>
      <c r="AB42" s="38">
        <f>IF(VLOOKUP(AB$2&amp;Balance_Sheet[[#This Row],[Aop]],Data[],1)=AB$2&amp;Balance_Sheet[[#This Row],[Aop]],VLOOKUP(AB$2&amp;Balance_Sheet[[#This Row],[Aop]],Data[],AB$1)/Jedinica,"")</f>
        <v>1168004</v>
      </c>
      <c r="AC42" s="38">
        <f>IF(VLOOKUP(AC$2&amp;Balance_Sheet[[#This Row],[Aop]],Data[],1)=AC$2&amp;Balance_Sheet[[#This Row],[Aop]],VLOOKUP(AC$2&amp;Balance_Sheet[[#This Row],[Aop]],Data[],AC$1)/Jedinica,"")</f>
        <v>50668901</v>
      </c>
      <c r="AD42" s="38">
        <f>IF(VLOOKUP(AD$2&amp;Balance_Sheet[[#This Row],[Aop]],Data[],1)=AD$2&amp;Balance_Sheet[[#This Row],[Aop]],VLOOKUP(AD$2&amp;Balance_Sheet[[#This Row],[Aop]],Data[],AD$1)/Jedinica,"")</f>
        <v>15289099</v>
      </c>
      <c r="AE42" s="38">
        <f>IF(VLOOKUP(AE$2&amp;Balance_Sheet[[#This Row],[Aop]],Data[],1)=AE$2&amp;Balance_Sheet[[#This Row],[Aop]],VLOOKUP(AE$2&amp;Balance_Sheet[[#This Row],[Aop]],Data[],AE$1)/Jedinica,"")</f>
        <v>35379802</v>
      </c>
      <c r="AF42" s="38">
        <f>IF(VLOOKUP(AF$2&amp;Balance_Sheet[[#This Row],[Aop]],Data[],1)=AF$2&amp;Balance_Sheet[[#This Row],[Aop]],VLOOKUP(AF$2&amp;Balance_Sheet[[#This Row],[Aop]],Data[],AF$1)/Jedinica,"")</f>
        <v>35769178</v>
      </c>
    </row>
    <row r="43" spans="1:32" ht="12.75" customHeight="1" x14ac:dyDescent="0.2">
      <c r="A43" s="74">
        <v>38</v>
      </c>
      <c r="B43" s="75">
        <v>3</v>
      </c>
      <c r="C43" s="76" t="str">
        <f>VLOOKUP(Balance_Sheet[[#This Row],[No]],AOP_Balance,3,0)</f>
        <v>037</v>
      </c>
      <c r="D43" s="52" t="str">
        <f>VLOOKUP(Balance_Sheet[[#This Row],[No]],AOP_Balance,7,0)</f>
        <v xml:space="preserve">      a) Osnovna sredstva u vlasništvu banke</v>
      </c>
      <c r="E43" s="38">
        <f>IF(VLOOKUP(E$2&amp;Balance_Sheet[[#This Row],[Aop]],Data[],1)=E$2&amp;Balance_Sheet[[#This Row],[Aop]],VLOOKUP(E$2&amp;Balance_Sheet[[#This Row],[Aop]],Data[],E$1)/Jedinica,"")</f>
        <v>12062872</v>
      </c>
      <c r="F43" s="38">
        <f>IF(VLOOKUP(F$2&amp;Balance_Sheet[[#This Row],[Aop]],Data[],1)=F$2&amp;Balance_Sheet[[#This Row],[Aop]],VLOOKUP(F$2&amp;Balance_Sheet[[#This Row],[Aop]],Data[],F$1)/Jedinica,"")</f>
        <v>3422094</v>
      </c>
      <c r="G43" s="38">
        <f>IF(VLOOKUP(G$2&amp;Balance_Sheet[[#This Row],[Aop]],Data[],1)=G$2&amp;Balance_Sheet[[#This Row],[Aop]],VLOOKUP(G$2&amp;Balance_Sheet[[#This Row],[Aop]],Data[],G$1)/Jedinica,"")</f>
        <v>8640778</v>
      </c>
      <c r="H43" s="38">
        <f>IF(VLOOKUP(H$2&amp;Balance_Sheet[[#This Row],[Aop]],Data[],1)=H$2&amp;Balance_Sheet[[#This Row],[Aop]],VLOOKUP(H$2&amp;Balance_Sheet[[#This Row],[Aop]],Data[],H$1)/Jedinica,"")</f>
        <v>8881502</v>
      </c>
      <c r="I43" s="38">
        <f>IF(VLOOKUP(I$2&amp;Balance_Sheet[[#This Row],[Aop]],Data[],1)=I$2&amp;Balance_Sheet[[#This Row],[Aop]],VLOOKUP(I$2&amp;Balance_Sheet[[#This Row],[Aop]],Data[],I$1)/Jedinica,"")</f>
        <v>20451025</v>
      </c>
      <c r="J43" s="38">
        <f>IF(VLOOKUP(J$2&amp;Balance_Sheet[[#This Row],[Aop]],Data[],1)=J$2&amp;Balance_Sheet[[#This Row],[Aop]],VLOOKUP(J$2&amp;Balance_Sheet[[#This Row],[Aop]],Data[],J$1)/Jedinica,"")</f>
        <v>3666435</v>
      </c>
      <c r="K43" s="38">
        <f>IF(VLOOKUP(K$2&amp;Balance_Sheet[[#This Row],[Aop]],Data[],1)=K$2&amp;Balance_Sheet[[#This Row],[Aop]],VLOOKUP(K$2&amp;Balance_Sheet[[#This Row],[Aop]],Data[],K$1)/Jedinica,"")</f>
        <v>16784590</v>
      </c>
      <c r="L43" s="38">
        <f>IF(VLOOKUP(L$2&amp;Balance_Sheet[[#This Row],[Aop]],Data[],1)=L$2&amp;Balance_Sheet[[#This Row],[Aop]],VLOOKUP(L$2&amp;Balance_Sheet[[#This Row],[Aop]],Data[],L$1)/Jedinica,"")</f>
        <v>17260523</v>
      </c>
      <c r="M43" s="38">
        <f>IF(VLOOKUP(M$2&amp;Balance_Sheet[[#This Row],[Aop]],Data[],1)=M$2&amp;Balance_Sheet[[#This Row],[Aop]],VLOOKUP(M$2&amp;Balance_Sheet[[#This Row],[Aop]],Data[],M$1)/Jedinica,"")</f>
        <v>4761335</v>
      </c>
      <c r="N43" s="38">
        <f>IF(VLOOKUP(N$2&amp;Balance_Sheet[[#This Row],[Aop]],Data[],1)=N$2&amp;Balance_Sheet[[#This Row],[Aop]],VLOOKUP(N$2&amp;Balance_Sheet[[#This Row],[Aop]],Data[],N$1)/Jedinica,"")</f>
        <v>3570328</v>
      </c>
      <c r="O43" s="38">
        <f>IF(VLOOKUP(O$2&amp;Balance_Sheet[[#This Row],[Aop]],Data[],1)=O$2&amp;Balance_Sheet[[#This Row],[Aop]],VLOOKUP(O$2&amp;Balance_Sheet[[#This Row],[Aop]],Data[],O$1)/Jedinica,"")</f>
        <v>1191007</v>
      </c>
      <c r="P43" s="38">
        <f>IF(VLOOKUP(P$2&amp;Balance_Sheet[[#This Row],[Aop]],Data[],1)=P$2&amp;Balance_Sheet[[#This Row],[Aop]],VLOOKUP(P$2&amp;Balance_Sheet[[#This Row],[Aop]],Data[],P$1)/Jedinica,"")</f>
        <v>1382781</v>
      </c>
      <c r="Q43" s="38">
        <f>IF(VLOOKUP(Q$2&amp;Balance_Sheet[[#This Row],[Aop]],Data[],1)=Q$2&amp;Balance_Sheet[[#This Row],[Aop]],VLOOKUP(Q$2&amp;Balance_Sheet[[#This Row],[Aop]],Data[],Q$1)/Jedinica,"")</f>
        <v>1779937</v>
      </c>
      <c r="R43" s="38">
        <f>IF(VLOOKUP(R$2&amp;Balance_Sheet[[#This Row],[Aop]],Data[],1)=R$2&amp;Balance_Sheet[[#This Row],[Aop]],VLOOKUP(R$2&amp;Balance_Sheet[[#This Row],[Aop]],Data[],R$1)/Jedinica,"")</f>
        <v>637951</v>
      </c>
      <c r="S43" s="38">
        <f>IF(VLOOKUP(S$2&amp;Balance_Sheet[[#This Row],[Aop]],Data[],1)=S$2&amp;Balance_Sheet[[#This Row],[Aop]],VLOOKUP(S$2&amp;Balance_Sheet[[#This Row],[Aop]],Data[],S$1)/Jedinica,"")</f>
        <v>1141986</v>
      </c>
      <c r="T43" s="38">
        <f>IF(VLOOKUP(T$2&amp;Balance_Sheet[[#This Row],[Aop]],Data[],1)=T$2&amp;Balance_Sheet[[#This Row],[Aop]],VLOOKUP(T$2&amp;Balance_Sheet[[#This Row],[Aop]],Data[],T$1)/Jedinica,"")</f>
        <v>1052280</v>
      </c>
      <c r="U43" s="38">
        <f>IF(VLOOKUP(U$2&amp;Balance_Sheet[[#This Row],[Aop]],Data[],1)=U$2&amp;Balance_Sheet[[#This Row],[Aop]],VLOOKUP(U$2&amp;Balance_Sheet[[#This Row],[Aop]],Data[],U$1)/Jedinica,"")</f>
        <v>45605345</v>
      </c>
      <c r="V43" s="38">
        <f>IF(VLOOKUP(V$2&amp;Balance_Sheet[[#This Row],[Aop]],Data[],1)=V$2&amp;Balance_Sheet[[#This Row],[Aop]],VLOOKUP(V$2&amp;Balance_Sheet[[#This Row],[Aop]],Data[],V$1)/Jedinica,"")</f>
        <v>28646200</v>
      </c>
      <c r="W43" s="38">
        <f>IF(VLOOKUP(W$2&amp;Balance_Sheet[[#This Row],[Aop]],Data[],1)=W$2&amp;Balance_Sheet[[#This Row],[Aop]],VLOOKUP(W$2&amp;Balance_Sheet[[#This Row],[Aop]],Data[],W$1)/Jedinica,"")</f>
        <v>16959145</v>
      </c>
      <c r="X43" s="38">
        <f>IF(VLOOKUP(X$2&amp;Balance_Sheet[[#This Row],[Aop]],Data[],1)=X$2&amp;Balance_Sheet[[#This Row],[Aop]],VLOOKUP(X$2&amp;Balance_Sheet[[#This Row],[Aop]],Data[],X$1)/Jedinica,"")</f>
        <v>17386045</v>
      </c>
      <c r="Y43" s="38">
        <f>IF(VLOOKUP(Y$2&amp;Balance_Sheet[[#This Row],[Aop]],Data[],1)=Y$2&amp;Balance_Sheet[[#This Row],[Aop]],VLOOKUP(Y$2&amp;Balance_Sheet[[#This Row],[Aop]],Data[],Y$1)/Jedinica,"")</f>
        <v>1779937</v>
      </c>
      <c r="Z43" s="38">
        <f>IF(VLOOKUP(Z$2&amp;Balance_Sheet[[#This Row],[Aop]],Data[],1)=Z$2&amp;Balance_Sheet[[#This Row],[Aop]],VLOOKUP(Z$2&amp;Balance_Sheet[[#This Row],[Aop]],Data[],Z$1)/Jedinica,"")</f>
        <v>637951</v>
      </c>
      <c r="AA43" s="38">
        <f>IF(VLOOKUP(AA$2&amp;Balance_Sheet[[#This Row],[Aop]],Data[],1)=AA$2&amp;Balance_Sheet[[#This Row],[Aop]],VLOOKUP(AA$2&amp;Balance_Sheet[[#This Row],[Aop]],Data[],AA$1)/Jedinica,"")</f>
        <v>1141986</v>
      </c>
      <c r="AB43" s="38">
        <f>IF(VLOOKUP(AB$2&amp;Balance_Sheet[[#This Row],[Aop]],Data[],1)=AB$2&amp;Balance_Sheet[[#This Row],[Aop]],VLOOKUP(AB$2&amp;Balance_Sheet[[#This Row],[Aop]],Data[],AB$1)/Jedinica,"")</f>
        <v>1052280</v>
      </c>
      <c r="AC43" s="38">
        <f>IF(VLOOKUP(AC$2&amp;Balance_Sheet[[#This Row],[Aop]],Data[],1)=AC$2&amp;Balance_Sheet[[#This Row],[Aop]],VLOOKUP(AC$2&amp;Balance_Sheet[[#This Row],[Aop]],Data[],AC$1)/Jedinica,"")</f>
        <v>47883231</v>
      </c>
      <c r="AD43" s="38">
        <f>IF(VLOOKUP(AD$2&amp;Balance_Sheet[[#This Row],[Aop]],Data[],1)=AD$2&amp;Balance_Sheet[[#This Row],[Aop]],VLOOKUP(AD$2&amp;Balance_Sheet[[#This Row],[Aop]],Data[],AD$1)/Jedinica,"")</f>
        <v>15289099</v>
      </c>
      <c r="AE43" s="38">
        <f>IF(VLOOKUP(AE$2&amp;Balance_Sheet[[#This Row],[Aop]],Data[],1)=AE$2&amp;Balance_Sheet[[#This Row],[Aop]],VLOOKUP(AE$2&amp;Balance_Sheet[[#This Row],[Aop]],Data[],AE$1)/Jedinica,"")</f>
        <v>32594132</v>
      </c>
      <c r="AF43" s="38">
        <f>IF(VLOOKUP(AF$2&amp;Balance_Sheet[[#This Row],[Aop]],Data[],1)=AF$2&amp;Balance_Sheet[[#This Row],[Aop]],VLOOKUP(AF$2&amp;Balance_Sheet[[#This Row],[Aop]],Data[],AF$1)/Jedinica,"")</f>
        <v>32703440</v>
      </c>
    </row>
    <row r="44" spans="1:32" ht="12.75" customHeight="1" x14ac:dyDescent="0.2">
      <c r="A44" s="74">
        <v>39</v>
      </c>
      <c r="B44" s="75">
        <v>3</v>
      </c>
      <c r="C44" s="76" t="str">
        <f>VLOOKUP(Balance_Sheet[[#This Row],[No]],AOP_Balance,3,0)</f>
        <v>038</v>
      </c>
      <c r="D44" s="52" t="str">
        <f>VLOOKUP(Balance_Sheet[[#This Row],[No]],AOP_Balance,7,0)</f>
        <v xml:space="preserve">      b) Ulaganja u nekretnine</v>
      </c>
      <c r="E44" s="38">
        <f>IF(VLOOKUP(E$2&amp;Balance_Sheet[[#This Row],[Aop]],Data[],1)=E$2&amp;Balance_Sheet[[#This Row],[Aop]],VLOOKUP(E$2&amp;Balance_Sheet[[#This Row],[Aop]],Data[],E$1)/Jedinica,"")</f>
        <v>798775</v>
      </c>
      <c r="F44" s="38">
        <f>IF(VLOOKUP(F$2&amp;Balance_Sheet[[#This Row],[Aop]],Data[],1)=F$2&amp;Balance_Sheet[[#This Row],[Aop]],VLOOKUP(F$2&amp;Balance_Sheet[[#This Row],[Aop]],Data[],F$1)/Jedinica,"")</f>
        <v>0</v>
      </c>
      <c r="G44" s="38">
        <f>IF(VLOOKUP(G$2&amp;Balance_Sheet[[#This Row],[Aop]],Data[],1)=G$2&amp;Balance_Sheet[[#This Row],[Aop]],VLOOKUP(G$2&amp;Balance_Sheet[[#This Row],[Aop]],Data[],G$1)/Jedinica,"")</f>
        <v>798775</v>
      </c>
      <c r="H44" s="38">
        <f>IF(VLOOKUP(H$2&amp;Balance_Sheet[[#This Row],[Aop]],Data[],1)=H$2&amp;Balance_Sheet[[#This Row],[Aop]],VLOOKUP(H$2&amp;Balance_Sheet[[#This Row],[Aop]],Data[],H$1)/Jedinica,"")</f>
        <v>804394</v>
      </c>
      <c r="I44" s="38">
        <f>IF(VLOOKUP(I$2&amp;Balance_Sheet[[#This Row],[Aop]],Data[],1)=I$2&amp;Balance_Sheet[[#This Row],[Aop]],VLOOKUP(I$2&amp;Balance_Sheet[[#This Row],[Aop]],Data[],I$1)/Jedinica,"")</f>
        <v>81365</v>
      </c>
      <c r="J44" s="38">
        <f>IF(VLOOKUP(J$2&amp;Balance_Sheet[[#This Row],[Aop]],Data[],1)=J$2&amp;Balance_Sheet[[#This Row],[Aop]],VLOOKUP(J$2&amp;Balance_Sheet[[#This Row],[Aop]],Data[],J$1)/Jedinica,"")</f>
        <v>0</v>
      </c>
      <c r="K44" s="38">
        <f>IF(VLOOKUP(K$2&amp;Balance_Sheet[[#This Row],[Aop]],Data[],1)=K$2&amp;Balance_Sheet[[#This Row],[Aop]],VLOOKUP(K$2&amp;Balance_Sheet[[#This Row],[Aop]],Data[],K$1)/Jedinica,"")</f>
        <v>81365</v>
      </c>
      <c r="L44" s="38">
        <f>IF(VLOOKUP(L$2&amp;Balance_Sheet[[#This Row],[Aop]],Data[],1)=L$2&amp;Balance_Sheet[[#This Row],[Aop]],VLOOKUP(L$2&amp;Balance_Sheet[[#This Row],[Aop]],Data[],L$1)/Jedinica,"")</f>
        <v>81365</v>
      </c>
      <c r="M44" s="38">
        <f>IF(VLOOKUP(M$2&amp;Balance_Sheet[[#This Row],[Aop]],Data[],1)=M$2&amp;Balance_Sheet[[#This Row],[Aop]],VLOOKUP(M$2&amp;Balance_Sheet[[#This Row],[Aop]],Data[],M$1)/Jedinica,"")</f>
        <v>2854439</v>
      </c>
      <c r="N44" s="38">
        <f>IF(VLOOKUP(N$2&amp;Balance_Sheet[[#This Row],[Aop]],Data[],1)=N$2&amp;Balance_Sheet[[#This Row],[Aop]],VLOOKUP(N$2&amp;Balance_Sheet[[#This Row],[Aop]],Data[],N$1)/Jedinica,"")</f>
        <v>505733</v>
      </c>
      <c r="O44" s="38">
        <f>IF(VLOOKUP(O$2&amp;Balance_Sheet[[#This Row],[Aop]],Data[],1)=O$2&amp;Balance_Sheet[[#This Row],[Aop]],VLOOKUP(O$2&amp;Balance_Sheet[[#This Row],[Aop]],Data[],O$1)/Jedinica,"")</f>
        <v>2348706</v>
      </c>
      <c r="P44" s="38">
        <f>IF(VLOOKUP(P$2&amp;Balance_Sheet[[#This Row],[Aop]],Data[],1)=P$2&amp;Balance_Sheet[[#This Row],[Aop]],VLOOKUP(P$2&amp;Balance_Sheet[[#This Row],[Aop]],Data[],P$1)/Jedinica,"")</f>
        <v>2384146</v>
      </c>
      <c r="Q44" s="38">
        <f>IF(VLOOKUP(Q$2&amp;Balance_Sheet[[#This Row],[Aop]],Data[],1)=Q$2&amp;Balance_Sheet[[#This Row],[Aop]],VLOOKUP(Q$2&amp;Balance_Sheet[[#This Row],[Aop]],Data[],Q$1)/Jedinica,"")</f>
        <v>117254</v>
      </c>
      <c r="R44" s="38">
        <f>IF(VLOOKUP(R$2&amp;Balance_Sheet[[#This Row],[Aop]],Data[],1)=R$2&amp;Balance_Sheet[[#This Row],[Aop]],VLOOKUP(R$2&amp;Balance_Sheet[[#This Row],[Aop]],Data[],R$1)/Jedinica,"")</f>
        <v>0</v>
      </c>
      <c r="S44" s="38">
        <f>IF(VLOOKUP(S$2&amp;Balance_Sheet[[#This Row],[Aop]],Data[],1)=S$2&amp;Balance_Sheet[[#This Row],[Aop]],VLOOKUP(S$2&amp;Balance_Sheet[[#This Row],[Aop]],Data[],S$1)/Jedinica,"")</f>
        <v>117254</v>
      </c>
      <c r="T44" s="38">
        <f>IF(VLOOKUP(T$2&amp;Balance_Sheet[[#This Row],[Aop]],Data[],1)=T$2&amp;Balance_Sheet[[#This Row],[Aop]],VLOOKUP(T$2&amp;Balance_Sheet[[#This Row],[Aop]],Data[],T$1)/Jedinica,"")</f>
        <v>101161</v>
      </c>
      <c r="U44" s="38">
        <f>IF(VLOOKUP(U$2&amp;Balance_Sheet[[#This Row],[Aop]],Data[],1)=U$2&amp;Balance_Sheet[[#This Row],[Aop]],VLOOKUP(U$2&amp;Balance_Sheet[[#This Row],[Aop]],Data[],U$1)/Jedinica,"")</f>
        <v>0</v>
      </c>
      <c r="V44" s="38">
        <f>IF(VLOOKUP(V$2&amp;Balance_Sheet[[#This Row],[Aop]],Data[],1)=V$2&amp;Balance_Sheet[[#This Row],[Aop]],VLOOKUP(V$2&amp;Balance_Sheet[[#This Row],[Aop]],Data[],V$1)/Jedinica,"")</f>
        <v>0</v>
      </c>
      <c r="W44" s="38">
        <f>IF(VLOOKUP(W$2&amp;Balance_Sheet[[#This Row],[Aop]],Data[],1)=W$2&amp;Balance_Sheet[[#This Row],[Aop]],VLOOKUP(W$2&amp;Balance_Sheet[[#This Row],[Aop]],Data[],W$1)/Jedinica,"")</f>
        <v>0</v>
      </c>
      <c r="X44" s="38">
        <f>IF(VLOOKUP(X$2&amp;Balance_Sheet[[#This Row],[Aop]],Data[],1)=X$2&amp;Balance_Sheet[[#This Row],[Aop]],VLOOKUP(X$2&amp;Balance_Sheet[[#This Row],[Aop]],Data[],X$1)/Jedinica,"")</f>
        <v>22943</v>
      </c>
      <c r="Y44" s="38">
        <f>IF(VLOOKUP(Y$2&amp;Balance_Sheet[[#This Row],[Aop]],Data[],1)=Y$2&amp;Balance_Sheet[[#This Row],[Aop]],VLOOKUP(Y$2&amp;Balance_Sheet[[#This Row],[Aop]],Data[],Y$1)/Jedinica,"")</f>
        <v>117254</v>
      </c>
      <c r="Z44" s="38">
        <f>IF(VLOOKUP(Z$2&amp;Balance_Sheet[[#This Row],[Aop]],Data[],1)=Z$2&amp;Balance_Sheet[[#This Row],[Aop]],VLOOKUP(Z$2&amp;Balance_Sheet[[#This Row],[Aop]],Data[],Z$1)/Jedinica,"")</f>
        <v>0</v>
      </c>
      <c r="AA44" s="38">
        <f>IF(VLOOKUP(AA$2&amp;Balance_Sheet[[#This Row],[Aop]],Data[],1)=AA$2&amp;Balance_Sheet[[#This Row],[Aop]],VLOOKUP(AA$2&amp;Balance_Sheet[[#This Row],[Aop]],Data[],AA$1)/Jedinica,"")</f>
        <v>117254</v>
      </c>
      <c r="AB44" s="38">
        <f>IF(VLOOKUP(AB$2&amp;Balance_Sheet[[#This Row],[Aop]],Data[],1)=AB$2&amp;Balance_Sheet[[#This Row],[Aop]],VLOOKUP(AB$2&amp;Balance_Sheet[[#This Row],[Aop]],Data[],AB$1)/Jedinica,"")</f>
        <v>101161</v>
      </c>
      <c r="AC44" s="38">
        <f>IF(VLOOKUP(AC$2&amp;Balance_Sheet[[#This Row],[Aop]],Data[],1)=AC$2&amp;Balance_Sheet[[#This Row],[Aop]],VLOOKUP(AC$2&amp;Balance_Sheet[[#This Row],[Aop]],Data[],AC$1)/Jedinica,"")</f>
        <v>2312801</v>
      </c>
      <c r="AD44" s="38">
        <f>IF(VLOOKUP(AD$2&amp;Balance_Sheet[[#This Row],[Aop]],Data[],1)=AD$2&amp;Balance_Sheet[[#This Row],[Aop]],VLOOKUP(AD$2&amp;Balance_Sheet[[#This Row],[Aop]],Data[],AD$1)/Jedinica,"")</f>
        <v>0</v>
      </c>
      <c r="AE44" s="38">
        <f>IF(VLOOKUP(AE$2&amp;Balance_Sheet[[#This Row],[Aop]],Data[],1)=AE$2&amp;Balance_Sheet[[#This Row],[Aop]],VLOOKUP(AE$2&amp;Balance_Sheet[[#This Row],[Aop]],Data[],AE$1)/Jedinica,"")</f>
        <v>2312801</v>
      </c>
      <c r="AF44" s="38">
        <f>IF(VLOOKUP(AF$2&amp;Balance_Sheet[[#This Row],[Aop]],Data[],1)=AF$2&amp;Balance_Sheet[[#This Row],[Aop]],VLOOKUP(AF$2&amp;Balance_Sheet[[#This Row],[Aop]],Data[],AF$1)/Jedinica,"")</f>
        <v>1776803</v>
      </c>
    </row>
    <row r="45" spans="1:32" ht="12.75" customHeight="1" x14ac:dyDescent="0.2">
      <c r="A45" s="74">
        <v>40</v>
      </c>
      <c r="B45" s="75">
        <v>3</v>
      </c>
      <c r="C45" s="76" t="str">
        <f>VLOOKUP(Balance_Sheet[[#This Row],[No]],AOP_Balance,3,0)</f>
        <v>039</v>
      </c>
      <c r="D45" s="52" t="str">
        <f>VLOOKUP(Balance_Sheet[[#This Row],[No]],AOP_Balance,7,0)</f>
        <v xml:space="preserve">      v) Osnovna sredstva uzeta u finansijski lizing</v>
      </c>
      <c r="E45" s="38" t="str">
        <f>IF(VLOOKUP(E$2&amp;Balance_Sheet[[#This Row],[Aop]],Data[],1)=E$2&amp;Balance_Sheet[[#This Row],[Aop]],VLOOKUP(E$2&amp;Balance_Sheet[[#This Row],[Aop]],Data[],E$1)/Jedinica,"")</f>
        <v/>
      </c>
      <c r="F45" s="38" t="str">
        <f>IF(VLOOKUP(F$2&amp;Balance_Sheet[[#This Row],[Aop]],Data[],1)=F$2&amp;Balance_Sheet[[#This Row],[Aop]],VLOOKUP(F$2&amp;Balance_Sheet[[#This Row],[Aop]],Data[],F$1)/Jedinica,"")</f>
        <v/>
      </c>
      <c r="G45" s="38" t="str">
        <f>IF(VLOOKUP(G$2&amp;Balance_Sheet[[#This Row],[Aop]],Data[],1)=G$2&amp;Balance_Sheet[[#This Row],[Aop]],VLOOKUP(G$2&amp;Balance_Sheet[[#This Row],[Aop]],Data[],G$1)/Jedinica,"")</f>
        <v/>
      </c>
      <c r="H45" s="38" t="str">
        <f>IF(VLOOKUP(H$2&amp;Balance_Sheet[[#This Row],[Aop]],Data[],1)=H$2&amp;Balance_Sheet[[#This Row],[Aop]],VLOOKUP(H$2&amp;Balance_Sheet[[#This Row],[Aop]],Data[],H$1)/Jedinica,"")</f>
        <v/>
      </c>
      <c r="I45" s="38" t="str">
        <f>IF(VLOOKUP(I$2&amp;Balance_Sheet[[#This Row],[Aop]],Data[],1)=I$2&amp;Balance_Sheet[[#This Row],[Aop]],VLOOKUP(I$2&amp;Balance_Sheet[[#This Row],[Aop]],Data[],I$1)/Jedinica,"")</f>
        <v/>
      </c>
      <c r="J45" s="38" t="str">
        <f>IF(VLOOKUP(J$2&amp;Balance_Sheet[[#This Row],[Aop]],Data[],1)=J$2&amp;Balance_Sheet[[#This Row],[Aop]],VLOOKUP(J$2&amp;Balance_Sheet[[#This Row],[Aop]],Data[],J$1)/Jedinica,"")</f>
        <v/>
      </c>
      <c r="K45" s="38" t="str">
        <f>IF(VLOOKUP(K$2&amp;Balance_Sheet[[#This Row],[Aop]],Data[],1)=K$2&amp;Balance_Sheet[[#This Row],[Aop]],VLOOKUP(K$2&amp;Balance_Sheet[[#This Row],[Aop]],Data[],K$1)/Jedinica,"")</f>
        <v/>
      </c>
      <c r="L45" s="38" t="str">
        <f>IF(VLOOKUP(L$2&amp;Balance_Sheet[[#This Row],[Aop]],Data[],1)=L$2&amp;Balance_Sheet[[#This Row],[Aop]],VLOOKUP(L$2&amp;Balance_Sheet[[#This Row],[Aop]],Data[],L$1)/Jedinica,"")</f>
        <v/>
      </c>
      <c r="M45" s="38" t="str">
        <f>IF(VLOOKUP(M$2&amp;Balance_Sheet[[#This Row],[Aop]],Data[],1)=M$2&amp;Balance_Sheet[[#This Row],[Aop]],VLOOKUP(M$2&amp;Balance_Sheet[[#This Row],[Aop]],Data[],M$1)/Jedinica,"")</f>
        <v/>
      </c>
      <c r="N45" s="38" t="str">
        <f>IF(VLOOKUP(N$2&amp;Balance_Sheet[[#This Row],[Aop]],Data[],1)=N$2&amp;Balance_Sheet[[#This Row],[Aop]],VLOOKUP(N$2&amp;Balance_Sheet[[#This Row],[Aop]],Data[],N$1)/Jedinica,"")</f>
        <v/>
      </c>
      <c r="O45" s="38" t="str">
        <f>IF(VLOOKUP(O$2&amp;Balance_Sheet[[#This Row],[Aop]],Data[],1)=O$2&amp;Balance_Sheet[[#This Row],[Aop]],VLOOKUP(O$2&amp;Balance_Sheet[[#This Row],[Aop]],Data[],O$1)/Jedinica,"")</f>
        <v/>
      </c>
      <c r="P45" s="38" t="str">
        <f>IF(VLOOKUP(P$2&amp;Balance_Sheet[[#This Row],[Aop]],Data[],1)=P$2&amp;Balance_Sheet[[#This Row],[Aop]],VLOOKUP(P$2&amp;Balance_Sheet[[#This Row],[Aop]],Data[],P$1)/Jedinica,"")</f>
        <v/>
      </c>
      <c r="Q45" s="38" t="str">
        <f>IF(VLOOKUP(Q$2&amp;Balance_Sheet[[#This Row],[Aop]],Data[],1)=Q$2&amp;Balance_Sheet[[#This Row],[Aop]],VLOOKUP(Q$2&amp;Balance_Sheet[[#This Row],[Aop]],Data[],Q$1)/Jedinica,"")</f>
        <v/>
      </c>
      <c r="R45" s="38" t="str">
        <f>IF(VLOOKUP(R$2&amp;Balance_Sheet[[#This Row],[Aop]],Data[],1)=R$2&amp;Balance_Sheet[[#This Row],[Aop]],VLOOKUP(R$2&amp;Balance_Sheet[[#This Row],[Aop]],Data[],R$1)/Jedinica,"")</f>
        <v/>
      </c>
      <c r="S45" s="38" t="str">
        <f>IF(VLOOKUP(S$2&amp;Balance_Sheet[[#This Row],[Aop]],Data[],1)=S$2&amp;Balance_Sheet[[#This Row],[Aop]],VLOOKUP(S$2&amp;Balance_Sheet[[#This Row],[Aop]],Data[],S$1)/Jedinica,"")</f>
        <v/>
      </c>
      <c r="T45" s="38" t="str">
        <f>IF(VLOOKUP(T$2&amp;Balance_Sheet[[#This Row],[Aop]],Data[],1)=T$2&amp;Balance_Sheet[[#This Row],[Aop]],VLOOKUP(T$2&amp;Balance_Sheet[[#This Row],[Aop]],Data[],T$1)/Jedinica,"")</f>
        <v/>
      </c>
      <c r="U45" s="38" t="str">
        <f>IF(VLOOKUP(U$2&amp;Balance_Sheet[[#This Row],[Aop]],Data[],1)=U$2&amp;Balance_Sheet[[#This Row],[Aop]],VLOOKUP(U$2&amp;Balance_Sheet[[#This Row],[Aop]],Data[],U$1)/Jedinica,"")</f>
        <v/>
      </c>
      <c r="V45" s="38" t="str">
        <f>IF(VLOOKUP(V$2&amp;Balance_Sheet[[#This Row],[Aop]],Data[],1)=V$2&amp;Balance_Sheet[[#This Row],[Aop]],VLOOKUP(V$2&amp;Balance_Sheet[[#This Row],[Aop]],Data[],V$1)/Jedinica,"")</f>
        <v/>
      </c>
      <c r="W45" s="38" t="str">
        <f>IF(VLOOKUP(W$2&amp;Balance_Sheet[[#This Row],[Aop]],Data[],1)=W$2&amp;Balance_Sheet[[#This Row],[Aop]],VLOOKUP(W$2&amp;Balance_Sheet[[#This Row],[Aop]],Data[],W$1)/Jedinica,"")</f>
        <v/>
      </c>
      <c r="X45" s="38" t="str">
        <f>IF(VLOOKUP(X$2&amp;Balance_Sheet[[#This Row],[Aop]],Data[],1)=X$2&amp;Balance_Sheet[[#This Row],[Aop]],VLOOKUP(X$2&amp;Balance_Sheet[[#This Row],[Aop]],Data[],X$1)/Jedinica,"")</f>
        <v/>
      </c>
      <c r="Y45" s="38" t="str">
        <f>IF(VLOOKUP(Y$2&amp;Balance_Sheet[[#This Row],[Aop]],Data[],1)=Y$2&amp;Balance_Sheet[[#This Row],[Aop]],VLOOKUP(Y$2&amp;Balance_Sheet[[#This Row],[Aop]],Data[],Y$1)/Jedinica,"")</f>
        <v/>
      </c>
      <c r="Z45" s="38" t="str">
        <f>IF(VLOOKUP(Z$2&amp;Balance_Sheet[[#This Row],[Aop]],Data[],1)=Z$2&amp;Balance_Sheet[[#This Row],[Aop]],VLOOKUP(Z$2&amp;Balance_Sheet[[#This Row],[Aop]],Data[],Z$1)/Jedinica,"")</f>
        <v/>
      </c>
      <c r="AA45" s="38" t="str">
        <f>IF(VLOOKUP(AA$2&amp;Balance_Sheet[[#This Row],[Aop]],Data[],1)=AA$2&amp;Balance_Sheet[[#This Row],[Aop]],VLOOKUP(AA$2&amp;Balance_Sheet[[#This Row],[Aop]],Data[],AA$1)/Jedinica,"")</f>
        <v/>
      </c>
      <c r="AB45" s="38" t="str">
        <f>IF(VLOOKUP(AB$2&amp;Balance_Sheet[[#This Row],[Aop]],Data[],1)=AB$2&amp;Balance_Sheet[[#This Row],[Aop]],VLOOKUP(AB$2&amp;Balance_Sheet[[#This Row],[Aop]],Data[],AB$1)/Jedinica,"")</f>
        <v/>
      </c>
      <c r="AC45" s="38" t="str">
        <f>IF(VLOOKUP(AC$2&amp;Balance_Sheet[[#This Row],[Aop]],Data[],1)=AC$2&amp;Balance_Sheet[[#This Row],[Aop]],VLOOKUP(AC$2&amp;Balance_Sheet[[#This Row],[Aop]],Data[],AC$1)/Jedinica,"")</f>
        <v/>
      </c>
      <c r="AD45" s="38" t="str">
        <f>IF(VLOOKUP(AD$2&amp;Balance_Sheet[[#This Row],[Aop]],Data[],1)=AD$2&amp;Balance_Sheet[[#This Row],[Aop]],VLOOKUP(AD$2&amp;Balance_Sheet[[#This Row],[Aop]],Data[],AD$1)/Jedinica,"")</f>
        <v/>
      </c>
      <c r="AE45" s="38" t="str">
        <f>IF(VLOOKUP(AE$2&amp;Balance_Sheet[[#This Row],[Aop]],Data[],1)=AE$2&amp;Balance_Sheet[[#This Row],[Aop]],VLOOKUP(AE$2&amp;Balance_Sheet[[#This Row],[Aop]],Data[],AE$1)/Jedinica,"")</f>
        <v/>
      </c>
      <c r="AF45" s="38" t="str">
        <f>IF(VLOOKUP(AF$2&amp;Balance_Sheet[[#This Row],[Aop]],Data[],1)=AF$2&amp;Balance_Sheet[[#This Row],[Aop]],VLOOKUP(AF$2&amp;Balance_Sheet[[#This Row],[Aop]],Data[],AF$1)/Jedinica,"")</f>
        <v/>
      </c>
    </row>
    <row r="46" spans="1:32" ht="12.75" customHeight="1" x14ac:dyDescent="0.2">
      <c r="A46" s="74">
        <v>41</v>
      </c>
      <c r="B46" s="75">
        <v>3</v>
      </c>
      <c r="C46" s="76" t="str">
        <f>VLOOKUP(Balance_Sheet[[#This Row],[No]],AOP_Balance,3,0)</f>
        <v>040</v>
      </c>
      <c r="D46" s="52" t="str">
        <f>VLOOKUP(Balance_Sheet[[#This Row],[No]],AOP_Balance,7,0)</f>
        <v xml:space="preserve">      g) Avansi i osnovna sredstva u pripremi</v>
      </c>
      <c r="E46" s="38">
        <f>IF(VLOOKUP(E$2&amp;Balance_Sheet[[#This Row],[Aop]],Data[],1)=E$2&amp;Balance_Sheet[[#This Row],[Aop]],VLOOKUP(E$2&amp;Balance_Sheet[[#This Row],[Aop]],Data[],E$1)/Jedinica,"")</f>
        <v>113584</v>
      </c>
      <c r="F46" s="38">
        <f>IF(VLOOKUP(F$2&amp;Balance_Sheet[[#This Row],[Aop]],Data[],1)=F$2&amp;Balance_Sheet[[#This Row],[Aop]],VLOOKUP(F$2&amp;Balance_Sheet[[#This Row],[Aop]],Data[],F$1)/Jedinica,"")</f>
        <v>0</v>
      </c>
      <c r="G46" s="38">
        <f>IF(VLOOKUP(G$2&amp;Balance_Sheet[[#This Row],[Aop]],Data[],1)=G$2&amp;Balance_Sheet[[#This Row],[Aop]],VLOOKUP(G$2&amp;Balance_Sheet[[#This Row],[Aop]],Data[],G$1)/Jedinica,"")</f>
        <v>113584</v>
      </c>
      <c r="H46" s="38">
        <f>IF(VLOOKUP(H$2&amp;Balance_Sheet[[#This Row],[Aop]],Data[],1)=H$2&amp;Balance_Sheet[[#This Row],[Aop]],VLOOKUP(H$2&amp;Balance_Sheet[[#This Row],[Aop]],Data[],H$1)/Jedinica,"")</f>
        <v>204799</v>
      </c>
      <c r="I46" s="38">
        <f>IF(VLOOKUP(I$2&amp;Balance_Sheet[[#This Row],[Aop]],Data[],1)=I$2&amp;Balance_Sheet[[#This Row],[Aop]],VLOOKUP(I$2&amp;Balance_Sheet[[#This Row],[Aop]],Data[],I$1)/Jedinica,"")</f>
        <v>10323</v>
      </c>
      <c r="J46" s="38">
        <f>IF(VLOOKUP(J$2&amp;Balance_Sheet[[#This Row],[Aop]],Data[],1)=J$2&amp;Balance_Sheet[[#This Row],[Aop]],VLOOKUP(J$2&amp;Balance_Sheet[[#This Row],[Aop]],Data[],J$1)/Jedinica,"")</f>
        <v>0</v>
      </c>
      <c r="K46" s="38">
        <f>IF(VLOOKUP(K$2&amp;Balance_Sheet[[#This Row],[Aop]],Data[],1)=K$2&amp;Balance_Sheet[[#This Row],[Aop]],VLOOKUP(K$2&amp;Balance_Sheet[[#This Row],[Aop]],Data[],K$1)/Jedinica,"")</f>
        <v>10323</v>
      </c>
      <c r="L46" s="38">
        <f>IF(VLOOKUP(L$2&amp;Balance_Sheet[[#This Row],[Aop]],Data[],1)=L$2&amp;Balance_Sheet[[#This Row],[Aop]],VLOOKUP(L$2&amp;Balance_Sheet[[#This Row],[Aop]],Data[],L$1)/Jedinica,"")</f>
        <v>16084</v>
      </c>
      <c r="M46" s="38">
        <f>IF(VLOOKUP(M$2&amp;Balance_Sheet[[#This Row],[Aop]],Data[],1)=M$2&amp;Balance_Sheet[[#This Row],[Aop]],VLOOKUP(M$2&amp;Balance_Sheet[[#This Row],[Aop]],Data[],M$1)/Jedinica,"")</f>
        <v>63788</v>
      </c>
      <c r="N46" s="38">
        <f>IF(VLOOKUP(N$2&amp;Balance_Sheet[[#This Row],[Aop]],Data[],1)=N$2&amp;Balance_Sheet[[#This Row],[Aop]],VLOOKUP(N$2&amp;Balance_Sheet[[#This Row],[Aop]],Data[],N$1)/Jedinica,"")</f>
        <v>0</v>
      </c>
      <c r="O46" s="38">
        <f>IF(VLOOKUP(O$2&amp;Balance_Sheet[[#This Row],[Aop]],Data[],1)=O$2&amp;Balance_Sheet[[#This Row],[Aop]],VLOOKUP(O$2&amp;Balance_Sheet[[#This Row],[Aop]],Data[],O$1)/Jedinica,"")</f>
        <v>63788</v>
      </c>
      <c r="P46" s="38">
        <f>IF(VLOOKUP(P$2&amp;Balance_Sheet[[#This Row],[Aop]],Data[],1)=P$2&amp;Balance_Sheet[[#This Row],[Aop]],VLOOKUP(P$2&amp;Balance_Sheet[[#This Row],[Aop]],Data[],P$1)/Jedinica,"")</f>
        <v>75943</v>
      </c>
      <c r="Q46" s="38">
        <f>IF(VLOOKUP(Q$2&amp;Balance_Sheet[[#This Row],[Aop]],Data[],1)=Q$2&amp;Balance_Sheet[[#This Row],[Aop]],VLOOKUP(Q$2&amp;Balance_Sheet[[#This Row],[Aop]],Data[],Q$1)/Jedinica,"")</f>
        <v>1991</v>
      </c>
      <c r="R46" s="38">
        <f>IF(VLOOKUP(R$2&amp;Balance_Sheet[[#This Row],[Aop]],Data[],1)=R$2&amp;Balance_Sheet[[#This Row],[Aop]],VLOOKUP(R$2&amp;Balance_Sheet[[#This Row],[Aop]],Data[],R$1)/Jedinica,"")</f>
        <v>0</v>
      </c>
      <c r="S46" s="38">
        <f>IF(VLOOKUP(S$2&amp;Balance_Sheet[[#This Row],[Aop]],Data[],1)=S$2&amp;Balance_Sheet[[#This Row],[Aop]],VLOOKUP(S$2&amp;Balance_Sheet[[#This Row],[Aop]],Data[],S$1)/Jedinica,"")</f>
        <v>1991</v>
      </c>
      <c r="T46" s="38">
        <f>IF(VLOOKUP(T$2&amp;Balance_Sheet[[#This Row],[Aop]],Data[],1)=T$2&amp;Balance_Sheet[[#This Row],[Aop]],VLOOKUP(T$2&amp;Balance_Sheet[[#This Row],[Aop]],Data[],T$1)/Jedinica,"")</f>
        <v>14563</v>
      </c>
      <c r="U46" s="38">
        <f>IF(VLOOKUP(U$2&amp;Balance_Sheet[[#This Row],[Aop]],Data[],1)=U$2&amp;Balance_Sheet[[#This Row],[Aop]],VLOOKUP(U$2&amp;Balance_Sheet[[#This Row],[Aop]],Data[],U$1)/Jedinica,"")</f>
        <v>64633</v>
      </c>
      <c r="V46" s="38">
        <f>IF(VLOOKUP(V$2&amp;Balance_Sheet[[#This Row],[Aop]],Data[],1)=V$2&amp;Balance_Sheet[[#This Row],[Aop]],VLOOKUP(V$2&amp;Balance_Sheet[[#This Row],[Aop]],Data[],V$1)/Jedinica,"")</f>
        <v>0</v>
      </c>
      <c r="W46" s="38">
        <f>IF(VLOOKUP(W$2&amp;Balance_Sheet[[#This Row],[Aop]],Data[],1)=W$2&amp;Balance_Sheet[[#This Row],[Aop]],VLOOKUP(W$2&amp;Balance_Sheet[[#This Row],[Aop]],Data[],W$1)/Jedinica,"")</f>
        <v>64633</v>
      </c>
      <c r="X46" s="38">
        <f>IF(VLOOKUP(X$2&amp;Balance_Sheet[[#This Row],[Aop]],Data[],1)=X$2&amp;Balance_Sheet[[#This Row],[Aop]],VLOOKUP(X$2&amp;Balance_Sheet[[#This Row],[Aop]],Data[],X$1)/Jedinica,"")</f>
        <v>430255</v>
      </c>
      <c r="Y46" s="38">
        <f>IF(VLOOKUP(Y$2&amp;Balance_Sheet[[#This Row],[Aop]],Data[],1)=Y$2&amp;Balance_Sheet[[#This Row],[Aop]],VLOOKUP(Y$2&amp;Balance_Sheet[[#This Row],[Aop]],Data[],Y$1)/Jedinica,"")</f>
        <v>1991</v>
      </c>
      <c r="Z46" s="38">
        <f>IF(VLOOKUP(Z$2&amp;Balance_Sheet[[#This Row],[Aop]],Data[],1)=Z$2&amp;Balance_Sheet[[#This Row],[Aop]],VLOOKUP(Z$2&amp;Balance_Sheet[[#This Row],[Aop]],Data[],Z$1)/Jedinica,"")</f>
        <v>0</v>
      </c>
      <c r="AA46" s="38">
        <f>IF(VLOOKUP(AA$2&amp;Balance_Sheet[[#This Row],[Aop]],Data[],1)=AA$2&amp;Balance_Sheet[[#This Row],[Aop]],VLOOKUP(AA$2&amp;Balance_Sheet[[#This Row],[Aop]],Data[],AA$1)/Jedinica,"")</f>
        <v>1991</v>
      </c>
      <c r="AB46" s="38">
        <f>IF(VLOOKUP(AB$2&amp;Balance_Sheet[[#This Row],[Aop]],Data[],1)=AB$2&amp;Balance_Sheet[[#This Row],[Aop]],VLOOKUP(AB$2&amp;Balance_Sheet[[#This Row],[Aop]],Data[],AB$1)/Jedinica,"")</f>
        <v>14563</v>
      </c>
      <c r="AC46" s="38">
        <f>IF(VLOOKUP(AC$2&amp;Balance_Sheet[[#This Row],[Aop]],Data[],1)=AC$2&amp;Balance_Sheet[[#This Row],[Aop]],VLOOKUP(AC$2&amp;Balance_Sheet[[#This Row],[Aop]],Data[],AC$1)/Jedinica,"")</f>
        <v>472869</v>
      </c>
      <c r="AD46" s="38">
        <f>IF(VLOOKUP(AD$2&amp;Balance_Sheet[[#This Row],[Aop]],Data[],1)=AD$2&amp;Balance_Sheet[[#This Row],[Aop]],VLOOKUP(AD$2&amp;Balance_Sheet[[#This Row],[Aop]],Data[],AD$1)/Jedinica,"")</f>
        <v>0</v>
      </c>
      <c r="AE46" s="38">
        <f>IF(VLOOKUP(AE$2&amp;Balance_Sheet[[#This Row],[Aop]],Data[],1)=AE$2&amp;Balance_Sheet[[#This Row],[Aop]],VLOOKUP(AE$2&amp;Balance_Sheet[[#This Row],[Aop]],Data[],AE$1)/Jedinica,"")</f>
        <v>472869</v>
      </c>
      <c r="AF46" s="38">
        <f>IF(VLOOKUP(AF$2&amp;Balance_Sheet[[#This Row],[Aop]],Data[],1)=AF$2&amp;Balance_Sheet[[#This Row],[Aop]],VLOOKUP(AF$2&amp;Balance_Sheet[[#This Row],[Aop]],Data[],AF$1)/Jedinica,"")</f>
        <v>1288935</v>
      </c>
    </row>
    <row r="47" spans="1:32" ht="12.75" customHeight="1" x14ac:dyDescent="0.2">
      <c r="A47" s="74">
        <v>42</v>
      </c>
      <c r="B47" s="75">
        <v>2</v>
      </c>
      <c r="C47" s="76" t="str">
        <f>VLOOKUP(Balance_Sheet[[#This Row],[No]],AOP_Balance,3,0)</f>
        <v>041</v>
      </c>
      <c r="D47" s="52" t="str">
        <f>VLOOKUP(Balance_Sheet[[#This Row],[No]],AOP_Balance,7,0)</f>
        <v xml:space="preserve">    2. Nematerijalna sredstva (042 do 046)</v>
      </c>
      <c r="E47" s="38">
        <f>IF(VLOOKUP(E$2&amp;Balance_Sheet[[#This Row],[Aop]],Data[],1)=E$2&amp;Balance_Sheet[[#This Row],[Aop]],VLOOKUP(E$2&amp;Balance_Sheet[[#This Row],[Aop]],Data[],E$1)/Jedinica,"")</f>
        <v>1748842</v>
      </c>
      <c r="F47" s="38">
        <f>IF(VLOOKUP(F$2&amp;Balance_Sheet[[#This Row],[Aop]],Data[],1)=F$2&amp;Balance_Sheet[[#This Row],[Aop]],VLOOKUP(F$2&amp;Balance_Sheet[[#This Row],[Aop]],Data[],F$1)/Jedinica,"")</f>
        <v>1436554</v>
      </c>
      <c r="G47" s="38">
        <f>IF(VLOOKUP(G$2&amp;Balance_Sheet[[#This Row],[Aop]],Data[],1)=G$2&amp;Balance_Sheet[[#This Row],[Aop]],VLOOKUP(G$2&amp;Balance_Sheet[[#This Row],[Aop]],Data[],G$1)/Jedinica,"")</f>
        <v>312288</v>
      </c>
      <c r="H47" s="38">
        <f>IF(VLOOKUP(H$2&amp;Balance_Sheet[[#This Row],[Aop]],Data[],1)=H$2&amp;Balance_Sheet[[#This Row],[Aop]],VLOOKUP(H$2&amp;Balance_Sheet[[#This Row],[Aop]],Data[],H$1)/Jedinica,"")</f>
        <v>353910</v>
      </c>
      <c r="I47" s="38">
        <f>IF(VLOOKUP(I$2&amp;Balance_Sheet[[#This Row],[Aop]],Data[],1)=I$2&amp;Balance_Sheet[[#This Row],[Aop]],VLOOKUP(I$2&amp;Balance_Sheet[[#This Row],[Aop]],Data[],I$1)/Jedinica,"")</f>
        <v>3574423</v>
      </c>
      <c r="J47" s="38">
        <f>IF(VLOOKUP(J$2&amp;Balance_Sheet[[#This Row],[Aop]],Data[],1)=J$2&amp;Balance_Sheet[[#This Row],[Aop]],VLOOKUP(J$2&amp;Balance_Sheet[[#This Row],[Aop]],Data[],J$1)/Jedinica,"")</f>
        <v>2614864</v>
      </c>
      <c r="K47" s="38">
        <f>IF(VLOOKUP(K$2&amp;Balance_Sheet[[#This Row],[Aop]],Data[],1)=K$2&amp;Balance_Sheet[[#This Row],[Aop]],VLOOKUP(K$2&amp;Balance_Sheet[[#This Row],[Aop]],Data[],K$1)/Jedinica,"")</f>
        <v>959559</v>
      </c>
      <c r="L47" s="38">
        <f>IF(VLOOKUP(L$2&amp;Balance_Sheet[[#This Row],[Aop]],Data[],1)=L$2&amp;Balance_Sheet[[#This Row],[Aop]],VLOOKUP(L$2&amp;Balance_Sheet[[#This Row],[Aop]],Data[],L$1)/Jedinica,"")</f>
        <v>1030857</v>
      </c>
      <c r="M47" s="38">
        <f>IF(VLOOKUP(M$2&amp;Balance_Sheet[[#This Row],[Aop]],Data[],1)=M$2&amp;Balance_Sheet[[#This Row],[Aop]],VLOOKUP(M$2&amp;Balance_Sheet[[#This Row],[Aop]],Data[],M$1)/Jedinica,"")</f>
        <v>2318855</v>
      </c>
      <c r="N47" s="38">
        <f>IF(VLOOKUP(N$2&amp;Balance_Sheet[[#This Row],[Aop]],Data[],1)=N$2&amp;Balance_Sheet[[#This Row],[Aop]],VLOOKUP(N$2&amp;Balance_Sheet[[#This Row],[Aop]],Data[],N$1)/Jedinica,"")</f>
        <v>1811530</v>
      </c>
      <c r="O47" s="38">
        <f>IF(VLOOKUP(O$2&amp;Balance_Sheet[[#This Row],[Aop]],Data[],1)=O$2&amp;Balance_Sheet[[#This Row],[Aop]],VLOOKUP(O$2&amp;Balance_Sheet[[#This Row],[Aop]],Data[],O$1)/Jedinica,"")</f>
        <v>507325</v>
      </c>
      <c r="P47" s="38">
        <f>IF(VLOOKUP(P$2&amp;Balance_Sheet[[#This Row],[Aop]],Data[],1)=P$2&amp;Balance_Sheet[[#This Row],[Aop]],VLOOKUP(P$2&amp;Balance_Sheet[[#This Row],[Aop]],Data[],P$1)/Jedinica,"")</f>
        <v>514681</v>
      </c>
      <c r="Q47" s="38">
        <f>IF(VLOOKUP(Q$2&amp;Balance_Sheet[[#This Row],[Aop]],Data[],1)=Q$2&amp;Balance_Sheet[[#This Row],[Aop]],VLOOKUP(Q$2&amp;Balance_Sheet[[#This Row],[Aop]],Data[],Q$1)/Jedinica,"")</f>
        <v>846879</v>
      </c>
      <c r="R47" s="38">
        <f>IF(VLOOKUP(R$2&amp;Balance_Sheet[[#This Row],[Aop]],Data[],1)=R$2&amp;Balance_Sheet[[#This Row],[Aop]],VLOOKUP(R$2&amp;Balance_Sheet[[#This Row],[Aop]],Data[],R$1)/Jedinica,"")</f>
        <v>548282</v>
      </c>
      <c r="S47" s="38">
        <f>IF(VLOOKUP(S$2&amp;Balance_Sheet[[#This Row],[Aop]],Data[],1)=S$2&amp;Balance_Sheet[[#This Row],[Aop]],VLOOKUP(S$2&amp;Balance_Sheet[[#This Row],[Aop]],Data[],S$1)/Jedinica,"")</f>
        <v>298597</v>
      </c>
      <c r="T47" s="38">
        <f>IF(VLOOKUP(T$2&amp;Balance_Sheet[[#This Row],[Aop]],Data[],1)=T$2&amp;Balance_Sheet[[#This Row],[Aop]],VLOOKUP(T$2&amp;Balance_Sheet[[#This Row],[Aop]],Data[],T$1)/Jedinica,"")</f>
        <v>384579</v>
      </c>
      <c r="U47" s="38">
        <f>IF(VLOOKUP(U$2&amp;Balance_Sheet[[#This Row],[Aop]],Data[],1)=U$2&amp;Balance_Sheet[[#This Row],[Aop]],VLOOKUP(U$2&amp;Balance_Sheet[[#This Row],[Aop]],Data[],U$1)/Jedinica,"")</f>
        <v>18972879</v>
      </c>
      <c r="V47" s="38">
        <f>IF(VLOOKUP(V$2&amp;Balance_Sheet[[#This Row],[Aop]],Data[],1)=V$2&amp;Balance_Sheet[[#This Row],[Aop]],VLOOKUP(V$2&amp;Balance_Sheet[[#This Row],[Aop]],Data[],V$1)/Jedinica,"")</f>
        <v>14957851</v>
      </c>
      <c r="W47" s="38">
        <f>IF(VLOOKUP(W$2&amp;Balance_Sheet[[#This Row],[Aop]],Data[],1)=W$2&amp;Balance_Sheet[[#This Row],[Aop]],VLOOKUP(W$2&amp;Balance_Sheet[[#This Row],[Aop]],Data[],W$1)/Jedinica,"")</f>
        <v>4015028</v>
      </c>
      <c r="X47" s="38">
        <f>IF(VLOOKUP(X$2&amp;Balance_Sheet[[#This Row],[Aop]],Data[],1)=X$2&amp;Balance_Sheet[[#This Row],[Aop]],VLOOKUP(X$2&amp;Balance_Sheet[[#This Row],[Aop]],Data[],X$1)/Jedinica,"")</f>
        <v>4657507</v>
      </c>
      <c r="Y47" s="38">
        <f>IF(VLOOKUP(Y$2&amp;Balance_Sheet[[#This Row],[Aop]],Data[],1)=Y$2&amp;Balance_Sheet[[#This Row],[Aop]],VLOOKUP(Y$2&amp;Balance_Sheet[[#This Row],[Aop]],Data[],Y$1)/Jedinica,"")</f>
        <v>846879</v>
      </c>
      <c r="Z47" s="38">
        <f>IF(VLOOKUP(Z$2&amp;Balance_Sheet[[#This Row],[Aop]],Data[],1)=Z$2&amp;Balance_Sheet[[#This Row],[Aop]],VLOOKUP(Z$2&amp;Balance_Sheet[[#This Row],[Aop]],Data[],Z$1)/Jedinica,"")</f>
        <v>548282</v>
      </c>
      <c r="AA47" s="38">
        <f>IF(VLOOKUP(AA$2&amp;Balance_Sheet[[#This Row],[Aop]],Data[],1)=AA$2&amp;Balance_Sheet[[#This Row],[Aop]],VLOOKUP(AA$2&amp;Balance_Sheet[[#This Row],[Aop]],Data[],AA$1)/Jedinica,"")</f>
        <v>298597</v>
      </c>
      <c r="AB47" s="38">
        <f>IF(VLOOKUP(AB$2&amp;Balance_Sheet[[#This Row],[Aop]],Data[],1)=AB$2&amp;Balance_Sheet[[#This Row],[Aop]],VLOOKUP(AB$2&amp;Balance_Sheet[[#This Row],[Aop]],Data[],AB$1)/Jedinica,"")</f>
        <v>384579</v>
      </c>
      <c r="AC47" s="38">
        <f>IF(VLOOKUP(AC$2&amp;Balance_Sheet[[#This Row],[Aop]],Data[],1)=AC$2&amp;Balance_Sheet[[#This Row],[Aop]],VLOOKUP(AC$2&amp;Balance_Sheet[[#This Row],[Aop]],Data[],AC$1)/Jedinica,"")</f>
        <v>4798825</v>
      </c>
      <c r="AD47" s="38">
        <f>IF(VLOOKUP(AD$2&amp;Balance_Sheet[[#This Row],[Aop]],Data[],1)=AD$2&amp;Balance_Sheet[[#This Row],[Aop]],VLOOKUP(AD$2&amp;Balance_Sheet[[#This Row],[Aop]],Data[],AD$1)/Jedinica,"")</f>
        <v>4444933</v>
      </c>
      <c r="AE47" s="38">
        <f>IF(VLOOKUP(AE$2&amp;Balance_Sheet[[#This Row],[Aop]],Data[],1)=AE$2&amp;Balance_Sheet[[#This Row],[Aop]],VLOOKUP(AE$2&amp;Balance_Sheet[[#This Row],[Aop]],Data[],AE$1)/Jedinica,"")</f>
        <v>353892</v>
      </c>
      <c r="AF47" s="38">
        <f>IF(VLOOKUP(AF$2&amp;Balance_Sheet[[#This Row],[Aop]],Data[],1)=AF$2&amp;Balance_Sheet[[#This Row],[Aop]],VLOOKUP(AF$2&amp;Balance_Sheet[[#This Row],[Aop]],Data[],AF$1)/Jedinica,"")</f>
        <v>323460</v>
      </c>
    </row>
    <row r="48" spans="1:32" ht="12.75" customHeight="1" x14ac:dyDescent="0.2">
      <c r="A48" s="74">
        <v>43</v>
      </c>
      <c r="B48" s="75">
        <v>3</v>
      </c>
      <c r="C48" s="76" t="str">
        <f>VLOOKUP(Balance_Sheet[[#This Row],[No]],AOP_Balance,3,0)</f>
        <v>042</v>
      </c>
      <c r="D48" s="52" t="str">
        <f>VLOOKUP(Balance_Sheet[[#This Row],[No]],AOP_Balance,7,0)</f>
        <v xml:space="preserve">      a) Goodwill</v>
      </c>
      <c r="E48" s="38" t="str">
        <f>IF(VLOOKUP(E$2&amp;Balance_Sheet[[#This Row],[Aop]],Data[],1)=E$2&amp;Balance_Sheet[[#This Row],[Aop]],VLOOKUP(E$2&amp;Balance_Sheet[[#This Row],[Aop]],Data[],E$1)/Jedinica,"")</f>
        <v/>
      </c>
      <c r="F48" s="38" t="str">
        <f>IF(VLOOKUP(F$2&amp;Balance_Sheet[[#This Row],[Aop]],Data[],1)=F$2&amp;Balance_Sheet[[#This Row],[Aop]],VLOOKUP(F$2&amp;Balance_Sheet[[#This Row],[Aop]],Data[],F$1)/Jedinica,"")</f>
        <v/>
      </c>
      <c r="G48" s="38" t="str">
        <f>IF(VLOOKUP(G$2&amp;Balance_Sheet[[#This Row],[Aop]],Data[],1)=G$2&amp;Balance_Sheet[[#This Row],[Aop]],VLOOKUP(G$2&amp;Balance_Sheet[[#This Row],[Aop]],Data[],G$1)/Jedinica,"")</f>
        <v/>
      </c>
      <c r="H48" s="38" t="str">
        <f>IF(VLOOKUP(H$2&amp;Balance_Sheet[[#This Row],[Aop]],Data[],1)=H$2&amp;Balance_Sheet[[#This Row],[Aop]],VLOOKUP(H$2&amp;Balance_Sheet[[#This Row],[Aop]],Data[],H$1)/Jedinica,"")</f>
        <v/>
      </c>
      <c r="I48" s="38" t="str">
        <f>IF(VLOOKUP(I$2&amp;Balance_Sheet[[#This Row],[Aop]],Data[],1)=I$2&amp;Balance_Sheet[[#This Row],[Aop]],VLOOKUP(I$2&amp;Balance_Sheet[[#This Row],[Aop]],Data[],I$1)/Jedinica,"")</f>
        <v/>
      </c>
      <c r="J48" s="38" t="str">
        <f>IF(VLOOKUP(J$2&amp;Balance_Sheet[[#This Row],[Aop]],Data[],1)=J$2&amp;Balance_Sheet[[#This Row],[Aop]],VLOOKUP(J$2&amp;Balance_Sheet[[#This Row],[Aop]],Data[],J$1)/Jedinica,"")</f>
        <v/>
      </c>
      <c r="K48" s="38" t="str">
        <f>IF(VLOOKUP(K$2&amp;Balance_Sheet[[#This Row],[Aop]],Data[],1)=K$2&amp;Balance_Sheet[[#This Row],[Aop]],VLOOKUP(K$2&amp;Balance_Sheet[[#This Row],[Aop]],Data[],K$1)/Jedinica,"")</f>
        <v/>
      </c>
      <c r="L48" s="38" t="str">
        <f>IF(VLOOKUP(L$2&amp;Balance_Sheet[[#This Row],[Aop]],Data[],1)=L$2&amp;Balance_Sheet[[#This Row],[Aop]],VLOOKUP(L$2&amp;Balance_Sheet[[#This Row],[Aop]],Data[],L$1)/Jedinica,"")</f>
        <v/>
      </c>
      <c r="M48" s="38" t="str">
        <f>IF(VLOOKUP(M$2&amp;Balance_Sheet[[#This Row],[Aop]],Data[],1)=M$2&amp;Balance_Sheet[[#This Row],[Aop]],VLOOKUP(M$2&amp;Balance_Sheet[[#This Row],[Aop]],Data[],M$1)/Jedinica,"")</f>
        <v/>
      </c>
      <c r="N48" s="38" t="str">
        <f>IF(VLOOKUP(N$2&amp;Balance_Sheet[[#This Row],[Aop]],Data[],1)=N$2&amp;Balance_Sheet[[#This Row],[Aop]],VLOOKUP(N$2&amp;Balance_Sheet[[#This Row],[Aop]],Data[],N$1)/Jedinica,"")</f>
        <v/>
      </c>
      <c r="O48" s="38" t="str">
        <f>IF(VLOOKUP(O$2&amp;Balance_Sheet[[#This Row],[Aop]],Data[],1)=O$2&amp;Balance_Sheet[[#This Row],[Aop]],VLOOKUP(O$2&amp;Balance_Sheet[[#This Row],[Aop]],Data[],O$1)/Jedinica,"")</f>
        <v/>
      </c>
      <c r="P48" s="38" t="str">
        <f>IF(VLOOKUP(P$2&amp;Balance_Sheet[[#This Row],[Aop]],Data[],1)=P$2&amp;Balance_Sheet[[#This Row],[Aop]],VLOOKUP(P$2&amp;Balance_Sheet[[#This Row],[Aop]],Data[],P$1)/Jedinica,"")</f>
        <v/>
      </c>
      <c r="Q48" s="38" t="str">
        <f>IF(VLOOKUP(Q$2&amp;Balance_Sheet[[#This Row],[Aop]],Data[],1)=Q$2&amp;Balance_Sheet[[#This Row],[Aop]],VLOOKUP(Q$2&amp;Balance_Sheet[[#This Row],[Aop]],Data[],Q$1)/Jedinica,"")</f>
        <v/>
      </c>
      <c r="R48" s="38" t="str">
        <f>IF(VLOOKUP(R$2&amp;Balance_Sheet[[#This Row],[Aop]],Data[],1)=R$2&amp;Balance_Sheet[[#This Row],[Aop]],VLOOKUP(R$2&amp;Balance_Sheet[[#This Row],[Aop]],Data[],R$1)/Jedinica,"")</f>
        <v/>
      </c>
      <c r="S48" s="38" t="str">
        <f>IF(VLOOKUP(S$2&amp;Balance_Sheet[[#This Row],[Aop]],Data[],1)=S$2&amp;Balance_Sheet[[#This Row],[Aop]],VLOOKUP(S$2&amp;Balance_Sheet[[#This Row],[Aop]],Data[],S$1)/Jedinica,"")</f>
        <v/>
      </c>
      <c r="T48" s="38" t="str">
        <f>IF(VLOOKUP(T$2&amp;Balance_Sheet[[#This Row],[Aop]],Data[],1)=T$2&amp;Balance_Sheet[[#This Row],[Aop]],VLOOKUP(T$2&amp;Balance_Sheet[[#This Row],[Aop]],Data[],T$1)/Jedinica,"")</f>
        <v/>
      </c>
      <c r="U48" s="38" t="str">
        <f>IF(VLOOKUP(U$2&amp;Balance_Sheet[[#This Row],[Aop]],Data[],1)=U$2&amp;Balance_Sheet[[#This Row],[Aop]],VLOOKUP(U$2&amp;Balance_Sheet[[#This Row],[Aop]],Data[],U$1)/Jedinica,"")</f>
        <v/>
      </c>
      <c r="V48" s="38" t="str">
        <f>IF(VLOOKUP(V$2&amp;Balance_Sheet[[#This Row],[Aop]],Data[],1)=V$2&amp;Balance_Sheet[[#This Row],[Aop]],VLOOKUP(V$2&amp;Balance_Sheet[[#This Row],[Aop]],Data[],V$1)/Jedinica,"")</f>
        <v/>
      </c>
      <c r="W48" s="38" t="str">
        <f>IF(VLOOKUP(W$2&amp;Balance_Sheet[[#This Row],[Aop]],Data[],1)=W$2&amp;Balance_Sheet[[#This Row],[Aop]],VLOOKUP(W$2&amp;Balance_Sheet[[#This Row],[Aop]],Data[],W$1)/Jedinica,"")</f>
        <v/>
      </c>
      <c r="X48" s="38" t="str">
        <f>IF(VLOOKUP(X$2&amp;Balance_Sheet[[#This Row],[Aop]],Data[],1)=X$2&amp;Balance_Sheet[[#This Row],[Aop]],VLOOKUP(X$2&amp;Balance_Sheet[[#This Row],[Aop]],Data[],X$1)/Jedinica,"")</f>
        <v/>
      </c>
      <c r="Y48" s="38" t="str">
        <f>IF(VLOOKUP(Y$2&amp;Balance_Sheet[[#This Row],[Aop]],Data[],1)=Y$2&amp;Balance_Sheet[[#This Row],[Aop]],VLOOKUP(Y$2&amp;Balance_Sheet[[#This Row],[Aop]],Data[],Y$1)/Jedinica,"")</f>
        <v/>
      </c>
      <c r="Z48" s="38" t="str">
        <f>IF(VLOOKUP(Z$2&amp;Balance_Sheet[[#This Row],[Aop]],Data[],1)=Z$2&amp;Balance_Sheet[[#This Row],[Aop]],VLOOKUP(Z$2&amp;Balance_Sheet[[#This Row],[Aop]],Data[],Z$1)/Jedinica,"")</f>
        <v/>
      </c>
      <c r="AA48" s="38" t="str">
        <f>IF(VLOOKUP(AA$2&amp;Balance_Sheet[[#This Row],[Aop]],Data[],1)=AA$2&amp;Balance_Sheet[[#This Row],[Aop]],VLOOKUP(AA$2&amp;Balance_Sheet[[#This Row],[Aop]],Data[],AA$1)/Jedinica,"")</f>
        <v/>
      </c>
      <c r="AB48" s="38" t="str">
        <f>IF(VLOOKUP(AB$2&amp;Balance_Sheet[[#This Row],[Aop]],Data[],1)=AB$2&amp;Balance_Sheet[[#This Row],[Aop]],VLOOKUP(AB$2&amp;Balance_Sheet[[#This Row],[Aop]],Data[],AB$1)/Jedinica,"")</f>
        <v/>
      </c>
      <c r="AC48" s="38" t="str">
        <f>IF(VLOOKUP(AC$2&amp;Balance_Sheet[[#This Row],[Aop]],Data[],1)=AC$2&amp;Balance_Sheet[[#This Row],[Aop]],VLOOKUP(AC$2&amp;Balance_Sheet[[#This Row],[Aop]],Data[],AC$1)/Jedinica,"")</f>
        <v/>
      </c>
      <c r="AD48" s="38" t="str">
        <f>IF(VLOOKUP(AD$2&amp;Balance_Sheet[[#This Row],[Aop]],Data[],1)=AD$2&amp;Balance_Sheet[[#This Row],[Aop]],VLOOKUP(AD$2&amp;Balance_Sheet[[#This Row],[Aop]],Data[],AD$1)/Jedinica,"")</f>
        <v/>
      </c>
      <c r="AE48" s="38" t="str">
        <f>IF(VLOOKUP(AE$2&amp;Balance_Sheet[[#This Row],[Aop]],Data[],1)=AE$2&amp;Balance_Sheet[[#This Row],[Aop]],VLOOKUP(AE$2&amp;Balance_Sheet[[#This Row],[Aop]],Data[],AE$1)/Jedinica,"")</f>
        <v/>
      </c>
      <c r="AF48" s="38" t="str">
        <f>IF(VLOOKUP(AF$2&amp;Balance_Sheet[[#This Row],[Aop]],Data[],1)=AF$2&amp;Balance_Sheet[[#This Row],[Aop]],VLOOKUP(AF$2&amp;Balance_Sheet[[#This Row],[Aop]],Data[],AF$1)/Jedinica,"")</f>
        <v/>
      </c>
    </row>
    <row r="49" spans="1:32" ht="12.75" customHeight="1" x14ac:dyDescent="0.2">
      <c r="A49" s="74">
        <v>44</v>
      </c>
      <c r="B49" s="75">
        <v>3</v>
      </c>
      <c r="C49" s="76" t="str">
        <f>VLOOKUP(Balance_Sheet[[#This Row],[No]],AOP_Balance,3,0)</f>
        <v>043</v>
      </c>
      <c r="D49" s="52" t="str">
        <f>VLOOKUP(Balance_Sheet[[#This Row],[No]],AOP_Balance,7,0)</f>
        <v xml:space="preserve">      b) Ulaganja u razvoj</v>
      </c>
      <c r="E49" s="38" t="str">
        <f>IF(VLOOKUP(E$2&amp;Balance_Sheet[[#This Row],[Aop]],Data[],1)=E$2&amp;Balance_Sheet[[#This Row],[Aop]],VLOOKUP(E$2&amp;Balance_Sheet[[#This Row],[Aop]],Data[],E$1)/Jedinica,"")</f>
        <v/>
      </c>
      <c r="F49" s="38" t="str">
        <f>IF(VLOOKUP(F$2&amp;Balance_Sheet[[#This Row],[Aop]],Data[],1)=F$2&amp;Balance_Sheet[[#This Row],[Aop]],VLOOKUP(F$2&amp;Balance_Sheet[[#This Row],[Aop]],Data[],F$1)/Jedinica,"")</f>
        <v/>
      </c>
      <c r="G49" s="38" t="str">
        <f>IF(VLOOKUP(G$2&amp;Balance_Sheet[[#This Row],[Aop]],Data[],1)=G$2&amp;Balance_Sheet[[#This Row],[Aop]],VLOOKUP(G$2&amp;Balance_Sheet[[#This Row],[Aop]],Data[],G$1)/Jedinica,"")</f>
        <v/>
      </c>
      <c r="H49" s="38" t="str">
        <f>IF(VLOOKUP(H$2&amp;Balance_Sheet[[#This Row],[Aop]],Data[],1)=H$2&amp;Balance_Sheet[[#This Row],[Aop]],VLOOKUP(H$2&amp;Balance_Sheet[[#This Row],[Aop]],Data[],H$1)/Jedinica,"")</f>
        <v/>
      </c>
      <c r="I49" s="38" t="str">
        <f>IF(VLOOKUP(I$2&amp;Balance_Sheet[[#This Row],[Aop]],Data[],1)=I$2&amp;Balance_Sheet[[#This Row],[Aop]],VLOOKUP(I$2&amp;Balance_Sheet[[#This Row],[Aop]],Data[],I$1)/Jedinica,"")</f>
        <v/>
      </c>
      <c r="J49" s="38" t="str">
        <f>IF(VLOOKUP(J$2&amp;Balance_Sheet[[#This Row],[Aop]],Data[],1)=J$2&amp;Balance_Sheet[[#This Row],[Aop]],VLOOKUP(J$2&amp;Balance_Sheet[[#This Row],[Aop]],Data[],J$1)/Jedinica,"")</f>
        <v/>
      </c>
      <c r="K49" s="38" t="str">
        <f>IF(VLOOKUP(K$2&amp;Balance_Sheet[[#This Row],[Aop]],Data[],1)=K$2&amp;Balance_Sheet[[#This Row],[Aop]],VLOOKUP(K$2&amp;Balance_Sheet[[#This Row],[Aop]],Data[],K$1)/Jedinica,"")</f>
        <v/>
      </c>
      <c r="L49" s="38" t="str">
        <f>IF(VLOOKUP(L$2&amp;Balance_Sheet[[#This Row],[Aop]],Data[],1)=L$2&amp;Balance_Sheet[[#This Row],[Aop]],VLOOKUP(L$2&amp;Balance_Sheet[[#This Row],[Aop]],Data[],L$1)/Jedinica,"")</f>
        <v/>
      </c>
      <c r="M49" s="38" t="str">
        <f>IF(VLOOKUP(M$2&amp;Balance_Sheet[[#This Row],[Aop]],Data[],1)=M$2&amp;Balance_Sheet[[#This Row],[Aop]],VLOOKUP(M$2&amp;Balance_Sheet[[#This Row],[Aop]],Data[],M$1)/Jedinica,"")</f>
        <v/>
      </c>
      <c r="N49" s="38" t="str">
        <f>IF(VLOOKUP(N$2&amp;Balance_Sheet[[#This Row],[Aop]],Data[],1)=N$2&amp;Balance_Sheet[[#This Row],[Aop]],VLOOKUP(N$2&amp;Balance_Sheet[[#This Row],[Aop]],Data[],N$1)/Jedinica,"")</f>
        <v/>
      </c>
      <c r="O49" s="38" t="str">
        <f>IF(VLOOKUP(O$2&amp;Balance_Sheet[[#This Row],[Aop]],Data[],1)=O$2&amp;Balance_Sheet[[#This Row],[Aop]],VLOOKUP(O$2&amp;Balance_Sheet[[#This Row],[Aop]],Data[],O$1)/Jedinica,"")</f>
        <v/>
      </c>
      <c r="P49" s="38" t="str">
        <f>IF(VLOOKUP(P$2&amp;Balance_Sheet[[#This Row],[Aop]],Data[],1)=P$2&amp;Balance_Sheet[[#This Row],[Aop]],VLOOKUP(P$2&amp;Balance_Sheet[[#This Row],[Aop]],Data[],P$1)/Jedinica,"")</f>
        <v/>
      </c>
      <c r="Q49" s="38" t="str">
        <f>IF(VLOOKUP(Q$2&amp;Balance_Sheet[[#This Row],[Aop]],Data[],1)=Q$2&amp;Balance_Sheet[[#This Row],[Aop]],VLOOKUP(Q$2&amp;Balance_Sheet[[#This Row],[Aop]],Data[],Q$1)/Jedinica,"")</f>
        <v/>
      </c>
      <c r="R49" s="38" t="str">
        <f>IF(VLOOKUP(R$2&amp;Balance_Sheet[[#This Row],[Aop]],Data[],1)=R$2&amp;Balance_Sheet[[#This Row],[Aop]],VLOOKUP(R$2&amp;Balance_Sheet[[#This Row],[Aop]],Data[],R$1)/Jedinica,"")</f>
        <v/>
      </c>
      <c r="S49" s="38" t="str">
        <f>IF(VLOOKUP(S$2&amp;Balance_Sheet[[#This Row],[Aop]],Data[],1)=S$2&amp;Balance_Sheet[[#This Row],[Aop]],VLOOKUP(S$2&amp;Balance_Sheet[[#This Row],[Aop]],Data[],S$1)/Jedinica,"")</f>
        <v/>
      </c>
      <c r="T49" s="38" t="str">
        <f>IF(VLOOKUP(T$2&amp;Balance_Sheet[[#This Row],[Aop]],Data[],1)=T$2&amp;Balance_Sheet[[#This Row],[Aop]],VLOOKUP(T$2&amp;Balance_Sheet[[#This Row],[Aop]],Data[],T$1)/Jedinica,"")</f>
        <v/>
      </c>
      <c r="U49" s="38">
        <f>IF(VLOOKUP(U$2&amp;Balance_Sheet[[#This Row],[Aop]],Data[],1)=U$2&amp;Balance_Sheet[[#This Row],[Aop]],VLOOKUP(U$2&amp;Balance_Sheet[[#This Row],[Aop]],Data[],U$1)/Jedinica,"")</f>
        <v>0</v>
      </c>
      <c r="V49" s="38">
        <f>IF(VLOOKUP(V$2&amp;Balance_Sheet[[#This Row],[Aop]],Data[],1)=V$2&amp;Balance_Sheet[[#This Row],[Aop]],VLOOKUP(V$2&amp;Balance_Sheet[[#This Row],[Aop]],Data[],V$1)/Jedinica,"")</f>
        <v>0</v>
      </c>
      <c r="W49" s="38">
        <f>IF(VLOOKUP(W$2&amp;Balance_Sheet[[#This Row],[Aop]],Data[],1)=W$2&amp;Balance_Sheet[[#This Row],[Aop]],VLOOKUP(W$2&amp;Balance_Sheet[[#This Row],[Aop]],Data[],W$1)/Jedinica,"")</f>
        <v>0</v>
      </c>
      <c r="X49" s="38">
        <f>IF(VLOOKUP(X$2&amp;Balance_Sheet[[#This Row],[Aop]],Data[],1)=X$2&amp;Balance_Sheet[[#This Row],[Aop]],VLOOKUP(X$2&amp;Balance_Sheet[[#This Row],[Aop]],Data[],X$1)/Jedinica,"")</f>
        <v>3873980</v>
      </c>
      <c r="Y49" s="38" t="str">
        <f>IF(VLOOKUP(Y$2&amp;Balance_Sheet[[#This Row],[Aop]],Data[],1)=Y$2&amp;Balance_Sheet[[#This Row],[Aop]],VLOOKUP(Y$2&amp;Balance_Sheet[[#This Row],[Aop]],Data[],Y$1)/Jedinica,"")</f>
        <v/>
      </c>
      <c r="Z49" s="38" t="str">
        <f>IF(VLOOKUP(Z$2&amp;Balance_Sheet[[#This Row],[Aop]],Data[],1)=Z$2&amp;Balance_Sheet[[#This Row],[Aop]],VLOOKUP(Z$2&amp;Balance_Sheet[[#This Row],[Aop]],Data[],Z$1)/Jedinica,"")</f>
        <v/>
      </c>
      <c r="AA49" s="38" t="str">
        <f>IF(VLOOKUP(AA$2&amp;Balance_Sheet[[#This Row],[Aop]],Data[],1)=AA$2&amp;Balance_Sheet[[#This Row],[Aop]],VLOOKUP(AA$2&amp;Balance_Sheet[[#This Row],[Aop]],Data[],AA$1)/Jedinica,"")</f>
        <v/>
      </c>
      <c r="AB49" s="38" t="str">
        <f>IF(VLOOKUP(AB$2&amp;Balance_Sheet[[#This Row],[Aop]],Data[],1)=AB$2&amp;Balance_Sheet[[#This Row],[Aop]],VLOOKUP(AB$2&amp;Balance_Sheet[[#This Row],[Aop]],Data[],AB$1)/Jedinica,"")</f>
        <v/>
      </c>
      <c r="AC49" s="38" t="str">
        <f>IF(VLOOKUP(AC$2&amp;Balance_Sheet[[#This Row],[Aop]],Data[],1)=AC$2&amp;Balance_Sheet[[#This Row],[Aop]],VLOOKUP(AC$2&amp;Balance_Sheet[[#This Row],[Aop]],Data[],AC$1)/Jedinica,"")</f>
        <v/>
      </c>
      <c r="AD49" s="38" t="str">
        <f>IF(VLOOKUP(AD$2&amp;Balance_Sheet[[#This Row],[Aop]],Data[],1)=AD$2&amp;Balance_Sheet[[#This Row],[Aop]],VLOOKUP(AD$2&amp;Balance_Sheet[[#This Row],[Aop]],Data[],AD$1)/Jedinica,"")</f>
        <v/>
      </c>
      <c r="AE49" s="38" t="str">
        <f>IF(VLOOKUP(AE$2&amp;Balance_Sheet[[#This Row],[Aop]],Data[],1)=AE$2&amp;Balance_Sheet[[#This Row],[Aop]],VLOOKUP(AE$2&amp;Balance_Sheet[[#This Row],[Aop]],Data[],AE$1)/Jedinica,"")</f>
        <v/>
      </c>
      <c r="AF49" s="38" t="str">
        <f>IF(VLOOKUP(AF$2&amp;Balance_Sheet[[#This Row],[Aop]],Data[],1)=AF$2&amp;Balance_Sheet[[#This Row],[Aop]],VLOOKUP(AF$2&amp;Balance_Sheet[[#This Row],[Aop]],Data[],AF$1)/Jedinica,"")</f>
        <v/>
      </c>
    </row>
    <row r="50" spans="1:32" ht="12.75" customHeight="1" x14ac:dyDescent="0.2">
      <c r="A50" s="74">
        <v>45</v>
      </c>
      <c r="B50" s="75">
        <v>3</v>
      </c>
      <c r="C50" s="76" t="str">
        <f>VLOOKUP(Balance_Sheet[[#This Row],[No]],AOP_Balance,3,0)</f>
        <v>044</v>
      </c>
      <c r="D50" s="52" t="str">
        <f>VLOOKUP(Balance_Sheet[[#This Row],[No]],AOP_Balance,7,0)</f>
        <v xml:space="preserve">      v) Nematerijalna sredstva uzeta u finansijski lizing</v>
      </c>
      <c r="E50" s="38" t="str">
        <f>IF(VLOOKUP(E$2&amp;Balance_Sheet[[#This Row],[Aop]],Data[],1)=E$2&amp;Balance_Sheet[[#This Row],[Aop]],VLOOKUP(E$2&amp;Balance_Sheet[[#This Row],[Aop]],Data[],E$1)/Jedinica,"")</f>
        <v/>
      </c>
      <c r="F50" s="38" t="str">
        <f>IF(VLOOKUP(F$2&amp;Balance_Sheet[[#This Row],[Aop]],Data[],1)=F$2&amp;Balance_Sheet[[#This Row],[Aop]],VLOOKUP(F$2&amp;Balance_Sheet[[#This Row],[Aop]],Data[],F$1)/Jedinica,"")</f>
        <v/>
      </c>
      <c r="G50" s="38" t="str">
        <f>IF(VLOOKUP(G$2&amp;Balance_Sheet[[#This Row],[Aop]],Data[],1)=G$2&amp;Balance_Sheet[[#This Row],[Aop]],VLOOKUP(G$2&amp;Balance_Sheet[[#This Row],[Aop]],Data[],G$1)/Jedinica,"")</f>
        <v/>
      </c>
      <c r="H50" s="38" t="str">
        <f>IF(VLOOKUP(H$2&amp;Balance_Sheet[[#This Row],[Aop]],Data[],1)=H$2&amp;Balance_Sheet[[#This Row],[Aop]],VLOOKUP(H$2&amp;Balance_Sheet[[#This Row],[Aop]],Data[],H$1)/Jedinica,"")</f>
        <v/>
      </c>
      <c r="I50" s="38" t="str">
        <f>IF(VLOOKUP(I$2&amp;Balance_Sheet[[#This Row],[Aop]],Data[],1)=I$2&amp;Balance_Sheet[[#This Row],[Aop]],VLOOKUP(I$2&amp;Balance_Sheet[[#This Row],[Aop]],Data[],I$1)/Jedinica,"")</f>
        <v/>
      </c>
      <c r="J50" s="38" t="str">
        <f>IF(VLOOKUP(J$2&amp;Balance_Sheet[[#This Row],[Aop]],Data[],1)=J$2&amp;Balance_Sheet[[#This Row],[Aop]],VLOOKUP(J$2&amp;Balance_Sheet[[#This Row],[Aop]],Data[],J$1)/Jedinica,"")</f>
        <v/>
      </c>
      <c r="K50" s="38" t="str">
        <f>IF(VLOOKUP(K$2&amp;Balance_Sheet[[#This Row],[Aop]],Data[],1)=K$2&amp;Balance_Sheet[[#This Row],[Aop]],VLOOKUP(K$2&amp;Balance_Sheet[[#This Row],[Aop]],Data[],K$1)/Jedinica,"")</f>
        <v/>
      </c>
      <c r="L50" s="38" t="str">
        <f>IF(VLOOKUP(L$2&amp;Balance_Sheet[[#This Row],[Aop]],Data[],1)=L$2&amp;Balance_Sheet[[#This Row],[Aop]],VLOOKUP(L$2&amp;Balance_Sheet[[#This Row],[Aop]],Data[],L$1)/Jedinica,"")</f>
        <v/>
      </c>
      <c r="M50" s="38" t="str">
        <f>IF(VLOOKUP(M$2&amp;Balance_Sheet[[#This Row],[Aop]],Data[],1)=M$2&amp;Balance_Sheet[[#This Row],[Aop]],VLOOKUP(M$2&amp;Balance_Sheet[[#This Row],[Aop]],Data[],M$1)/Jedinica,"")</f>
        <v/>
      </c>
      <c r="N50" s="38" t="str">
        <f>IF(VLOOKUP(N$2&amp;Balance_Sheet[[#This Row],[Aop]],Data[],1)=N$2&amp;Balance_Sheet[[#This Row],[Aop]],VLOOKUP(N$2&amp;Balance_Sheet[[#This Row],[Aop]],Data[],N$1)/Jedinica,"")</f>
        <v/>
      </c>
      <c r="O50" s="38" t="str">
        <f>IF(VLOOKUP(O$2&amp;Balance_Sheet[[#This Row],[Aop]],Data[],1)=O$2&amp;Balance_Sheet[[#This Row],[Aop]],VLOOKUP(O$2&amp;Balance_Sheet[[#This Row],[Aop]],Data[],O$1)/Jedinica,"")</f>
        <v/>
      </c>
      <c r="P50" s="38" t="str">
        <f>IF(VLOOKUP(P$2&amp;Balance_Sheet[[#This Row],[Aop]],Data[],1)=P$2&amp;Balance_Sheet[[#This Row],[Aop]],VLOOKUP(P$2&amp;Balance_Sheet[[#This Row],[Aop]],Data[],P$1)/Jedinica,"")</f>
        <v/>
      </c>
      <c r="Q50" s="38" t="str">
        <f>IF(VLOOKUP(Q$2&amp;Balance_Sheet[[#This Row],[Aop]],Data[],1)=Q$2&amp;Balance_Sheet[[#This Row],[Aop]],VLOOKUP(Q$2&amp;Balance_Sheet[[#This Row],[Aop]],Data[],Q$1)/Jedinica,"")</f>
        <v/>
      </c>
      <c r="R50" s="38" t="str">
        <f>IF(VLOOKUP(R$2&amp;Balance_Sheet[[#This Row],[Aop]],Data[],1)=R$2&amp;Balance_Sheet[[#This Row],[Aop]],VLOOKUP(R$2&amp;Balance_Sheet[[#This Row],[Aop]],Data[],R$1)/Jedinica,"")</f>
        <v/>
      </c>
      <c r="S50" s="38" t="str">
        <f>IF(VLOOKUP(S$2&amp;Balance_Sheet[[#This Row],[Aop]],Data[],1)=S$2&amp;Balance_Sheet[[#This Row],[Aop]],VLOOKUP(S$2&amp;Balance_Sheet[[#This Row],[Aop]],Data[],S$1)/Jedinica,"")</f>
        <v/>
      </c>
      <c r="T50" s="38" t="str">
        <f>IF(VLOOKUP(T$2&amp;Balance_Sheet[[#This Row],[Aop]],Data[],1)=T$2&amp;Balance_Sheet[[#This Row],[Aop]],VLOOKUP(T$2&amp;Balance_Sheet[[#This Row],[Aop]],Data[],T$1)/Jedinica,"")</f>
        <v/>
      </c>
      <c r="U50" s="38" t="str">
        <f>IF(VLOOKUP(U$2&amp;Balance_Sheet[[#This Row],[Aop]],Data[],1)=U$2&amp;Balance_Sheet[[#This Row],[Aop]],VLOOKUP(U$2&amp;Balance_Sheet[[#This Row],[Aop]],Data[],U$1)/Jedinica,"")</f>
        <v/>
      </c>
      <c r="V50" s="38" t="str">
        <f>IF(VLOOKUP(V$2&amp;Balance_Sheet[[#This Row],[Aop]],Data[],1)=V$2&amp;Balance_Sheet[[#This Row],[Aop]],VLOOKUP(V$2&amp;Balance_Sheet[[#This Row],[Aop]],Data[],V$1)/Jedinica,"")</f>
        <v/>
      </c>
      <c r="W50" s="38" t="str">
        <f>IF(VLOOKUP(W$2&amp;Balance_Sheet[[#This Row],[Aop]],Data[],1)=W$2&amp;Balance_Sheet[[#This Row],[Aop]],VLOOKUP(W$2&amp;Balance_Sheet[[#This Row],[Aop]],Data[],W$1)/Jedinica,"")</f>
        <v/>
      </c>
      <c r="X50" s="38" t="str">
        <f>IF(VLOOKUP(X$2&amp;Balance_Sheet[[#This Row],[Aop]],Data[],1)=X$2&amp;Balance_Sheet[[#This Row],[Aop]],VLOOKUP(X$2&amp;Balance_Sheet[[#This Row],[Aop]],Data[],X$1)/Jedinica,"")</f>
        <v/>
      </c>
      <c r="Y50" s="38" t="str">
        <f>IF(VLOOKUP(Y$2&amp;Balance_Sheet[[#This Row],[Aop]],Data[],1)=Y$2&amp;Balance_Sheet[[#This Row],[Aop]],VLOOKUP(Y$2&amp;Balance_Sheet[[#This Row],[Aop]],Data[],Y$1)/Jedinica,"")</f>
        <v/>
      </c>
      <c r="Z50" s="38" t="str">
        <f>IF(VLOOKUP(Z$2&amp;Balance_Sheet[[#This Row],[Aop]],Data[],1)=Z$2&amp;Balance_Sheet[[#This Row],[Aop]],VLOOKUP(Z$2&amp;Balance_Sheet[[#This Row],[Aop]],Data[],Z$1)/Jedinica,"")</f>
        <v/>
      </c>
      <c r="AA50" s="38" t="str">
        <f>IF(VLOOKUP(AA$2&amp;Balance_Sheet[[#This Row],[Aop]],Data[],1)=AA$2&amp;Balance_Sheet[[#This Row],[Aop]],VLOOKUP(AA$2&amp;Balance_Sheet[[#This Row],[Aop]],Data[],AA$1)/Jedinica,"")</f>
        <v/>
      </c>
      <c r="AB50" s="38" t="str">
        <f>IF(VLOOKUP(AB$2&amp;Balance_Sheet[[#This Row],[Aop]],Data[],1)=AB$2&amp;Balance_Sheet[[#This Row],[Aop]],VLOOKUP(AB$2&amp;Balance_Sheet[[#This Row],[Aop]],Data[],AB$1)/Jedinica,"")</f>
        <v/>
      </c>
      <c r="AC50" s="38" t="str">
        <f>IF(VLOOKUP(AC$2&amp;Balance_Sheet[[#This Row],[Aop]],Data[],1)=AC$2&amp;Balance_Sheet[[#This Row],[Aop]],VLOOKUP(AC$2&amp;Balance_Sheet[[#This Row],[Aop]],Data[],AC$1)/Jedinica,"")</f>
        <v/>
      </c>
      <c r="AD50" s="38" t="str">
        <f>IF(VLOOKUP(AD$2&amp;Balance_Sheet[[#This Row],[Aop]],Data[],1)=AD$2&amp;Balance_Sheet[[#This Row],[Aop]],VLOOKUP(AD$2&amp;Balance_Sheet[[#This Row],[Aop]],Data[],AD$1)/Jedinica,"")</f>
        <v/>
      </c>
      <c r="AE50" s="38" t="str">
        <f>IF(VLOOKUP(AE$2&amp;Balance_Sheet[[#This Row],[Aop]],Data[],1)=AE$2&amp;Balance_Sheet[[#This Row],[Aop]],VLOOKUP(AE$2&amp;Balance_Sheet[[#This Row],[Aop]],Data[],AE$1)/Jedinica,"")</f>
        <v/>
      </c>
      <c r="AF50" s="38" t="str">
        <f>IF(VLOOKUP(AF$2&amp;Balance_Sheet[[#This Row],[Aop]],Data[],1)=AF$2&amp;Balance_Sheet[[#This Row],[Aop]],VLOOKUP(AF$2&amp;Balance_Sheet[[#This Row],[Aop]],Data[],AF$1)/Jedinica,"")</f>
        <v/>
      </c>
    </row>
    <row r="51" spans="1:32" ht="12.75" customHeight="1" x14ac:dyDescent="0.2">
      <c r="A51" s="74">
        <v>46</v>
      </c>
      <c r="B51" s="75">
        <v>3</v>
      </c>
      <c r="C51" s="76" t="str">
        <f>VLOOKUP(Balance_Sheet[[#This Row],[No]],AOP_Balance,3,0)</f>
        <v>045</v>
      </c>
      <c r="D51" s="52" t="str">
        <f>VLOOKUP(Balance_Sheet[[#This Row],[No]],AOP_Balance,7,0)</f>
        <v xml:space="preserve">      g) Ostala nematerijalna sredstva</v>
      </c>
      <c r="E51" s="38">
        <f>IF(VLOOKUP(E$2&amp;Balance_Sheet[[#This Row],[Aop]],Data[],1)=E$2&amp;Balance_Sheet[[#This Row],[Aop]],VLOOKUP(E$2&amp;Balance_Sheet[[#This Row],[Aop]],Data[],E$1)/Jedinica,"")</f>
        <v>1748842</v>
      </c>
      <c r="F51" s="38">
        <f>IF(VLOOKUP(F$2&amp;Balance_Sheet[[#This Row],[Aop]],Data[],1)=F$2&amp;Balance_Sheet[[#This Row],[Aop]],VLOOKUP(F$2&amp;Balance_Sheet[[#This Row],[Aop]],Data[],F$1)/Jedinica,"")</f>
        <v>1436554</v>
      </c>
      <c r="G51" s="38">
        <f>IF(VLOOKUP(G$2&amp;Balance_Sheet[[#This Row],[Aop]],Data[],1)=G$2&amp;Balance_Sheet[[#This Row],[Aop]],VLOOKUP(G$2&amp;Balance_Sheet[[#This Row],[Aop]],Data[],G$1)/Jedinica,"")</f>
        <v>312288</v>
      </c>
      <c r="H51" s="38">
        <f>IF(VLOOKUP(H$2&amp;Balance_Sheet[[#This Row],[Aop]],Data[],1)=H$2&amp;Balance_Sheet[[#This Row],[Aop]],VLOOKUP(H$2&amp;Balance_Sheet[[#This Row],[Aop]],Data[],H$1)/Jedinica,"")</f>
        <v>353910</v>
      </c>
      <c r="I51" s="38">
        <f>IF(VLOOKUP(I$2&amp;Balance_Sheet[[#This Row],[Aop]],Data[],1)=I$2&amp;Balance_Sheet[[#This Row],[Aop]],VLOOKUP(I$2&amp;Balance_Sheet[[#This Row],[Aop]],Data[],I$1)/Jedinica,"")</f>
        <v>3566975</v>
      </c>
      <c r="J51" s="38">
        <f>IF(VLOOKUP(J$2&amp;Balance_Sheet[[#This Row],[Aop]],Data[],1)=J$2&amp;Balance_Sheet[[#This Row],[Aop]],VLOOKUP(J$2&amp;Balance_Sheet[[#This Row],[Aop]],Data[],J$1)/Jedinica,"")</f>
        <v>2614864</v>
      </c>
      <c r="K51" s="38">
        <f>IF(VLOOKUP(K$2&amp;Balance_Sheet[[#This Row],[Aop]],Data[],1)=K$2&amp;Balance_Sheet[[#This Row],[Aop]],VLOOKUP(K$2&amp;Balance_Sheet[[#This Row],[Aop]],Data[],K$1)/Jedinica,"")</f>
        <v>952111</v>
      </c>
      <c r="L51" s="38">
        <f>IF(VLOOKUP(L$2&amp;Balance_Sheet[[#This Row],[Aop]],Data[],1)=L$2&amp;Balance_Sheet[[#This Row],[Aop]],VLOOKUP(L$2&amp;Balance_Sheet[[#This Row],[Aop]],Data[],L$1)/Jedinica,"")</f>
        <v>841226</v>
      </c>
      <c r="M51" s="38">
        <f>IF(VLOOKUP(M$2&amp;Balance_Sheet[[#This Row],[Aop]],Data[],1)=M$2&amp;Balance_Sheet[[#This Row],[Aop]],VLOOKUP(M$2&amp;Balance_Sheet[[#This Row],[Aop]],Data[],M$1)/Jedinica,"")</f>
        <v>2250495</v>
      </c>
      <c r="N51" s="38">
        <f>IF(VLOOKUP(N$2&amp;Balance_Sheet[[#This Row],[Aop]],Data[],1)=N$2&amp;Balance_Sheet[[#This Row],[Aop]],VLOOKUP(N$2&amp;Balance_Sheet[[#This Row],[Aop]],Data[],N$1)/Jedinica,"")</f>
        <v>1811530</v>
      </c>
      <c r="O51" s="38">
        <f>IF(VLOOKUP(O$2&amp;Balance_Sheet[[#This Row],[Aop]],Data[],1)=O$2&amp;Balance_Sheet[[#This Row],[Aop]],VLOOKUP(O$2&amp;Balance_Sheet[[#This Row],[Aop]],Data[],O$1)/Jedinica,"")</f>
        <v>438965</v>
      </c>
      <c r="P51" s="38">
        <f>IF(VLOOKUP(P$2&amp;Balance_Sheet[[#This Row],[Aop]],Data[],1)=P$2&amp;Balance_Sheet[[#This Row],[Aop]],VLOOKUP(P$2&amp;Balance_Sheet[[#This Row],[Aop]],Data[],P$1)/Jedinica,"")</f>
        <v>406428</v>
      </c>
      <c r="Q51" s="38">
        <f>IF(VLOOKUP(Q$2&amp;Balance_Sheet[[#This Row],[Aop]],Data[],1)=Q$2&amp;Balance_Sheet[[#This Row],[Aop]],VLOOKUP(Q$2&amp;Balance_Sheet[[#This Row],[Aop]],Data[],Q$1)/Jedinica,"")</f>
        <v>846879</v>
      </c>
      <c r="R51" s="38">
        <f>IF(VLOOKUP(R$2&amp;Balance_Sheet[[#This Row],[Aop]],Data[],1)=R$2&amp;Balance_Sheet[[#This Row],[Aop]],VLOOKUP(R$2&amp;Balance_Sheet[[#This Row],[Aop]],Data[],R$1)/Jedinica,"")</f>
        <v>548282</v>
      </c>
      <c r="S51" s="38">
        <f>IF(VLOOKUP(S$2&amp;Balance_Sheet[[#This Row],[Aop]],Data[],1)=S$2&amp;Balance_Sheet[[#This Row],[Aop]],VLOOKUP(S$2&amp;Balance_Sheet[[#This Row],[Aop]],Data[],S$1)/Jedinica,"")</f>
        <v>298597</v>
      </c>
      <c r="T51" s="38">
        <f>IF(VLOOKUP(T$2&amp;Balance_Sheet[[#This Row],[Aop]],Data[],1)=T$2&amp;Balance_Sheet[[#This Row],[Aop]],VLOOKUP(T$2&amp;Balance_Sheet[[#This Row],[Aop]],Data[],T$1)/Jedinica,"")</f>
        <v>384579</v>
      </c>
      <c r="U51" s="38">
        <f>IF(VLOOKUP(U$2&amp;Balance_Sheet[[#This Row],[Aop]],Data[],1)=U$2&amp;Balance_Sheet[[#This Row],[Aop]],VLOOKUP(U$2&amp;Balance_Sheet[[#This Row],[Aop]],Data[],U$1)/Jedinica,"")</f>
        <v>18081931</v>
      </c>
      <c r="V51" s="38">
        <f>IF(VLOOKUP(V$2&amp;Balance_Sheet[[#This Row],[Aop]],Data[],1)=V$2&amp;Balance_Sheet[[#This Row],[Aop]],VLOOKUP(V$2&amp;Balance_Sheet[[#This Row],[Aop]],Data[],V$1)/Jedinica,"")</f>
        <v>14957851</v>
      </c>
      <c r="W51" s="38">
        <f>IF(VLOOKUP(W$2&amp;Balance_Sheet[[#This Row],[Aop]],Data[],1)=W$2&amp;Balance_Sheet[[#This Row],[Aop]],VLOOKUP(W$2&amp;Balance_Sheet[[#This Row],[Aop]],Data[],W$1)/Jedinica,"")</f>
        <v>3124080</v>
      </c>
      <c r="X51" s="38">
        <f>IF(VLOOKUP(X$2&amp;Balance_Sheet[[#This Row],[Aop]],Data[],1)=X$2&amp;Balance_Sheet[[#This Row],[Aop]],VLOOKUP(X$2&amp;Balance_Sheet[[#This Row],[Aop]],Data[],X$1)/Jedinica,"")</f>
        <v>0</v>
      </c>
      <c r="Y51" s="38">
        <f>IF(VLOOKUP(Y$2&amp;Balance_Sheet[[#This Row],[Aop]],Data[],1)=Y$2&amp;Balance_Sheet[[#This Row],[Aop]],VLOOKUP(Y$2&amp;Balance_Sheet[[#This Row],[Aop]],Data[],Y$1)/Jedinica,"")</f>
        <v>846879</v>
      </c>
      <c r="Z51" s="38">
        <f>IF(VLOOKUP(Z$2&amp;Balance_Sheet[[#This Row],[Aop]],Data[],1)=Z$2&amp;Balance_Sheet[[#This Row],[Aop]],VLOOKUP(Z$2&amp;Balance_Sheet[[#This Row],[Aop]],Data[],Z$1)/Jedinica,"")</f>
        <v>548282</v>
      </c>
      <c r="AA51" s="38">
        <f>IF(VLOOKUP(AA$2&amp;Balance_Sheet[[#This Row],[Aop]],Data[],1)=AA$2&amp;Balance_Sheet[[#This Row],[Aop]],VLOOKUP(AA$2&amp;Balance_Sheet[[#This Row],[Aop]],Data[],AA$1)/Jedinica,"")</f>
        <v>298597</v>
      </c>
      <c r="AB51" s="38">
        <f>IF(VLOOKUP(AB$2&amp;Balance_Sheet[[#This Row],[Aop]],Data[],1)=AB$2&amp;Balance_Sheet[[#This Row],[Aop]],VLOOKUP(AB$2&amp;Balance_Sheet[[#This Row],[Aop]],Data[],AB$1)/Jedinica,"")</f>
        <v>384579</v>
      </c>
      <c r="AC51" s="38">
        <f>IF(VLOOKUP(AC$2&amp;Balance_Sheet[[#This Row],[Aop]],Data[],1)=AC$2&amp;Balance_Sheet[[#This Row],[Aop]],VLOOKUP(AC$2&amp;Balance_Sheet[[#This Row],[Aop]],Data[],AC$1)/Jedinica,"")</f>
        <v>4798825</v>
      </c>
      <c r="AD51" s="38">
        <f>IF(VLOOKUP(AD$2&amp;Balance_Sheet[[#This Row],[Aop]],Data[],1)=AD$2&amp;Balance_Sheet[[#This Row],[Aop]],VLOOKUP(AD$2&amp;Balance_Sheet[[#This Row],[Aop]],Data[],AD$1)/Jedinica,"")</f>
        <v>4444933</v>
      </c>
      <c r="AE51" s="38">
        <f>IF(VLOOKUP(AE$2&amp;Balance_Sheet[[#This Row],[Aop]],Data[],1)=AE$2&amp;Balance_Sheet[[#This Row],[Aop]],VLOOKUP(AE$2&amp;Balance_Sheet[[#This Row],[Aop]],Data[],AE$1)/Jedinica,"")</f>
        <v>353892</v>
      </c>
      <c r="AF51" s="38">
        <f>IF(VLOOKUP(AF$2&amp;Balance_Sheet[[#This Row],[Aop]],Data[],1)=AF$2&amp;Balance_Sheet[[#This Row],[Aop]],VLOOKUP(AF$2&amp;Balance_Sheet[[#This Row],[Aop]],Data[],AF$1)/Jedinica,"")</f>
        <v>323460</v>
      </c>
    </row>
    <row r="52" spans="1:32" ht="12.75" customHeight="1" x14ac:dyDescent="0.2">
      <c r="A52" s="74">
        <v>47</v>
      </c>
      <c r="B52" s="75">
        <v>3</v>
      </c>
      <c r="C52" s="76" t="str">
        <f>VLOOKUP(Balance_Sheet[[#This Row],[No]],AOP_Balance,3,0)</f>
        <v>046</v>
      </c>
      <c r="D52" s="52" t="str">
        <f>VLOOKUP(Balance_Sheet[[#This Row],[No]],AOP_Balance,7,0)</f>
        <v xml:space="preserve">      d) Avansi i nematerijalna sredstva u pripremi</v>
      </c>
      <c r="E52" s="39" t="str">
        <f>IF(VLOOKUP(E$2&amp;Balance_Sheet[[#This Row],[Aop]],Data[],1)=E$2&amp;Balance_Sheet[[#This Row],[Aop]],VLOOKUP(E$2&amp;Balance_Sheet[[#This Row],[Aop]],Data[],E$1)/Jedinica,"")</f>
        <v/>
      </c>
      <c r="F52" s="39" t="str">
        <f>IF(VLOOKUP(F$2&amp;Balance_Sheet[[#This Row],[Aop]],Data[],1)=F$2&amp;Balance_Sheet[[#This Row],[Aop]],VLOOKUP(F$2&amp;Balance_Sheet[[#This Row],[Aop]],Data[],F$1)/Jedinica,"")</f>
        <v/>
      </c>
      <c r="G52" s="38" t="str">
        <f>IF(VLOOKUP(G$2&amp;Balance_Sheet[[#This Row],[Aop]],Data[],1)=G$2&amp;Balance_Sheet[[#This Row],[Aop]],VLOOKUP(G$2&amp;Balance_Sheet[[#This Row],[Aop]],Data[],G$1)/Jedinica,"")</f>
        <v/>
      </c>
      <c r="H52" s="39" t="str">
        <f>IF(VLOOKUP(H$2&amp;Balance_Sheet[[#This Row],[Aop]],Data[],1)=H$2&amp;Balance_Sheet[[#This Row],[Aop]],VLOOKUP(H$2&amp;Balance_Sheet[[#This Row],[Aop]],Data[],H$1)/Jedinica,"")</f>
        <v/>
      </c>
      <c r="I52" s="39">
        <f>IF(VLOOKUP(I$2&amp;Balance_Sheet[[#This Row],[Aop]],Data[],1)=I$2&amp;Balance_Sheet[[#This Row],[Aop]],VLOOKUP(I$2&amp;Balance_Sheet[[#This Row],[Aop]],Data[],I$1)/Jedinica,"")</f>
        <v>7448</v>
      </c>
      <c r="J52" s="39">
        <f>IF(VLOOKUP(J$2&amp;Balance_Sheet[[#This Row],[Aop]],Data[],1)=J$2&amp;Balance_Sheet[[#This Row],[Aop]],VLOOKUP(J$2&amp;Balance_Sheet[[#This Row],[Aop]],Data[],J$1)/Jedinica,"")</f>
        <v>0</v>
      </c>
      <c r="K52" s="38">
        <f>IF(VLOOKUP(K$2&amp;Balance_Sheet[[#This Row],[Aop]],Data[],1)=K$2&amp;Balance_Sheet[[#This Row],[Aop]],VLOOKUP(K$2&amp;Balance_Sheet[[#This Row],[Aop]],Data[],K$1)/Jedinica,"")</f>
        <v>7448</v>
      </c>
      <c r="L52" s="39">
        <f>IF(VLOOKUP(L$2&amp;Balance_Sheet[[#This Row],[Aop]],Data[],1)=L$2&amp;Balance_Sheet[[#This Row],[Aop]],VLOOKUP(L$2&amp;Balance_Sheet[[#This Row],[Aop]],Data[],L$1)/Jedinica,"")</f>
        <v>189631</v>
      </c>
      <c r="M52" s="39">
        <f>IF(VLOOKUP(M$2&amp;Balance_Sheet[[#This Row],[Aop]],Data[],1)=M$2&amp;Balance_Sheet[[#This Row],[Aop]],VLOOKUP(M$2&amp;Balance_Sheet[[#This Row],[Aop]],Data[],M$1)/Jedinica,"")</f>
        <v>68360</v>
      </c>
      <c r="N52" s="39">
        <f>IF(VLOOKUP(N$2&amp;Balance_Sheet[[#This Row],[Aop]],Data[],1)=N$2&amp;Balance_Sheet[[#This Row],[Aop]],VLOOKUP(N$2&amp;Balance_Sheet[[#This Row],[Aop]],Data[],N$1)/Jedinica,"")</f>
        <v>0</v>
      </c>
      <c r="O52" s="38">
        <f>IF(VLOOKUP(O$2&amp;Balance_Sheet[[#This Row],[Aop]],Data[],1)=O$2&amp;Balance_Sheet[[#This Row],[Aop]],VLOOKUP(O$2&amp;Balance_Sheet[[#This Row],[Aop]],Data[],O$1)/Jedinica,"")</f>
        <v>68360</v>
      </c>
      <c r="P52" s="39">
        <f>IF(VLOOKUP(P$2&amp;Balance_Sheet[[#This Row],[Aop]],Data[],1)=P$2&amp;Balance_Sheet[[#This Row],[Aop]],VLOOKUP(P$2&amp;Balance_Sheet[[#This Row],[Aop]],Data[],P$1)/Jedinica,"")</f>
        <v>108253</v>
      </c>
      <c r="Q52" s="39" t="str">
        <f>IF(VLOOKUP(Q$2&amp;Balance_Sheet[[#This Row],[Aop]],Data[],1)=Q$2&amp;Balance_Sheet[[#This Row],[Aop]],VLOOKUP(Q$2&amp;Balance_Sheet[[#This Row],[Aop]],Data[],Q$1)/Jedinica,"")</f>
        <v/>
      </c>
      <c r="R52" s="39" t="str">
        <f>IF(VLOOKUP(R$2&amp;Balance_Sheet[[#This Row],[Aop]],Data[],1)=R$2&amp;Balance_Sheet[[#This Row],[Aop]],VLOOKUP(R$2&amp;Balance_Sheet[[#This Row],[Aop]],Data[],R$1)/Jedinica,"")</f>
        <v/>
      </c>
      <c r="S52" s="38" t="str">
        <f>IF(VLOOKUP(S$2&amp;Balance_Sheet[[#This Row],[Aop]],Data[],1)=S$2&amp;Balance_Sheet[[#This Row],[Aop]],VLOOKUP(S$2&amp;Balance_Sheet[[#This Row],[Aop]],Data[],S$1)/Jedinica,"")</f>
        <v/>
      </c>
      <c r="T52" s="39" t="str">
        <f>IF(VLOOKUP(T$2&amp;Balance_Sheet[[#This Row],[Aop]],Data[],1)=T$2&amp;Balance_Sheet[[#This Row],[Aop]],VLOOKUP(T$2&amp;Balance_Sheet[[#This Row],[Aop]],Data[],T$1)/Jedinica,"")</f>
        <v/>
      </c>
      <c r="U52" s="39">
        <f>IF(VLOOKUP(U$2&amp;Balance_Sheet[[#This Row],[Aop]],Data[],1)=U$2&amp;Balance_Sheet[[#This Row],[Aop]],VLOOKUP(U$2&amp;Balance_Sheet[[#This Row],[Aop]],Data[],U$1)/Jedinica,"")</f>
        <v>890948</v>
      </c>
      <c r="V52" s="39">
        <f>IF(VLOOKUP(V$2&amp;Balance_Sheet[[#This Row],[Aop]],Data[],1)=V$2&amp;Balance_Sheet[[#This Row],[Aop]],VLOOKUP(V$2&amp;Balance_Sheet[[#This Row],[Aop]],Data[],V$1)/Jedinica,"")</f>
        <v>0</v>
      </c>
      <c r="W52" s="38">
        <f>IF(VLOOKUP(W$2&amp;Balance_Sheet[[#This Row],[Aop]],Data[],1)=W$2&amp;Balance_Sheet[[#This Row],[Aop]],VLOOKUP(W$2&amp;Balance_Sheet[[#This Row],[Aop]],Data[],W$1)/Jedinica,"")</f>
        <v>890948</v>
      </c>
      <c r="X52" s="39">
        <f>IF(VLOOKUP(X$2&amp;Balance_Sheet[[#This Row],[Aop]],Data[],1)=X$2&amp;Balance_Sheet[[#This Row],[Aop]],VLOOKUP(X$2&amp;Balance_Sheet[[#This Row],[Aop]],Data[],X$1)/Jedinica,"")</f>
        <v>783527</v>
      </c>
      <c r="Y52" s="39" t="str">
        <f>IF(VLOOKUP(Y$2&amp;Balance_Sheet[[#This Row],[Aop]],Data[],1)=Y$2&amp;Balance_Sheet[[#This Row],[Aop]],VLOOKUP(Y$2&amp;Balance_Sheet[[#This Row],[Aop]],Data[],Y$1)/Jedinica,"")</f>
        <v/>
      </c>
      <c r="Z52" s="39" t="str">
        <f>IF(VLOOKUP(Z$2&amp;Balance_Sheet[[#This Row],[Aop]],Data[],1)=Z$2&amp;Balance_Sheet[[#This Row],[Aop]],VLOOKUP(Z$2&amp;Balance_Sheet[[#This Row],[Aop]],Data[],Z$1)/Jedinica,"")</f>
        <v/>
      </c>
      <c r="AA52" s="38" t="str">
        <f>IF(VLOOKUP(AA$2&amp;Balance_Sheet[[#This Row],[Aop]],Data[],1)=AA$2&amp;Balance_Sheet[[#This Row],[Aop]],VLOOKUP(AA$2&amp;Balance_Sheet[[#This Row],[Aop]],Data[],AA$1)/Jedinica,"")</f>
        <v/>
      </c>
      <c r="AB52" s="39" t="str">
        <f>IF(VLOOKUP(AB$2&amp;Balance_Sheet[[#This Row],[Aop]],Data[],1)=AB$2&amp;Balance_Sheet[[#This Row],[Aop]],VLOOKUP(AB$2&amp;Balance_Sheet[[#This Row],[Aop]],Data[],AB$1)/Jedinica,"")</f>
        <v/>
      </c>
      <c r="AC52" s="39" t="str">
        <f>IF(VLOOKUP(AC$2&amp;Balance_Sheet[[#This Row],[Aop]],Data[],1)=AC$2&amp;Balance_Sheet[[#This Row],[Aop]],VLOOKUP(AC$2&amp;Balance_Sheet[[#This Row],[Aop]],Data[],AC$1)/Jedinica,"")</f>
        <v/>
      </c>
      <c r="AD52" s="39" t="str">
        <f>IF(VLOOKUP(AD$2&amp;Balance_Sheet[[#This Row],[Aop]],Data[],1)=AD$2&amp;Balance_Sheet[[#This Row],[Aop]],VLOOKUP(AD$2&amp;Balance_Sheet[[#This Row],[Aop]],Data[],AD$1)/Jedinica,"")</f>
        <v/>
      </c>
      <c r="AE52" s="38" t="str">
        <f>IF(VLOOKUP(AE$2&amp;Balance_Sheet[[#This Row],[Aop]],Data[],1)=AE$2&amp;Balance_Sheet[[#This Row],[Aop]],VLOOKUP(AE$2&amp;Balance_Sheet[[#This Row],[Aop]],Data[],AE$1)/Jedinica,"")</f>
        <v/>
      </c>
      <c r="AF52" s="39" t="str">
        <f>IF(VLOOKUP(AF$2&amp;Balance_Sheet[[#This Row],[Aop]],Data[],1)=AF$2&amp;Balance_Sheet[[#This Row],[Aop]],VLOOKUP(AF$2&amp;Balance_Sheet[[#This Row],[Aop]],Data[],AF$1)/Jedinica,"")</f>
        <v/>
      </c>
    </row>
    <row r="53" spans="1:32" ht="12.75" customHeight="1" x14ac:dyDescent="0.2">
      <c r="A53" s="74">
        <v>48</v>
      </c>
      <c r="B53" s="75">
        <v>2</v>
      </c>
      <c r="C53" s="77" t="str">
        <f>VLOOKUP(Balance_Sheet[[#This Row],[No]],AOP_Balance,3,0)</f>
        <v>047</v>
      </c>
      <c r="D53" s="52" t="str">
        <f>VLOOKUP(Balance_Sheet[[#This Row],[No]],AOP_Balance,7,0)</f>
        <v xml:space="preserve">    3. Odložena poreska sredstva</v>
      </c>
      <c r="E53" s="38" t="str">
        <f>IF(VLOOKUP(E$2&amp;Balance_Sheet[[#This Row],[Aop]],Data[],1)=E$2&amp;Balance_Sheet[[#This Row],[Aop]],VLOOKUP(E$2&amp;Balance_Sheet[[#This Row],[Aop]],Data[],E$1)/Jedinica,"")</f>
        <v/>
      </c>
      <c r="F53" s="38" t="str">
        <f>IF(VLOOKUP(F$2&amp;Balance_Sheet[[#This Row],[Aop]],Data[],1)=F$2&amp;Balance_Sheet[[#This Row],[Aop]],VLOOKUP(F$2&amp;Balance_Sheet[[#This Row],[Aop]],Data[],F$1)/Jedinica,"")</f>
        <v/>
      </c>
      <c r="G53" s="38" t="str">
        <f>IF(VLOOKUP(G$2&amp;Balance_Sheet[[#This Row],[Aop]],Data[],1)=G$2&amp;Balance_Sheet[[#This Row],[Aop]],VLOOKUP(G$2&amp;Balance_Sheet[[#This Row],[Aop]],Data[],G$1)/Jedinica,"")</f>
        <v/>
      </c>
      <c r="H53" s="38" t="str">
        <f>IF(VLOOKUP(H$2&amp;Balance_Sheet[[#This Row],[Aop]],Data[],1)=H$2&amp;Balance_Sheet[[#This Row],[Aop]],VLOOKUP(H$2&amp;Balance_Sheet[[#This Row],[Aop]],Data[],H$1)/Jedinica,"")</f>
        <v/>
      </c>
      <c r="I53" s="38">
        <f>IF(VLOOKUP(I$2&amp;Balance_Sheet[[#This Row],[Aop]],Data[],1)=I$2&amp;Balance_Sheet[[#This Row],[Aop]],VLOOKUP(I$2&amp;Balance_Sheet[[#This Row],[Aop]],Data[],I$1)/Jedinica,"")</f>
        <v>29462</v>
      </c>
      <c r="J53" s="38">
        <f>IF(VLOOKUP(J$2&amp;Balance_Sheet[[#This Row],[Aop]],Data[],1)=J$2&amp;Balance_Sheet[[#This Row],[Aop]],VLOOKUP(J$2&amp;Balance_Sheet[[#This Row],[Aop]],Data[],J$1)/Jedinica,"")</f>
        <v>0</v>
      </c>
      <c r="K53" s="38">
        <f>IF(VLOOKUP(K$2&amp;Balance_Sheet[[#This Row],[Aop]],Data[],1)=K$2&amp;Balance_Sheet[[#This Row],[Aop]],VLOOKUP(K$2&amp;Balance_Sheet[[#This Row],[Aop]],Data[],K$1)/Jedinica,"")</f>
        <v>29462</v>
      </c>
      <c r="L53" s="38">
        <f>IF(VLOOKUP(L$2&amp;Balance_Sheet[[#This Row],[Aop]],Data[],1)=L$2&amp;Balance_Sheet[[#This Row],[Aop]],VLOOKUP(L$2&amp;Balance_Sheet[[#This Row],[Aop]],Data[],L$1)/Jedinica,"")</f>
        <v>29462</v>
      </c>
      <c r="M53" s="38" t="str">
        <f>IF(VLOOKUP(M$2&amp;Balance_Sheet[[#This Row],[Aop]],Data[],1)=M$2&amp;Balance_Sheet[[#This Row],[Aop]],VLOOKUP(M$2&amp;Balance_Sheet[[#This Row],[Aop]],Data[],M$1)/Jedinica,"")</f>
        <v/>
      </c>
      <c r="N53" s="38" t="str">
        <f>IF(VLOOKUP(N$2&amp;Balance_Sheet[[#This Row],[Aop]],Data[],1)=N$2&amp;Balance_Sheet[[#This Row],[Aop]],VLOOKUP(N$2&amp;Balance_Sheet[[#This Row],[Aop]],Data[],N$1)/Jedinica,"")</f>
        <v/>
      </c>
      <c r="O53" s="38" t="str">
        <f>IF(VLOOKUP(O$2&amp;Balance_Sheet[[#This Row],[Aop]],Data[],1)=O$2&amp;Balance_Sheet[[#This Row],[Aop]],VLOOKUP(O$2&amp;Balance_Sheet[[#This Row],[Aop]],Data[],O$1)/Jedinica,"")</f>
        <v/>
      </c>
      <c r="P53" s="38" t="str">
        <f>IF(VLOOKUP(P$2&amp;Balance_Sheet[[#This Row],[Aop]],Data[],1)=P$2&amp;Balance_Sheet[[#This Row],[Aop]],VLOOKUP(P$2&amp;Balance_Sheet[[#This Row],[Aop]],Data[],P$1)/Jedinica,"")</f>
        <v/>
      </c>
      <c r="Q53" s="38" t="str">
        <f>IF(VLOOKUP(Q$2&amp;Balance_Sheet[[#This Row],[Aop]],Data[],1)=Q$2&amp;Balance_Sheet[[#This Row],[Aop]],VLOOKUP(Q$2&amp;Balance_Sheet[[#This Row],[Aop]],Data[],Q$1)/Jedinica,"")</f>
        <v/>
      </c>
      <c r="R53" s="38" t="str">
        <f>IF(VLOOKUP(R$2&amp;Balance_Sheet[[#This Row],[Aop]],Data[],1)=R$2&amp;Balance_Sheet[[#This Row],[Aop]],VLOOKUP(R$2&amp;Balance_Sheet[[#This Row],[Aop]],Data[],R$1)/Jedinica,"")</f>
        <v/>
      </c>
      <c r="S53" s="38" t="str">
        <f>IF(VLOOKUP(S$2&amp;Balance_Sheet[[#This Row],[Aop]],Data[],1)=S$2&amp;Balance_Sheet[[#This Row],[Aop]],VLOOKUP(S$2&amp;Balance_Sheet[[#This Row],[Aop]],Data[],S$1)/Jedinica,"")</f>
        <v/>
      </c>
      <c r="T53" s="38" t="str">
        <f>IF(VLOOKUP(T$2&amp;Balance_Sheet[[#This Row],[Aop]],Data[],1)=T$2&amp;Balance_Sheet[[#This Row],[Aop]],VLOOKUP(T$2&amp;Balance_Sheet[[#This Row],[Aop]],Data[],T$1)/Jedinica,"")</f>
        <v/>
      </c>
      <c r="U53" s="38">
        <f>IF(VLOOKUP(U$2&amp;Balance_Sheet[[#This Row],[Aop]],Data[],1)=U$2&amp;Balance_Sheet[[#This Row],[Aop]],VLOOKUP(U$2&amp;Balance_Sheet[[#This Row],[Aop]],Data[],U$1)/Jedinica,"")</f>
        <v>23159</v>
      </c>
      <c r="V53" s="38">
        <f>IF(VLOOKUP(V$2&amp;Balance_Sheet[[#This Row],[Aop]],Data[],1)=V$2&amp;Balance_Sheet[[#This Row],[Aop]],VLOOKUP(V$2&amp;Balance_Sheet[[#This Row],[Aop]],Data[],V$1)/Jedinica,"")</f>
        <v>0</v>
      </c>
      <c r="W53" s="38">
        <f>IF(VLOOKUP(W$2&amp;Balance_Sheet[[#This Row],[Aop]],Data[],1)=W$2&amp;Balance_Sheet[[#This Row],[Aop]],VLOOKUP(W$2&amp;Balance_Sheet[[#This Row],[Aop]],Data[],W$1)/Jedinica,"")</f>
        <v>23159</v>
      </c>
      <c r="X53" s="38">
        <f>IF(VLOOKUP(X$2&amp;Balance_Sheet[[#This Row],[Aop]],Data[],1)=X$2&amp;Balance_Sheet[[#This Row],[Aop]],VLOOKUP(X$2&amp;Balance_Sheet[[#This Row],[Aop]],Data[],X$1)/Jedinica,"")</f>
        <v>18985</v>
      </c>
      <c r="Y53" s="38" t="str">
        <f>IF(VLOOKUP(Y$2&amp;Balance_Sheet[[#This Row],[Aop]],Data[],1)=Y$2&amp;Balance_Sheet[[#This Row],[Aop]],VLOOKUP(Y$2&amp;Balance_Sheet[[#This Row],[Aop]],Data[],Y$1)/Jedinica,"")</f>
        <v/>
      </c>
      <c r="Z53" s="38" t="str">
        <f>IF(VLOOKUP(Z$2&amp;Balance_Sheet[[#This Row],[Aop]],Data[],1)=Z$2&amp;Balance_Sheet[[#This Row],[Aop]],VLOOKUP(Z$2&amp;Balance_Sheet[[#This Row],[Aop]],Data[],Z$1)/Jedinica,"")</f>
        <v/>
      </c>
      <c r="AA53" s="38" t="str">
        <f>IF(VLOOKUP(AA$2&amp;Balance_Sheet[[#This Row],[Aop]],Data[],1)=AA$2&amp;Balance_Sheet[[#This Row],[Aop]],VLOOKUP(AA$2&amp;Balance_Sheet[[#This Row],[Aop]],Data[],AA$1)/Jedinica,"")</f>
        <v/>
      </c>
      <c r="AB53" s="38" t="str">
        <f>IF(VLOOKUP(AB$2&amp;Balance_Sheet[[#This Row],[Aop]],Data[],1)=AB$2&amp;Balance_Sheet[[#This Row],[Aop]],VLOOKUP(AB$2&amp;Balance_Sheet[[#This Row],[Aop]],Data[],AB$1)/Jedinica,"")</f>
        <v/>
      </c>
      <c r="AC53" s="38">
        <f>IF(VLOOKUP(AC$2&amp;Balance_Sheet[[#This Row],[Aop]],Data[],1)=AC$2&amp;Balance_Sheet[[#This Row],[Aop]],VLOOKUP(AC$2&amp;Balance_Sheet[[#This Row],[Aop]],Data[],AC$1)/Jedinica,"")</f>
        <v>588776</v>
      </c>
      <c r="AD53" s="38">
        <f>IF(VLOOKUP(AD$2&amp;Balance_Sheet[[#This Row],[Aop]],Data[],1)=AD$2&amp;Balance_Sheet[[#This Row],[Aop]],VLOOKUP(AD$2&amp;Balance_Sheet[[#This Row],[Aop]],Data[],AD$1)/Jedinica,"")</f>
        <v>0</v>
      </c>
      <c r="AE53" s="38">
        <f>IF(VLOOKUP(AE$2&amp;Balance_Sheet[[#This Row],[Aop]],Data[],1)=AE$2&amp;Balance_Sheet[[#This Row],[Aop]],VLOOKUP(AE$2&amp;Balance_Sheet[[#This Row],[Aop]],Data[],AE$1)/Jedinica,"")</f>
        <v>588776</v>
      </c>
      <c r="AF53" s="38">
        <f>IF(VLOOKUP(AF$2&amp;Balance_Sheet[[#This Row],[Aop]],Data[],1)=AF$2&amp;Balance_Sheet[[#This Row],[Aop]],VLOOKUP(AF$2&amp;Balance_Sheet[[#This Row],[Aop]],Data[],AF$1)/Jedinica,"")</f>
        <v>586635</v>
      </c>
    </row>
    <row r="54" spans="1:32" ht="12.75" customHeight="1" x14ac:dyDescent="0.2">
      <c r="A54" s="74">
        <v>49</v>
      </c>
      <c r="B54" s="75">
        <v>1</v>
      </c>
      <c r="C54" s="76" t="str">
        <f>VLOOKUP(Balance_Sheet[[#This Row],[No]],AOP_Balance,3,0)</f>
        <v>048</v>
      </c>
      <c r="D54" s="52" t="str">
        <f>VLOOKUP(Balance_Sheet[[#This Row],[No]],AOP_Balance,7,0)</f>
        <v xml:space="preserve">  V. POSLOVNA AKTIVA (001+035)</v>
      </c>
      <c r="E54" s="38">
        <f>IF(VLOOKUP(E$2&amp;Balance_Sheet[[#This Row],[Aop]],Data[],1)=E$2&amp;Balance_Sheet[[#This Row],[Aop]],VLOOKUP(E$2&amp;Balance_Sheet[[#This Row],[Aop]],Data[],E$1)/Jedinica,"")</f>
        <v>305146394</v>
      </c>
      <c r="F54" s="38">
        <f>IF(VLOOKUP(F$2&amp;Balance_Sheet[[#This Row],[Aop]],Data[],1)=F$2&amp;Balance_Sheet[[#This Row],[Aop]],VLOOKUP(F$2&amp;Balance_Sheet[[#This Row],[Aop]],Data[],F$1)/Jedinica,"")</f>
        <v>23122012</v>
      </c>
      <c r="G54" s="38">
        <f>IF(VLOOKUP(G$2&amp;Balance_Sheet[[#This Row],[Aop]],Data[],1)=G$2&amp;Balance_Sheet[[#This Row],[Aop]],VLOOKUP(G$2&amp;Balance_Sheet[[#This Row],[Aop]],Data[],G$1)/Jedinica,"")</f>
        <v>282024382</v>
      </c>
      <c r="H54" s="38">
        <f>IF(VLOOKUP(H$2&amp;Balance_Sheet[[#This Row],[Aop]],Data[],1)=H$2&amp;Balance_Sheet[[#This Row],[Aop]],VLOOKUP(H$2&amp;Balance_Sheet[[#This Row],[Aop]],Data[],H$1)/Jedinica,"")</f>
        <v>253241038</v>
      </c>
      <c r="I54" s="38">
        <f>IF(VLOOKUP(I$2&amp;Balance_Sheet[[#This Row],[Aop]],Data[],1)=I$2&amp;Balance_Sheet[[#This Row],[Aop]],VLOOKUP(I$2&amp;Balance_Sheet[[#This Row],[Aop]],Data[],I$1)/Jedinica,"")</f>
        <v>313328534</v>
      </c>
      <c r="J54" s="38">
        <f>IF(VLOOKUP(J$2&amp;Balance_Sheet[[#This Row],[Aop]],Data[],1)=J$2&amp;Balance_Sheet[[#This Row],[Aop]],VLOOKUP(J$2&amp;Balance_Sheet[[#This Row],[Aop]],Data[],J$1)/Jedinica,"")</f>
        <v>60277331</v>
      </c>
      <c r="K54" s="38">
        <f>IF(VLOOKUP(K$2&amp;Balance_Sheet[[#This Row],[Aop]],Data[],1)=K$2&amp;Balance_Sheet[[#This Row],[Aop]],VLOOKUP(K$2&amp;Balance_Sheet[[#This Row],[Aop]],Data[],K$1)/Jedinica,"")</f>
        <v>253051203</v>
      </c>
      <c r="L54" s="38">
        <f>IF(VLOOKUP(L$2&amp;Balance_Sheet[[#This Row],[Aop]],Data[],1)=L$2&amp;Balance_Sheet[[#This Row],[Aop]],VLOOKUP(L$2&amp;Balance_Sheet[[#This Row],[Aop]],Data[],L$1)/Jedinica,"")</f>
        <v>245526256</v>
      </c>
      <c r="M54" s="38">
        <f>IF(VLOOKUP(M$2&amp;Balance_Sheet[[#This Row],[Aop]],Data[],1)=M$2&amp;Balance_Sheet[[#This Row],[Aop]],VLOOKUP(M$2&amp;Balance_Sheet[[#This Row],[Aop]],Data[],M$1)/Jedinica,"")</f>
        <v>271939480</v>
      </c>
      <c r="N54" s="38">
        <f>IF(VLOOKUP(N$2&amp;Balance_Sheet[[#This Row],[Aop]],Data[],1)=N$2&amp;Balance_Sheet[[#This Row],[Aop]],VLOOKUP(N$2&amp;Balance_Sheet[[#This Row],[Aop]],Data[],N$1)/Jedinica,"")</f>
        <v>14584377</v>
      </c>
      <c r="O54" s="38">
        <f>IF(VLOOKUP(O$2&amp;Balance_Sheet[[#This Row],[Aop]],Data[],1)=O$2&amp;Balance_Sheet[[#This Row],[Aop]],VLOOKUP(O$2&amp;Balance_Sheet[[#This Row],[Aop]],Data[],O$1)/Jedinica,"")</f>
        <v>257355103</v>
      </c>
      <c r="P54" s="38">
        <f>IF(VLOOKUP(P$2&amp;Balance_Sheet[[#This Row],[Aop]],Data[],1)=P$2&amp;Balance_Sheet[[#This Row],[Aop]],VLOOKUP(P$2&amp;Balance_Sheet[[#This Row],[Aop]],Data[],P$1)/Jedinica,"")</f>
        <v>239134420</v>
      </c>
      <c r="Q54" s="38">
        <f>IF(VLOOKUP(Q$2&amp;Balance_Sheet[[#This Row],[Aop]],Data[],1)=Q$2&amp;Balance_Sheet[[#This Row],[Aop]],VLOOKUP(Q$2&amp;Balance_Sheet[[#This Row],[Aop]],Data[],Q$1)/Jedinica,"")</f>
        <v>124787621</v>
      </c>
      <c r="R54" s="38">
        <f>IF(VLOOKUP(R$2&amp;Balance_Sheet[[#This Row],[Aop]],Data[],1)=R$2&amp;Balance_Sheet[[#This Row],[Aop]],VLOOKUP(R$2&amp;Balance_Sheet[[#This Row],[Aop]],Data[],R$1)/Jedinica,"")</f>
        <v>4425303</v>
      </c>
      <c r="S54" s="38">
        <f>IF(VLOOKUP(S$2&amp;Balance_Sheet[[#This Row],[Aop]],Data[],1)=S$2&amp;Balance_Sheet[[#This Row],[Aop]],VLOOKUP(S$2&amp;Balance_Sheet[[#This Row],[Aop]],Data[],S$1)/Jedinica,"")</f>
        <v>120362318</v>
      </c>
      <c r="T54" s="38">
        <f>IF(VLOOKUP(T$2&amp;Balance_Sheet[[#This Row],[Aop]],Data[],1)=T$2&amp;Balance_Sheet[[#This Row],[Aop]],VLOOKUP(T$2&amp;Balance_Sheet[[#This Row],[Aop]],Data[],T$1)/Jedinica,"")</f>
        <v>103453686</v>
      </c>
      <c r="U54" s="38">
        <f>IF(VLOOKUP(U$2&amp;Balance_Sheet[[#This Row],[Aop]],Data[],1)=U$2&amp;Balance_Sheet[[#This Row],[Aop]],VLOOKUP(U$2&amp;Balance_Sheet[[#This Row],[Aop]],Data[],U$1)/Jedinica,"")</f>
        <v>968280437</v>
      </c>
      <c r="V54" s="38">
        <f>IF(VLOOKUP(V$2&amp;Balance_Sheet[[#This Row],[Aop]],Data[],1)=V$2&amp;Balance_Sheet[[#This Row],[Aop]],VLOOKUP(V$2&amp;Balance_Sheet[[#This Row],[Aop]],Data[],V$1)/Jedinica,"")</f>
        <v>94564147</v>
      </c>
      <c r="W54" s="38">
        <f>IF(VLOOKUP(W$2&amp;Balance_Sheet[[#This Row],[Aop]],Data[],1)=W$2&amp;Balance_Sheet[[#This Row],[Aop]],VLOOKUP(W$2&amp;Balance_Sheet[[#This Row],[Aop]],Data[],W$1)/Jedinica,"")</f>
        <v>873716290</v>
      </c>
      <c r="X54" s="38">
        <f>IF(VLOOKUP(X$2&amp;Balance_Sheet[[#This Row],[Aop]],Data[],1)=X$2&amp;Balance_Sheet[[#This Row],[Aop]],VLOOKUP(X$2&amp;Balance_Sheet[[#This Row],[Aop]],Data[],X$1)/Jedinica,"")</f>
        <v>911657949</v>
      </c>
      <c r="Y54" s="38">
        <f>IF(VLOOKUP(Y$2&amp;Balance_Sheet[[#This Row],[Aop]],Data[],1)=Y$2&amp;Balance_Sheet[[#This Row],[Aop]],VLOOKUP(Y$2&amp;Balance_Sheet[[#This Row],[Aop]],Data[],Y$1)/Jedinica,"")</f>
        <v>124787621</v>
      </c>
      <c r="Z54" s="38">
        <f>IF(VLOOKUP(Z$2&amp;Balance_Sheet[[#This Row],[Aop]],Data[],1)=Z$2&amp;Balance_Sheet[[#This Row],[Aop]],VLOOKUP(Z$2&amp;Balance_Sheet[[#This Row],[Aop]],Data[],Z$1)/Jedinica,"")</f>
        <v>4425303</v>
      </c>
      <c r="AA54" s="38">
        <f>IF(VLOOKUP(AA$2&amp;Balance_Sheet[[#This Row],[Aop]],Data[],1)=AA$2&amp;Balance_Sheet[[#This Row],[Aop]],VLOOKUP(AA$2&amp;Balance_Sheet[[#This Row],[Aop]],Data[],AA$1)/Jedinica,"")</f>
        <v>120362318</v>
      </c>
      <c r="AB54" s="38">
        <f>IF(VLOOKUP(AB$2&amp;Balance_Sheet[[#This Row],[Aop]],Data[],1)=AB$2&amp;Balance_Sheet[[#This Row],[Aop]],VLOOKUP(AB$2&amp;Balance_Sheet[[#This Row],[Aop]],Data[],AB$1)/Jedinica,"")</f>
        <v>103453686</v>
      </c>
      <c r="AC54" s="38">
        <f>IF(VLOOKUP(AC$2&amp;Balance_Sheet[[#This Row],[Aop]],Data[],1)=AC$2&amp;Balance_Sheet[[#This Row],[Aop]],VLOOKUP(AC$2&amp;Balance_Sheet[[#This Row],[Aop]],Data[],AC$1)/Jedinica,"")</f>
        <v>1250843256</v>
      </c>
      <c r="AD54" s="38">
        <f>IF(VLOOKUP(AD$2&amp;Balance_Sheet[[#This Row],[Aop]],Data[],1)=AD$2&amp;Balance_Sheet[[#This Row],[Aop]],VLOOKUP(AD$2&amp;Balance_Sheet[[#This Row],[Aop]],Data[],AD$1)/Jedinica,"")</f>
        <v>122360682</v>
      </c>
      <c r="AE54" s="38">
        <f>IF(VLOOKUP(AE$2&amp;Balance_Sheet[[#This Row],[Aop]],Data[],1)=AE$2&amp;Balance_Sheet[[#This Row],[Aop]],VLOOKUP(AE$2&amp;Balance_Sheet[[#This Row],[Aop]],Data[],AE$1)/Jedinica,"")</f>
        <v>1128482574</v>
      </c>
      <c r="AF54" s="38">
        <f>IF(VLOOKUP(AF$2&amp;Balance_Sheet[[#This Row],[Aop]],Data[],1)=AF$2&amp;Balance_Sheet[[#This Row],[Aop]],VLOOKUP(AF$2&amp;Balance_Sheet[[#This Row],[Aop]],Data[],AF$1)/Jedinica,"")</f>
        <v>1110426079</v>
      </c>
    </row>
    <row r="55" spans="1:32" ht="12.75" customHeight="1" x14ac:dyDescent="0.2">
      <c r="A55" s="74">
        <v>50</v>
      </c>
      <c r="B55" s="75">
        <v>1</v>
      </c>
      <c r="C55" s="76" t="str">
        <f>VLOOKUP(Balance_Sheet[[#This Row],[No]],AOP_Balance,3,0)</f>
        <v>049</v>
      </c>
      <c r="D55" s="52" t="str">
        <f>VLOOKUP(Balance_Sheet[[#This Row],[No]],AOP_Balance,7,0)</f>
        <v xml:space="preserve">  G. VANBILANSNA AKTIVA</v>
      </c>
      <c r="E55" s="38">
        <f>IF(VLOOKUP(E$2&amp;Balance_Sheet[[#This Row],[Aop]],Data[],1)=E$2&amp;Balance_Sheet[[#This Row],[Aop]],VLOOKUP(E$2&amp;Balance_Sheet[[#This Row],[Aop]],Data[],E$1)/Jedinica,"")</f>
        <v>18367257</v>
      </c>
      <c r="F55" s="38">
        <f>IF(VLOOKUP(F$2&amp;Balance_Sheet[[#This Row],[Aop]],Data[],1)=F$2&amp;Balance_Sheet[[#This Row],[Aop]],VLOOKUP(F$2&amp;Balance_Sheet[[#This Row],[Aop]],Data[],F$1)/Jedinica,"")</f>
        <v>0</v>
      </c>
      <c r="G55" s="38">
        <f>IF(VLOOKUP(G$2&amp;Balance_Sheet[[#This Row],[Aop]],Data[],1)=G$2&amp;Balance_Sheet[[#This Row],[Aop]],VLOOKUP(G$2&amp;Balance_Sheet[[#This Row],[Aop]],Data[],G$1)/Jedinica,"")</f>
        <v>18367257</v>
      </c>
      <c r="H55" s="38">
        <f>IF(VLOOKUP(H$2&amp;Balance_Sheet[[#This Row],[Aop]],Data[],1)=H$2&amp;Balance_Sheet[[#This Row],[Aop]],VLOOKUP(H$2&amp;Balance_Sheet[[#This Row],[Aop]],Data[],H$1)/Jedinica,"")</f>
        <v>25111739</v>
      </c>
      <c r="I55" s="38">
        <f>IF(VLOOKUP(I$2&amp;Balance_Sheet[[#This Row],[Aop]],Data[],1)=I$2&amp;Balance_Sheet[[#This Row],[Aop]],VLOOKUP(I$2&amp;Balance_Sheet[[#This Row],[Aop]],Data[],I$1)/Jedinica,"")</f>
        <v>66482000</v>
      </c>
      <c r="J55" s="38">
        <f>IF(VLOOKUP(J$2&amp;Balance_Sheet[[#This Row],[Aop]],Data[],1)=J$2&amp;Balance_Sheet[[#This Row],[Aop]],VLOOKUP(J$2&amp;Balance_Sheet[[#This Row],[Aop]],Data[],J$1)/Jedinica,"")</f>
        <v>0</v>
      </c>
      <c r="K55" s="38">
        <f>IF(VLOOKUP(K$2&amp;Balance_Sheet[[#This Row],[Aop]],Data[],1)=K$2&amp;Balance_Sheet[[#This Row],[Aop]],VLOOKUP(K$2&amp;Balance_Sheet[[#This Row],[Aop]],Data[],K$1)/Jedinica,"")</f>
        <v>66482000</v>
      </c>
      <c r="L55" s="38">
        <f>IF(VLOOKUP(L$2&amp;Balance_Sheet[[#This Row],[Aop]],Data[],1)=L$2&amp;Balance_Sheet[[#This Row],[Aop]],VLOOKUP(L$2&amp;Balance_Sheet[[#This Row],[Aop]],Data[],L$1)/Jedinica,"")</f>
        <v>76324721</v>
      </c>
      <c r="M55" s="38">
        <f>IF(VLOOKUP(M$2&amp;Balance_Sheet[[#This Row],[Aop]],Data[],1)=M$2&amp;Balance_Sheet[[#This Row],[Aop]],VLOOKUP(M$2&amp;Balance_Sheet[[#This Row],[Aop]],Data[],M$1)/Jedinica,"")</f>
        <v>264224575</v>
      </c>
      <c r="N55" s="38">
        <f>IF(VLOOKUP(N$2&amp;Balance_Sheet[[#This Row],[Aop]],Data[],1)=N$2&amp;Balance_Sheet[[#This Row],[Aop]],VLOOKUP(N$2&amp;Balance_Sheet[[#This Row],[Aop]],Data[],N$1)/Jedinica,"")</f>
        <v>0</v>
      </c>
      <c r="O55" s="38">
        <f>IF(VLOOKUP(O$2&amp;Balance_Sheet[[#This Row],[Aop]],Data[],1)=O$2&amp;Balance_Sheet[[#This Row],[Aop]],VLOOKUP(O$2&amp;Balance_Sheet[[#This Row],[Aop]],Data[],O$1)/Jedinica,"")</f>
        <v>264224575</v>
      </c>
      <c r="P55" s="38">
        <f>IF(VLOOKUP(P$2&amp;Balance_Sheet[[#This Row],[Aop]],Data[],1)=P$2&amp;Balance_Sheet[[#This Row],[Aop]],VLOOKUP(P$2&amp;Balance_Sheet[[#This Row],[Aop]],Data[],P$1)/Jedinica,"")</f>
        <v>303061962</v>
      </c>
      <c r="Q55" s="38">
        <f>IF(VLOOKUP(Q$2&amp;Balance_Sheet[[#This Row],[Aop]],Data[],1)=Q$2&amp;Balance_Sheet[[#This Row],[Aop]],VLOOKUP(Q$2&amp;Balance_Sheet[[#This Row],[Aop]],Data[],Q$1)/Jedinica,"")</f>
        <v>106683646</v>
      </c>
      <c r="R55" s="38">
        <f>IF(VLOOKUP(R$2&amp;Balance_Sheet[[#This Row],[Aop]],Data[],1)=R$2&amp;Balance_Sheet[[#This Row],[Aop]],VLOOKUP(R$2&amp;Balance_Sheet[[#This Row],[Aop]],Data[],R$1)/Jedinica,"")</f>
        <v>0</v>
      </c>
      <c r="S55" s="38">
        <f>IF(VLOOKUP(S$2&amp;Balance_Sheet[[#This Row],[Aop]],Data[],1)=S$2&amp;Balance_Sheet[[#This Row],[Aop]],VLOOKUP(S$2&amp;Balance_Sheet[[#This Row],[Aop]],Data[],S$1)/Jedinica,"")</f>
        <v>106683646</v>
      </c>
      <c r="T55" s="38">
        <f>IF(VLOOKUP(T$2&amp;Balance_Sheet[[#This Row],[Aop]],Data[],1)=T$2&amp;Balance_Sheet[[#This Row],[Aop]],VLOOKUP(T$2&amp;Balance_Sheet[[#This Row],[Aop]],Data[],T$1)/Jedinica,"")</f>
        <v>93330377</v>
      </c>
      <c r="U55" s="38">
        <f>IF(VLOOKUP(U$2&amp;Balance_Sheet[[#This Row],[Aop]],Data[],1)=U$2&amp;Balance_Sheet[[#This Row],[Aop]],VLOOKUP(U$2&amp;Balance_Sheet[[#This Row],[Aop]],Data[],U$1)/Jedinica,"")</f>
        <v>126227508</v>
      </c>
      <c r="V55" s="38">
        <f>IF(VLOOKUP(V$2&amp;Balance_Sheet[[#This Row],[Aop]],Data[],1)=V$2&amp;Balance_Sheet[[#This Row],[Aop]],VLOOKUP(V$2&amp;Balance_Sheet[[#This Row],[Aop]],Data[],V$1)/Jedinica,"")</f>
        <v>0</v>
      </c>
      <c r="W55" s="38">
        <f>IF(VLOOKUP(W$2&amp;Balance_Sheet[[#This Row],[Aop]],Data[],1)=W$2&amp;Balance_Sheet[[#This Row],[Aop]],VLOOKUP(W$2&amp;Balance_Sheet[[#This Row],[Aop]],Data[],W$1)/Jedinica,"")</f>
        <v>126227508</v>
      </c>
      <c r="X55" s="38">
        <f>IF(VLOOKUP(X$2&amp;Balance_Sheet[[#This Row],[Aop]],Data[],1)=X$2&amp;Balance_Sheet[[#This Row],[Aop]],VLOOKUP(X$2&amp;Balance_Sheet[[#This Row],[Aop]],Data[],X$1)/Jedinica,"")</f>
        <v>126638761</v>
      </c>
      <c r="Y55" s="38">
        <f>IF(VLOOKUP(Y$2&amp;Balance_Sheet[[#This Row],[Aop]],Data[],1)=Y$2&amp;Balance_Sheet[[#This Row],[Aop]],VLOOKUP(Y$2&amp;Balance_Sheet[[#This Row],[Aop]],Data[],Y$1)/Jedinica,"")</f>
        <v>106683646</v>
      </c>
      <c r="Z55" s="38">
        <f>IF(VLOOKUP(Z$2&amp;Balance_Sheet[[#This Row],[Aop]],Data[],1)=Z$2&amp;Balance_Sheet[[#This Row],[Aop]],VLOOKUP(Z$2&amp;Balance_Sheet[[#This Row],[Aop]],Data[],Z$1)/Jedinica,"")</f>
        <v>0</v>
      </c>
      <c r="AA55" s="38">
        <f>IF(VLOOKUP(AA$2&amp;Balance_Sheet[[#This Row],[Aop]],Data[],1)=AA$2&amp;Balance_Sheet[[#This Row],[Aop]],VLOOKUP(AA$2&amp;Balance_Sheet[[#This Row],[Aop]],Data[],AA$1)/Jedinica,"")</f>
        <v>106683646</v>
      </c>
      <c r="AB55" s="38">
        <f>IF(VLOOKUP(AB$2&amp;Balance_Sheet[[#This Row],[Aop]],Data[],1)=AB$2&amp;Balance_Sheet[[#This Row],[Aop]],VLOOKUP(AB$2&amp;Balance_Sheet[[#This Row],[Aop]],Data[],AB$1)/Jedinica,"")</f>
        <v>93330377</v>
      </c>
      <c r="AC55" s="38">
        <f>IF(VLOOKUP(AC$2&amp;Balance_Sheet[[#This Row],[Aop]],Data[],1)=AC$2&amp;Balance_Sheet[[#This Row],[Aop]],VLOOKUP(AC$2&amp;Balance_Sheet[[#This Row],[Aop]],Data[],AC$1)/Jedinica,"")</f>
        <v>225131328</v>
      </c>
      <c r="AD55" s="38">
        <f>IF(VLOOKUP(AD$2&amp;Balance_Sheet[[#This Row],[Aop]],Data[],1)=AD$2&amp;Balance_Sheet[[#This Row],[Aop]],VLOOKUP(AD$2&amp;Balance_Sheet[[#This Row],[Aop]],Data[],AD$1)/Jedinica,"")</f>
        <v>0</v>
      </c>
      <c r="AE55" s="38">
        <f>IF(VLOOKUP(AE$2&amp;Balance_Sheet[[#This Row],[Aop]],Data[],1)=AE$2&amp;Balance_Sheet[[#This Row],[Aop]],VLOOKUP(AE$2&amp;Balance_Sheet[[#This Row],[Aop]],Data[],AE$1)/Jedinica,"")</f>
        <v>225131328</v>
      </c>
      <c r="AF55" s="38">
        <f>IF(VLOOKUP(AF$2&amp;Balance_Sheet[[#This Row],[Aop]],Data[],1)=AF$2&amp;Balance_Sheet[[#This Row],[Aop]],VLOOKUP(AF$2&amp;Balance_Sheet[[#This Row],[Aop]],Data[],AF$1)/Jedinica,"")</f>
        <v>236364891</v>
      </c>
    </row>
    <row r="56" spans="1:32" ht="12.75" customHeight="1" x14ac:dyDescent="0.2">
      <c r="A56" s="74">
        <v>51</v>
      </c>
      <c r="B56" s="75">
        <v>1</v>
      </c>
      <c r="C56" s="76" t="str">
        <f>VLOOKUP(Balance_Sheet[[#This Row],[No]],AOP_Balance,3,0)</f>
        <v>050</v>
      </c>
      <c r="D56" s="52" t="str">
        <f>VLOOKUP(Balance_Sheet[[#This Row],[No]],AOP_Balance,7,0)</f>
        <v xml:space="preserve">  D. UKUPNA AKTIVA (048+049)</v>
      </c>
      <c r="E56" s="38">
        <f>IF(VLOOKUP(E$2&amp;Balance_Sheet[[#This Row],[Aop]],Data[],1)=E$2&amp;Balance_Sheet[[#This Row],[Aop]],VLOOKUP(E$2&amp;Balance_Sheet[[#This Row],[Aop]],Data[],E$1)/Jedinica,"")</f>
        <v>323513651</v>
      </c>
      <c r="F56" s="38">
        <f>IF(VLOOKUP(F$2&amp;Balance_Sheet[[#This Row],[Aop]],Data[],1)=F$2&amp;Balance_Sheet[[#This Row],[Aop]],VLOOKUP(F$2&amp;Balance_Sheet[[#This Row],[Aop]],Data[],F$1)/Jedinica,"")</f>
        <v>23122012</v>
      </c>
      <c r="G56" s="38">
        <f>IF(VLOOKUP(G$2&amp;Balance_Sheet[[#This Row],[Aop]],Data[],1)=G$2&amp;Balance_Sheet[[#This Row],[Aop]],VLOOKUP(G$2&amp;Balance_Sheet[[#This Row],[Aop]],Data[],G$1)/Jedinica,"")</f>
        <v>300391639</v>
      </c>
      <c r="H56" s="38">
        <f>IF(VLOOKUP(H$2&amp;Balance_Sheet[[#This Row],[Aop]],Data[],1)=H$2&amp;Balance_Sheet[[#This Row],[Aop]],VLOOKUP(H$2&amp;Balance_Sheet[[#This Row],[Aop]],Data[],H$1)/Jedinica,"")</f>
        <v>278352777</v>
      </c>
      <c r="I56" s="38">
        <f>IF(VLOOKUP(I$2&amp;Balance_Sheet[[#This Row],[Aop]],Data[],1)=I$2&amp;Balance_Sheet[[#This Row],[Aop]],VLOOKUP(I$2&amp;Balance_Sheet[[#This Row],[Aop]],Data[],I$1)/Jedinica,"")</f>
        <v>379810534</v>
      </c>
      <c r="J56" s="38">
        <f>IF(VLOOKUP(J$2&amp;Balance_Sheet[[#This Row],[Aop]],Data[],1)=J$2&amp;Balance_Sheet[[#This Row],[Aop]],VLOOKUP(J$2&amp;Balance_Sheet[[#This Row],[Aop]],Data[],J$1)/Jedinica,"")</f>
        <v>60277331</v>
      </c>
      <c r="K56" s="38">
        <f>IF(VLOOKUP(K$2&amp;Balance_Sheet[[#This Row],[Aop]],Data[],1)=K$2&amp;Balance_Sheet[[#This Row],[Aop]],VLOOKUP(K$2&amp;Balance_Sheet[[#This Row],[Aop]],Data[],K$1)/Jedinica,"")</f>
        <v>319533203</v>
      </c>
      <c r="L56" s="38">
        <f>IF(VLOOKUP(L$2&amp;Balance_Sheet[[#This Row],[Aop]],Data[],1)=L$2&amp;Balance_Sheet[[#This Row],[Aop]],VLOOKUP(L$2&amp;Balance_Sheet[[#This Row],[Aop]],Data[],L$1)/Jedinica,"")</f>
        <v>321850977</v>
      </c>
      <c r="M56" s="38">
        <f>IF(VLOOKUP(M$2&amp;Balance_Sheet[[#This Row],[Aop]],Data[],1)=M$2&amp;Balance_Sheet[[#This Row],[Aop]],VLOOKUP(M$2&amp;Balance_Sheet[[#This Row],[Aop]],Data[],M$1)/Jedinica,"")</f>
        <v>536164055</v>
      </c>
      <c r="N56" s="38">
        <f>IF(VLOOKUP(N$2&amp;Balance_Sheet[[#This Row],[Aop]],Data[],1)=N$2&amp;Balance_Sheet[[#This Row],[Aop]],VLOOKUP(N$2&amp;Balance_Sheet[[#This Row],[Aop]],Data[],N$1)/Jedinica,"")</f>
        <v>14584377</v>
      </c>
      <c r="O56" s="38">
        <f>IF(VLOOKUP(O$2&amp;Balance_Sheet[[#This Row],[Aop]],Data[],1)=O$2&amp;Balance_Sheet[[#This Row],[Aop]],VLOOKUP(O$2&amp;Balance_Sheet[[#This Row],[Aop]],Data[],O$1)/Jedinica,"")</f>
        <v>521579678</v>
      </c>
      <c r="P56" s="38">
        <f>IF(VLOOKUP(P$2&amp;Balance_Sheet[[#This Row],[Aop]],Data[],1)=P$2&amp;Balance_Sheet[[#This Row],[Aop]],VLOOKUP(P$2&amp;Balance_Sheet[[#This Row],[Aop]],Data[],P$1)/Jedinica,"")</f>
        <v>542196382</v>
      </c>
      <c r="Q56" s="38">
        <f>IF(VLOOKUP(Q$2&amp;Balance_Sheet[[#This Row],[Aop]],Data[],1)=Q$2&amp;Balance_Sheet[[#This Row],[Aop]],VLOOKUP(Q$2&amp;Balance_Sheet[[#This Row],[Aop]],Data[],Q$1)/Jedinica,"")</f>
        <v>231471267</v>
      </c>
      <c r="R56" s="38">
        <f>IF(VLOOKUP(R$2&amp;Balance_Sheet[[#This Row],[Aop]],Data[],1)=R$2&amp;Balance_Sheet[[#This Row],[Aop]],VLOOKUP(R$2&amp;Balance_Sheet[[#This Row],[Aop]],Data[],R$1)/Jedinica,"")</f>
        <v>4425303</v>
      </c>
      <c r="S56" s="38">
        <f>IF(VLOOKUP(S$2&amp;Balance_Sheet[[#This Row],[Aop]],Data[],1)=S$2&amp;Balance_Sheet[[#This Row],[Aop]],VLOOKUP(S$2&amp;Balance_Sheet[[#This Row],[Aop]],Data[],S$1)/Jedinica,"")</f>
        <v>227045964</v>
      </c>
      <c r="T56" s="38">
        <f>IF(VLOOKUP(T$2&amp;Balance_Sheet[[#This Row],[Aop]],Data[],1)=T$2&amp;Balance_Sheet[[#This Row],[Aop]],VLOOKUP(T$2&amp;Balance_Sheet[[#This Row],[Aop]],Data[],T$1)/Jedinica,"")</f>
        <v>196784063</v>
      </c>
      <c r="U56" s="38">
        <f>IF(VLOOKUP(U$2&amp;Balance_Sheet[[#This Row],[Aop]],Data[],1)=U$2&amp;Balance_Sheet[[#This Row],[Aop]],VLOOKUP(U$2&amp;Balance_Sheet[[#This Row],[Aop]],Data[],U$1)/Jedinica,"")</f>
        <v>1094507945</v>
      </c>
      <c r="V56" s="38">
        <f>IF(VLOOKUP(V$2&amp;Balance_Sheet[[#This Row],[Aop]],Data[],1)=V$2&amp;Balance_Sheet[[#This Row],[Aop]],VLOOKUP(V$2&amp;Balance_Sheet[[#This Row],[Aop]],Data[],V$1)/Jedinica,"")</f>
        <v>94564147</v>
      </c>
      <c r="W56" s="38">
        <f>IF(VLOOKUP(W$2&amp;Balance_Sheet[[#This Row],[Aop]],Data[],1)=W$2&amp;Balance_Sheet[[#This Row],[Aop]],VLOOKUP(W$2&amp;Balance_Sheet[[#This Row],[Aop]],Data[],W$1)/Jedinica,"")</f>
        <v>999943798</v>
      </c>
      <c r="X56" s="38">
        <f>IF(VLOOKUP(X$2&amp;Balance_Sheet[[#This Row],[Aop]],Data[],1)=X$2&amp;Balance_Sheet[[#This Row],[Aop]],VLOOKUP(X$2&amp;Balance_Sheet[[#This Row],[Aop]],Data[],X$1)/Jedinica,"")</f>
        <v>1038296710</v>
      </c>
      <c r="Y56" s="38">
        <f>IF(VLOOKUP(Y$2&amp;Balance_Sheet[[#This Row],[Aop]],Data[],1)=Y$2&amp;Balance_Sheet[[#This Row],[Aop]],VLOOKUP(Y$2&amp;Balance_Sheet[[#This Row],[Aop]],Data[],Y$1)/Jedinica,"")</f>
        <v>231471267</v>
      </c>
      <c r="Z56" s="38">
        <f>IF(VLOOKUP(Z$2&amp;Balance_Sheet[[#This Row],[Aop]],Data[],1)=Z$2&amp;Balance_Sheet[[#This Row],[Aop]],VLOOKUP(Z$2&amp;Balance_Sheet[[#This Row],[Aop]],Data[],Z$1)/Jedinica,"")</f>
        <v>4425303</v>
      </c>
      <c r="AA56" s="38">
        <f>IF(VLOOKUP(AA$2&amp;Balance_Sheet[[#This Row],[Aop]],Data[],1)=AA$2&amp;Balance_Sheet[[#This Row],[Aop]],VLOOKUP(AA$2&amp;Balance_Sheet[[#This Row],[Aop]],Data[],AA$1)/Jedinica,"")</f>
        <v>227045964</v>
      </c>
      <c r="AB56" s="38">
        <f>IF(VLOOKUP(AB$2&amp;Balance_Sheet[[#This Row],[Aop]],Data[],1)=AB$2&amp;Balance_Sheet[[#This Row],[Aop]],VLOOKUP(AB$2&amp;Balance_Sheet[[#This Row],[Aop]],Data[],AB$1)/Jedinica,"")</f>
        <v>196784063</v>
      </c>
      <c r="AC56" s="38">
        <f>IF(VLOOKUP(AC$2&amp;Balance_Sheet[[#This Row],[Aop]],Data[],1)=AC$2&amp;Balance_Sheet[[#This Row],[Aop]],VLOOKUP(AC$2&amp;Balance_Sheet[[#This Row],[Aop]],Data[],AC$1)/Jedinica,"")</f>
        <v>1475974584</v>
      </c>
      <c r="AD56" s="38">
        <f>IF(VLOOKUP(AD$2&amp;Balance_Sheet[[#This Row],[Aop]],Data[],1)=AD$2&amp;Balance_Sheet[[#This Row],[Aop]],VLOOKUP(AD$2&amp;Balance_Sheet[[#This Row],[Aop]],Data[],AD$1)/Jedinica,"")</f>
        <v>122360682</v>
      </c>
      <c r="AE56" s="38">
        <f>IF(VLOOKUP(AE$2&amp;Balance_Sheet[[#This Row],[Aop]],Data[],1)=AE$2&amp;Balance_Sheet[[#This Row],[Aop]],VLOOKUP(AE$2&amp;Balance_Sheet[[#This Row],[Aop]],Data[],AE$1)/Jedinica,"")</f>
        <v>1353613902</v>
      </c>
      <c r="AF56" s="38">
        <f>IF(VLOOKUP(AF$2&amp;Balance_Sheet[[#This Row],[Aop]],Data[],1)=AF$2&amp;Balance_Sheet[[#This Row],[Aop]],VLOOKUP(AF$2&amp;Balance_Sheet[[#This Row],[Aop]],Data[],AF$1)/Jedinica,"")</f>
        <v>1346790970</v>
      </c>
    </row>
    <row r="57" spans="1:32" ht="12.75" customHeight="1" x14ac:dyDescent="0.2">
      <c r="A57" s="74">
        <v>52</v>
      </c>
      <c r="B57" s="75">
        <v>0</v>
      </c>
      <c r="C57" s="76" t="str">
        <f>VLOOKUP(Balance_Sheet[[#This Row],[No]],AOP_Balance,3,0)</f>
        <v/>
      </c>
      <c r="D57" s="52" t="str">
        <f>VLOOKUP(Balance_Sheet[[#This Row],[No]],AOP_Balance,7,0)</f>
        <v>PASIVA</v>
      </c>
      <c r="E57" s="38" t="e">
        <f>IF(VLOOKUP(E$2&amp;Balance_Sheet[[#This Row],[Aop]],Data[],1)=E$2&amp;Balance_Sheet[[#This Row],[Aop]],VLOOKUP(E$2&amp;Balance_Sheet[[#This Row],[Aop]],Data[],E$1)/Jedinica,"")</f>
        <v>#N/A</v>
      </c>
      <c r="F57" s="38" t="e">
        <f>IF(VLOOKUP(F$2&amp;Balance_Sheet[[#This Row],[Aop]],Data[],1)=F$2&amp;Balance_Sheet[[#This Row],[Aop]],VLOOKUP(F$2&amp;Balance_Sheet[[#This Row],[Aop]],Data[],F$1)/Jedinica,"")</f>
        <v>#N/A</v>
      </c>
      <c r="G57" s="38" t="e">
        <f>IF(VLOOKUP(G$2&amp;Balance_Sheet[[#This Row],[Aop]],Data[],1)=G$2&amp;Balance_Sheet[[#This Row],[Aop]],VLOOKUP(G$2&amp;Balance_Sheet[[#This Row],[Aop]],Data[],G$1)/Jedinica,"")</f>
        <v>#N/A</v>
      </c>
      <c r="H57" s="38" t="e">
        <f>IF(VLOOKUP(H$2&amp;Balance_Sheet[[#This Row],[Aop]],Data[],1)=H$2&amp;Balance_Sheet[[#This Row],[Aop]],VLOOKUP(H$2&amp;Balance_Sheet[[#This Row],[Aop]],Data[],H$1)/Jedinica,"")</f>
        <v>#N/A</v>
      </c>
      <c r="I57" s="38" t="str">
        <f>IF(VLOOKUP(I$2&amp;Balance_Sheet[[#This Row],[Aop]],Data[],1)=I$2&amp;Balance_Sheet[[#This Row],[Aop]],VLOOKUP(I$2&amp;Balance_Sheet[[#This Row],[Aop]],Data[],I$1)/Jedinica,"")</f>
        <v/>
      </c>
      <c r="J57" s="38" t="str">
        <f>IF(VLOOKUP(J$2&amp;Balance_Sheet[[#This Row],[Aop]],Data[],1)=J$2&amp;Balance_Sheet[[#This Row],[Aop]],VLOOKUP(J$2&amp;Balance_Sheet[[#This Row],[Aop]],Data[],J$1)/Jedinica,"")</f>
        <v/>
      </c>
      <c r="K57" s="38" t="str">
        <f>IF(VLOOKUP(K$2&amp;Balance_Sheet[[#This Row],[Aop]],Data[],1)=K$2&amp;Balance_Sheet[[#This Row],[Aop]],VLOOKUP(K$2&amp;Balance_Sheet[[#This Row],[Aop]],Data[],K$1)/Jedinica,"")</f>
        <v/>
      </c>
      <c r="L57" s="38" t="str">
        <f>IF(VLOOKUP(L$2&amp;Balance_Sheet[[#This Row],[Aop]],Data[],1)=L$2&amp;Balance_Sheet[[#This Row],[Aop]],VLOOKUP(L$2&amp;Balance_Sheet[[#This Row],[Aop]],Data[],L$1)/Jedinica,"")</f>
        <v/>
      </c>
      <c r="M57" s="38" t="str">
        <f>IF(VLOOKUP(M$2&amp;Balance_Sheet[[#This Row],[Aop]],Data[],1)=M$2&amp;Balance_Sheet[[#This Row],[Aop]],VLOOKUP(M$2&amp;Balance_Sheet[[#This Row],[Aop]],Data[],M$1)/Jedinica,"")</f>
        <v/>
      </c>
      <c r="N57" s="38" t="str">
        <f>IF(VLOOKUP(N$2&amp;Balance_Sheet[[#This Row],[Aop]],Data[],1)=N$2&amp;Balance_Sheet[[#This Row],[Aop]],VLOOKUP(N$2&amp;Balance_Sheet[[#This Row],[Aop]],Data[],N$1)/Jedinica,"")</f>
        <v/>
      </c>
      <c r="O57" s="38" t="str">
        <f>IF(VLOOKUP(O$2&amp;Balance_Sheet[[#This Row],[Aop]],Data[],1)=O$2&amp;Balance_Sheet[[#This Row],[Aop]],VLOOKUP(O$2&amp;Balance_Sheet[[#This Row],[Aop]],Data[],O$1)/Jedinica,"")</f>
        <v/>
      </c>
      <c r="P57" s="38" t="str">
        <f>IF(VLOOKUP(P$2&amp;Balance_Sheet[[#This Row],[Aop]],Data[],1)=P$2&amp;Balance_Sheet[[#This Row],[Aop]],VLOOKUP(P$2&amp;Balance_Sheet[[#This Row],[Aop]],Data[],P$1)/Jedinica,"")</f>
        <v/>
      </c>
      <c r="Q57" s="38" t="str">
        <f>IF(VLOOKUP(Q$2&amp;Balance_Sheet[[#This Row],[Aop]],Data[],1)=Q$2&amp;Balance_Sheet[[#This Row],[Aop]],VLOOKUP(Q$2&amp;Balance_Sheet[[#This Row],[Aop]],Data[],Q$1)/Jedinica,"")</f>
        <v/>
      </c>
      <c r="R57" s="38" t="str">
        <f>IF(VLOOKUP(R$2&amp;Balance_Sheet[[#This Row],[Aop]],Data[],1)=R$2&amp;Balance_Sheet[[#This Row],[Aop]],VLOOKUP(R$2&amp;Balance_Sheet[[#This Row],[Aop]],Data[],R$1)/Jedinica,"")</f>
        <v/>
      </c>
      <c r="S57" s="38" t="str">
        <f>IF(VLOOKUP(S$2&amp;Balance_Sheet[[#This Row],[Aop]],Data[],1)=S$2&amp;Balance_Sheet[[#This Row],[Aop]],VLOOKUP(S$2&amp;Balance_Sheet[[#This Row],[Aop]],Data[],S$1)/Jedinica,"")</f>
        <v/>
      </c>
      <c r="T57" s="38" t="str">
        <f>IF(VLOOKUP(T$2&amp;Balance_Sheet[[#This Row],[Aop]],Data[],1)=T$2&amp;Balance_Sheet[[#This Row],[Aop]],VLOOKUP(T$2&amp;Balance_Sheet[[#This Row],[Aop]],Data[],T$1)/Jedinica,"")</f>
        <v/>
      </c>
      <c r="U57" s="38" t="str">
        <f>IF(VLOOKUP(U$2&amp;Balance_Sheet[[#This Row],[Aop]],Data[],1)=U$2&amp;Balance_Sheet[[#This Row],[Aop]],VLOOKUP(U$2&amp;Balance_Sheet[[#This Row],[Aop]],Data[],U$1)/Jedinica,"")</f>
        <v/>
      </c>
      <c r="V57" s="38" t="str">
        <f>IF(VLOOKUP(V$2&amp;Balance_Sheet[[#This Row],[Aop]],Data[],1)=V$2&amp;Balance_Sheet[[#This Row],[Aop]],VLOOKUP(V$2&amp;Balance_Sheet[[#This Row],[Aop]],Data[],V$1)/Jedinica,"")</f>
        <v/>
      </c>
      <c r="W57" s="38" t="str">
        <f>IF(VLOOKUP(W$2&amp;Balance_Sheet[[#This Row],[Aop]],Data[],1)=W$2&amp;Balance_Sheet[[#This Row],[Aop]],VLOOKUP(W$2&amp;Balance_Sheet[[#This Row],[Aop]],Data[],W$1)/Jedinica,"")</f>
        <v/>
      </c>
      <c r="X57" s="38" t="str">
        <f>IF(VLOOKUP(X$2&amp;Balance_Sheet[[#This Row],[Aop]],Data[],1)=X$2&amp;Balance_Sheet[[#This Row],[Aop]],VLOOKUP(X$2&amp;Balance_Sheet[[#This Row],[Aop]],Data[],X$1)/Jedinica,"")</f>
        <v/>
      </c>
      <c r="Y57" s="38" t="str">
        <f>IF(VLOOKUP(Y$2&amp;Balance_Sheet[[#This Row],[Aop]],Data[],1)=Y$2&amp;Balance_Sheet[[#This Row],[Aop]],VLOOKUP(Y$2&amp;Balance_Sheet[[#This Row],[Aop]],Data[],Y$1)/Jedinica,"")</f>
        <v/>
      </c>
      <c r="Z57" s="38" t="str">
        <f>IF(VLOOKUP(Z$2&amp;Balance_Sheet[[#This Row],[Aop]],Data[],1)=Z$2&amp;Balance_Sheet[[#This Row],[Aop]],VLOOKUP(Z$2&amp;Balance_Sheet[[#This Row],[Aop]],Data[],Z$1)/Jedinica,"")</f>
        <v/>
      </c>
      <c r="AA57" s="38" t="str">
        <f>IF(VLOOKUP(AA$2&amp;Balance_Sheet[[#This Row],[Aop]],Data[],1)=AA$2&amp;Balance_Sheet[[#This Row],[Aop]],VLOOKUP(AA$2&amp;Balance_Sheet[[#This Row],[Aop]],Data[],AA$1)/Jedinica,"")</f>
        <v/>
      </c>
      <c r="AB57" s="38" t="str">
        <f>IF(VLOOKUP(AB$2&amp;Balance_Sheet[[#This Row],[Aop]],Data[],1)=AB$2&amp;Balance_Sheet[[#This Row],[Aop]],VLOOKUP(AB$2&amp;Balance_Sheet[[#This Row],[Aop]],Data[],AB$1)/Jedinica,"")</f>
        <v/>
      </c>
      <c r="AC57" s="38" t="str">
        <f>IF(VLOOKUP(AC$2&amp;Balance_Sheet[[#This Row],[Aop]],Data[],1)=AC$2&amp;Balance_Sheet[[#This Row],[Aop]],VLOOKUP(AC$2&amp;Balance_Sheet[[#This Row],[Aop]],Data[],AC$1)/Jedinica,"")</f>
        <v/>
      </c>
      <c r="AD57" s="38" t="str">
        <f>IF(VLOOKUP(AD$2&amp;Balance_Sheet[[#This Row],[Aop]],Data[],1)=AD$2&amp;Balance_Sheet[[#This Row],[Aop]],VLOOKUP(AD$2&amp;Balance_Sheet[[#This Row],[Aop]],Data[],AD$1)/Jedinica,"")</f>
        <v/>
      </c>
      <c r="AE57" s="38" t="str">
        <f>IF(VLOOKUP(AE$2&amp;Balance_Sheet[[#This Row],[Aop]],Data[],1)=AE$2&amp;Balance_Sheet[[#This Row],[Aop]],VLOOKUP(AE$2&amp;Balance_Sheet[[#This Row],[Aop]],Data[],AE$1)/Jedinica,"")</f>
        <v/>
      </c>
      <c r="AF57" s="38" t="str">
        <f>IF(VLOOKUP(AF$2&amp;Balance_Sheet[[#This Row],[Aop]],Data[],1)=AF$2&amp;Balance_Sheet[[#This Row],[Aop]],VLOOKUP(AF$2&amp;Balance_Sheet[[#This Row],[Aop]],Data[],AF$1)/Jedinica,"")</f>
        <v/>
      </c>
    </row>
    <row r="58" spans="1:32" ht="12.75" customHeight="1" x14ac:dyDescent="0.2">
      <c r="A58" s="74">
        <v>53</v>
      </c>
      <c r="B58" s="75">
        <v>1</v>
      </c>
      <c r="C58" s="76" t="str">
        <f>VLOOKUP(Balance_Sheet[[#This Row],[No]],AOP_Balance,3,0)</f>
        <v>101</v>
      </c>
      <c r="D58" s="52" t="str">
        <f>VLOOKUP(Balance_Sheet[[#This Row],[No]],AOP_Balance,7,0)</f>
        <v xml:space="preserve">  A. OBAVEZE (102+106+109+113)</v>
      </c>
      <c r="E58" s="38">
        <f>IF(VLOOKUP(E$2&amp;Balance_Sheet[[#This Row],[Aop]],Data[],1)=E$2&amp;Balance_Sheet[[#This Row],[Aop]],VLOOKUP(E$2&amp;Balance_Sheet[[#This Row],[Aop]],Data[],E$1)/Jedinica,"")</f>
        <v>0</v>
      </c>
      <c r="F58" s="38">
        <f>IF(VLOOKUP(F$2&amp;Balance_Sheet[[#This Row],[Aop]],Data[],1)=F$2&amp;Balance_Sheet[[#This Row],[Aop]],VLOOKUP(F$2&amp;Balance_Sheet[[#This Row],[Aop]],Data[],F$1)/Jedinica,"")</f>
        <v>0</v>
      </c>
      <c r="G58" s="38">
        <f>IF(VLOOKUP(G$2&amp;Balance_Sheet[[#This Row],[Aop]],Data[],1)=G$2&amp;Balance_Sheet[[#This Row],[Aop]],VLOOKUP(G$2&amp;Balance_Sheet[[#This Row],[Aop]],Data[],G$1)/Jedinica,"")</f>
        <v>247619290</v>
      </c>
      <c r="H58" s="38">
        <f>IF(VLOOKUP(H$2&amp;Balance_Sheet[[#This Row],[Aop]],Data[],1)=H$2&amp;Balance_Sheet[[#This Row],[Aop]],VLOOKUP(H$2&amp;Balance_Sheet[[#This Row],[Aop]],Data[],H$1)/Jedinica,"")</f>
        <v>218164817</v>
      </c>
      <c r="I58" s="38">
        <f>IF(VLOOKUP(I$2&amp;Balance_Sheet[[#This Row],[Aop]],Data[],1)=I$2&amp;Balance_Sheet[[#This Row],[Aop]],VLOOKUP(I$2&amp;Balance_Sheet[[#This Row],[Aop]],Data[],I$1)/Jedinica,"")</f>
        <v>0</v>
      </c>
      <c r="J58" s="38">
        <f>IF(VLOOKUP(J$2&amp;Balance_Sheet[[#This Row],[Aop]],Data[],1)=J$2&amp;Balance_Sheet[[#This Row],[Aop]],VLOOKUP(J$2&amp;Balance_Sheet[[#This Row],[Aop]],Data[],J$1)/Jedinica,"")</f>
        <v>0</v>
      </c>
      <c r="K58" s="38">
        <f>IF(VLOOKUP(K$2&amp;Balance_Sheet[[#This Row],[Aop]],Data[],1)=K$2&amp;Balance_Sheet[[#This Row],[Aop]],VLOOKUP(K$2&amp;Balance_Sheet[[#This Row],[Aop]],Data[],K$1)/Jedinica,"")</f>
        <v>214344844</v>
      </c>
      <c r="L58" s="38">
        <f>IF(VLOOKUP(L$2&amp;Balance_Sheet[[#This Row],[Aop]],Data[],1)=L$2&amp;Balance_Sheet[[#This Row],[Aop]],VLOOKUP(L$2&amp;Balance_Sheet[[#This Row],[Aop]],Data[],L$1)/Jedinica,"")</f>
        <v>236425302</v>
      </c>
      <c r="M58" s="38">
        <f>IF(VLOOKUP(M$2&amp;Balance_Sheet[[#This Row],[Aop]],Data[],1)=M$2&amp;Balance_Sheet[[#This Row],[Aop]],VLOOKUP(M$2&amp;Balance_Sheet[[#This Row],[Aop]],Data[],M$1)/Jedinica,"")</f>
        <v>0</v>
      </c>
      <c r="N58" s="38">
        <f>IF(VLOOKUP(N$2&amp;Balance_Sheet[[#This Row],[Aop]],Data[],1)=N$2&amp;Balance_Sheet[[#This Row],[Aop]],VLOOKUP(N$2&amp;Balance_Sheet[[#This Row],[Aop]],Data[],N$1)/Jedinica,"")</f>
        <v>0</v>
      </c>
      <c r="O58" s="38">
        <f>IF(VLOOKUP(O$2&amp;Balance_Sheet[[#This Row],[Aop]],Data[],1)=O$2&amp;Balance_Sheet[[#This Row],[Aop]],VLOOKUP(O$2&amp;Balance_Sheet[[#This Row],[Aop]],Data[],O$1)/Jedinica,"")</f>
        <v>192454832</v>
      </c>
      <c r="P58" s="38">
        <f>IF(VLOOKUP(P$2&amp;Balance_Sheet[[#This Row],[Aop]],Data[],1)=P$2&amp;Balance_Sheet[[#This Row],[Aop]],VLOOKUP(P$2&amp;Balance_Sheet[[#This Row],[Aop]],Data[],P$1)/Jedinica,"")</f>
        <v>174903331</v>
      </c>
      <c r="Q58" s="38">
        <f>IF(VLOOKUP(Q$2&amp;Balance_Sheet[[#This Row],[Aop]],Data[],1)=Q$2&amp;Balance_Sheet[[#This Row],[Aop]],VLOOKUP(Q$2&amp;Balance_Sheet[[#This Row],[Aop]],Data[],Q$1)/Jedinica,"")</f>
        <v>0</v>
      </c>
      <c r="R58" s="38">
        <f>IF(VLOOKUP(R$2&amp;Balance_Sheet[[#This Row],[Aop]],Data[],1)=R$2&amp;Balance_Sheet[[#This Row],[Aop]],VLOOKUP(R$2&amp;Balance_Sheet[[#This Row],[Aop]],Data[],R$1)/Jedinica,"")</f>
        <v>0</v>
      </c>
      <c r="S58" s="38">
        <f>IF(VLOOKUP(S$2&amp;Balance_Sheet[[#This Row],[Aop]],Data[],1)=S$2&amp;Balance_Sheet[[#This Row],[Aop]],VLOOKUP(S$2&amp;Balance_Sheet[[#This Row],[Aop]],Data[],S$1)/Jedinica,"")</f>
        <v>99832456</v>
      </c>
      <c r="T58" s="38">
        <f>IF(VLOOKUP(T$2&amp;Balance_Sheet[[#This Row],[Aop]],Data[],1)=T$2&amp;Balance_Sheet[[#This Row],[Aop]],VLOOKUP(T$2&amp;Balance_Sheet[[#This Row],[Aop]],Data[],T$1)/Jedinica,"")</f>
        <v>83066316</v>
      </c>
      <c r="U58" s="38">
        <f>IF(VLOOKUP(U$2&amp;Balance_Sheet[[#This Row],[Aop]],Data[],1)=U$2&amp;Balance_Sheet[[#This Row],[Aop]],VLOOKUP(U$2&amp;Balance_Sheet[[#This Row],[Aop]],Data[],U$1)/Jedinica,"")</f>
        <v>0</v>
      </c>
      <c r="V58" s="38">
        <f>IF(VLOOKUP(V$2&amp;Balance_Sheet[[#This Row],[Aop]],Data[],1)=V$2&amp;Balance_Sheet[[#This Row],[Aop]],VLOOKUP(V$2&amp;Balance_Sheet[[#This Row],[Aop]],Data[],V$1)/Jedinica,"")</f>
        <v>0</v>
      </c>
      <c r="W58" s="38">
        <f>IF(VLOOKUP(W$2&amp;Balance_Sheet[[#This Row],[Aop]],Data[],1)=W$2&amp;Balance_Sheet[[#This Row],[Aop]],VLOOKUP(W$2&amp;Balance_Sheet[[#This Row],[Aop]],Data[],W$1)/Jedinica,"")</f>
        <v>732932689</v>
      </c>
      <c r="X58" s="38">
        <f>IF(VLOOKUP(X$2&amp;Balance_Sheet[[#This Row],[Aop]],Data[],1)=X$2&amp;Balance_Sheet[[#This Row],[Aop]],VLOOKUP(X$2&amp;Balance_Sheet[[#This Row],[Aop]],Data[],X$1)/Jedinica,"")</f>
        <v>798818659</v>
      </c>
      <c r="Y58" s="38">
        <f>IF(VLOOKUP(Y$2&amp;Balance_Sheet[[#This Row],[Aop]],Data[],1)=Y$2&amp;Balance_Sheet[[#This Row],[Aop]],VLOOKUP(Y$2&amp;Balance_Sheet[[#This Row],[Aop]],Data[],Y$1)/Jedinica,"")</f>
        <v>0</v>
      </c>
      <c r="Z58" s="38">
        <f>IF(VLOOKUP(Z$2&amp;Balance_Sheet[[#This Row],[Aop]],Data[],1)=Z$2&amp;Balance_Sheet[[#This Row],[Aop]],VLOOKUP(Z$2&amp;Balance_Sheet[[#This Row],[Aop]],Data[],Z$1)/Jedinica,"")</f>
        <v>0</v>
      </c>
      <c r="AA58" s="38">
        <f>IF(VLOOKUP(AA$2&amp;Balance_Sheet[[#This Row],[Aop]],Data[],1)=AA$2&amp;Balance_Sheet[[#This Row],[Aop]],VLOOKUP(AA$2&amp;Balance_Sheet[[#This Row],[Aop]],Data[],AA$1)/Jedinica,"")</f>
        <v>99832456</v>
      </c>
      <c r="AB58" s="38">
        <f>IF(VLOOKUP(AB$2&amp;Balance_Sheet[[#This Row],[Aop]],Data[],1)=AB$2&amp;Balance_Sheet[[#This Row],[Aop]],VLOOKUP(AB$2&amp;Balance_Sheet[[#This Row],[Aop]],Data[],AB$1)/Jedinica,"")</f>
        <v>83066316</v>
      </c>
      <c r="AC58" s="38">
        <f>IF(VLOOKUP(AC$2&amp;Balance_Sheet[[#This Row],[Aop]],Data[],1)=AC$2&amp;Balance_Sheet[[#This Row],[Aop]],VLOOKUP(AC$2&amp;Balance_Sheet[[#This Row],[Aop]],Data[],AC$1)/Jedinica,"")</f>
        <v>0</v>
      </c>
      <c r="AD58" s="38">
        <f>IF(VLOOKUP(AD$2&amp;Balance_Sheet[[#This Row],[Aop]],Data[],1)=AD$2&amp;Balance_Sheet[[#This Row],[Aop]],VLOOKUP(AD$2&amp;Balance_Sheet[[#This Row],[Aop]],Data[],AD$1)/Jedinica,"")</f>
        <v>0</v>
      </c>
      <c r="AE58" s="38">
        <f>IF(VLOOKUP(AE$2&amp;Balance_Sheet[[#This Row],[Aop]],Data[],1)=AE$2&amp;Balance_Sheet[[#This Row],[Aop]],VLOOKUP(AE$2&amp;Balance_Sheet[[#This Row],[Aop]],Data[],AE$1)/Jedinica,"")</f>
        <v>1014039069</v>
      </c>
      <c r="AF58" s="38">
        <f>IF(VLOOKUP(AF$2&amp;Balance_Sheet[[#This Row],[Aop]],Data[],1)=AF$2&amp;Balance_Sheet[[#This Row],[Aop]],VLOOKUP(AF$2&amp;Balance_Sheet[[#This Row],[Aop]],Data[],AF$1)/Jedinica,"")</f>
        <v>1003468764</v>
      </c>
    </row>
    <row r="59" spans="1:32" ht="12.75" customHeight="1" x14ac:dyDescent="0.2">
      <c r="A59" s="74">
        <v>54</v>
      </c>
      <c r="B59" s="75">
        <v>2</v>
      </c>
      <c r="C59" s="76" t="str">
        <f>VLOOKUP(Balance_Sheet[[#This Row],[No]],AOP_Balance,3,0)</f>
        <v>102</v>
      </c>
      <c r="D59" s="52" t="str">
        <f>VLOOKUP(Balance_Sheet[[#This Row],[No]],AOP_Balance,7,0)</f>
        <v xml:space="preserve">    1. Obaveze po osnovu depozita i kredita (103 do 105)</v>
      </c>
      <c r="E59" s="38">
        <f>IF(VLOOKUP(E$2&amp;Balance_Sheet[[#This Row],[Aop]],Data[],1)=E$2&amp;Balance_Sheet[[#This Row],[Aop]],VLOOKUP(E$2&amp;Balance_Sheet[[#This Row],[Aop]],Data[],E$1)/Jedinica,"")</f>
        <v>0</v>
      </c>
      <c r="F59" s="38">
        <f>IF(VLOOKUP(F$2&amp;Balance_Sheet[[#This Row],[Aop]],Data[],1)=F$2&amp;Balance_Sheet[[#This Row],[Aop]],VLOOKUP(F$2&amp;Balance_Sheet[[#This Row],[Aop]],Data[],F$1)/Jedinica,"")</f>
        <v>0</v>
      </c>
      <c r="G59" s="38">
        <f>IF(VLOOKUP(G$2&amp;Balance_Sheet[[#This Row],[Aop]],Data[],1)=G$2&amp;Balance_Sheet[[#This Row],[Aop]],VLOOKUP(G$2&amp;Balance_Sheet[[#This Row],[Aop]],Data[],G$1)/Jedinica,"")</f>
        <v>208000387</v>
      </c>
      <c r="H59" s="38">
        <f>IF(VLOOKUP(H$2&amp;Balance_Sheet[[#This Row],[Aop]],Data[],1)=H$2&amp;Balance_Sheet[[#This Row],[Aop]],VLOOKUP(H$2&amp;Balance_Sheet[[#This Row],[Aop]],Data[],H$1)/Jedinica,"")</f>
        <v>186305446</v>
      </c>
      <c r="I59" s="38">
        <f>IF(VLOOKUP(I$2&amp;Balance_Sheet[[#This Row],[Aop]],Data[],1)=I$2&amp;Balance_Sheet[[#This Row],[Aop]],VLOOKUP(I$2&amp;Balance_Sheet[[#This Row],[Aop]],Data[],I$1)/Jedinica,"")</f>
        <v>0</v>
      </c>
      <c r="J59" s="38">
        <f>IF(VLOOKUP(J$2&amp;Balance_Sheet[[#This Row],[Aop]],Data[],1)=J$2&amp;Balance_Sheet[[#This Row],[Aop]],VLOOKUP(J$2&amp;Balance_Sheet[[#This Row],[Aop]],Data[],J$1)/Jedinica,"")</f>
        <v>0</v>
      </c>
      <c r="K59" s="38">
        <f>IF(VLOOKUP(K$2&amp;Balance_Sheet[[#This Row],[Aop]],Data[],1)=K$2&amp;Balance_Sheet[[#This Row],[Aop]],VLOOKUP(K$2&amp;Balance_Sheet[[#This Row],[Aop]],Data[],K$1)/Jedinica,"")</f>
        <v>200668459</v>
      </c>
      <c r="L59" s="38">
        <f>IF(VLOOKUP(L$2&amp;Balance_Sheet[[#This Row],[Aop]],Data[],1)=L$2&amp;Balance_Sheet[[#This Row],[Aop]],VLOOKUP(L$2&amp;Balance_Sheet[[#This Row],[Aop]],Data[],L$1)/Jedinica,"")</f>
        <v>221560016</v>
      </c>
      <c r="M59" s="38">
        <f>IF(VLOOKUP(M$2&amp;Balance_Sheet[[#This Row],[Aop]],Data[],1)=M$2&amp;Balance_Sheet[[#This Row],[Aop]],VLOOKUP(M$2&amp;Balance_Sheet[[#This Row],[Aop]],Data[],M$1)/Jedinica,"")</f>
        <v>0</v>
      </c>
      <c r="N59" s="38">
        <f>IF(VLOOKUP(N$2&amp;Balance_Sheet[[#This Row],[Aop]],Data[],1)=N$2&amp;Balance_Sheet[[#This Row],[Aop]],VLOOKUP(N$2&amp;Balance_Sheet[[#This Row],[Aop]],Data[],N$1)/Jedinica,"")</f>
        <v>0</v>
      </c>
      <c r="O59" s="38">
        <f>IF(VLOOKUP(O$2&amp;Balance_Sheet[[#This Row],[Aop]],Data[],1)=O$2&amp;Balance_Sheet[[#This Row],[Aop]],VLOOKUP(O$2&amp;Balance_Sheet[[#This Row],[Aop]],Data[],O$1)/Jedinica,"")</f>
        <v>187816496</v>
      </c>
      <c r="P59" s="38">
        <f>IF(VLOOKUP(P$2&amp;Balance_Sheet[[#This Row],[Aop]],Data[],1)=P$2&amp;Balance_Sheet[[#This Row],[Aop]],VLOOKUP(P$2&amp;Balance_Sheet[[#This Row],[Aop]],Data[],P$1)/Jedinica,"")</f>
        <v>171672253</v>
      </c>
      <c r="Q59" s="38">
        <f>IF(VLOOKUP(Q$2&amp;Balance_Sheet[[#This Row],[Aop]],Data[],1)=Q$2&amp;Balance_Sheet[[#This Row],[Aop]],VLOOKUP(Q$2&amp;Balance_Sheet[[#This Row],[Aop]],Data[],Q$1)/Jedinica,"")</f>
        <v>0</v>
      </c>
      <c r="R59" s="38">
        <f>IF(VLOOKUP(R$2&amp;Balance_Sheet[[#This Row],[Aop]],Data[],1)=R$2&amp;Balance_Sheet[[#This Row],[Aop]],VLOOKUP(R$2&amp;Balance_Sheet[[#This Row],[Aop]],Data[],R$1)/Jedinica,"")</f>
        <v>0</v>
      </c>
      <c r="S59" s="38">
        <f>IF(VLOOKUP(S$2&amp;Balance_Sheet[[#This Row],[Aop]],Data[],1)=S$2&amp;Balance_Sheet[[#This Row],[Aop]],VLOOKUP(S$2&amp;Balance_Sheet[[#This Row],[Aop]],Data[],S$1)/Jedinica,"")</f>
        <v>97545033</v>
      </c>
      <c r="T59" s="38">
        <f>IF(VLOOKUP(T$2&amp;Balance_Sheet[[#This Row],[Aop]],Data[],1)=T$2&amp;Balance_Sheet[[#This Row],[Aop]],VLOOKUP(T$2&amp;Balance_Sheet[[#This Row],[Aop]],Data[],T$1)/Jedinica,"")</f>
        <v>81291602</v>
      </c>
      <c r="U59" s="38">
        <f>IF(VLOOKUP(U$2&amp;Balance_Sheet[[#This Row],[Aop]],Data[],1)=U$2&amp;Balance_Sheet[[#This Row],[Aop]],VLOOKUP(U$2&amp;Balance_Sheet[[#This Row],[Aop]],Data[],U$1)/Jedinica,"")</f>
        <v>0</v>
      </c>
      <c r="V59" s="38">
        <f>IF(VLOOKUP(V$2&amp;Balance_Sheet[[#This Row],[Aop]],Data[],1)=V$2&amp;Balance_Sheet[[#This Row],[Aop]],VLOOKUP(V$2&amp;Balance_Sheet[[#This Row],[Aop]],Data[],V$1)/Jedinica,"")</f>
        <v>0</v>
      </c>
      <c r="W59" s="38">
        <f>IF(VLOOKUP(W$2&amp;Balance_Sheet[[#This Row],[Aop]],Data[],1)=W$2&amp;Balance_Sheet[[#This Row],[Aop]],VLOOKUP(W$2&amp;Balance_Sheet[[#This Row],[Aop]],Data[],W$1)/Jedinica,"")</f>
        <v>714818464</v>
      </c>
      <c r="X59" s="38">
        <f>IF(VLOOKUP(X$2&amp;Balance_Sheet[[#This Row],[Aop]],Data[],1)=X$2&amp;Balance_Sheet[[#This Row],[Aop]],VLOOKUP(X$2&amp;Balance_Sheet[[#This Row],[Aop]],Data[],X$1)/Jedinica,"")</f>
        <v>787487323</v>
      </c>
      <c r="Y59" s="38">
        <f>IF(VLOOKUP(Y$2&amp;Balance_Sheet[[#This Row],[Aop]],Data[],1)=Y$2&amp;Balance_Sheet[[#This Row],[Aop]],VLOOKUP(Y$2&amp;Balance_Sheet[[#This Row],[Aop]],Data[],Y$1)/Jedinica,"")</f>
        <v>0</v>
      </c>
      <c r="Z59" s="38">
        <f>IF(VLOOKUP(Z$2&amp;Balance_Sheet[[#This Row],[Aop]],Data[],1)=Z$2&amp;Balance_Sheet[[#This Row],[Aop]],VLOOKUP(Z$2&amp;Balance_Sheet[[#This Row],[Aop]],Data[],Z$1)/Jedinica,"")</f>
        <v>0</v>
      </c>
      <c r="AA59" s="38">
        <f>IF(VLOOKUP(AA$2&amp;Balance_Sheet[[#This Row],[Aop]],Data[],1)=AA$2&amp;Balance_Sheet[[#This Row],[Aop]],VLOOKUP(AA$2&amp;Balance_Sheet[[#This Row],[Aop]],Data[],AA$1)/Jedinica,"")</f>
        <v>97545033</v>
      </c>
      <c r="AB59" s="38">
        <f>IF(VLOOKUP(AB$2&amp;Balance_Sheet[[#This Row],[Aop]],Data[],1)=AB$2&amp;Balance_Sheet[[#This Row],[Aop]],VLOOKUP(AB$2&amp;Balance_Sheet[[#This Row],[Aop]],Data[],AB$1)/Jedinica,"")</f>
        <v>81291602</v>
      </c>
      <c r="AC59" s="38">
        <f>IF(VLOOKUP(AC$2&amp;Balance_Sheet[[#This Row],[Aop]],Data[],1)=AC$2&amp;Balance_Sheet[[#This Row],[Aop]],VLOOKUP(AC$2&amp;Balance_Sheet[[#This Row],[Aop]],Data[],AC$1)/Jedinica,"")</f>
        <v>0</v>
      </c>
      <c r="AD59" s="38">
        <f>IF(VLOOKUP(AD$2&amp;Balance_Sheet[[#This Row],[Aop]],Data[],1)=AD$2&amp;Balance_Sheet[[#This Row],[Aop]],VLOOKUP(AD$2&amp;Balance_Sheet[[#This Row],[Aop]],Data[],AD$1)/Jedinica,"")</f>
        <v>0</v>
      </c>
      <c r="AE59" s="38">
        <f>IF(VLOOKUP(AE$2&amp;Balance_Sheet[[#This Row],[Aop]],Data[],1)=AE$2&amp;Balance_Sheet[[#This Row],[Aop]],VLOOKUP(AE$2&amp;Balance_Sheet[[#This Row],[Aop]],Data[],AE$1)/Jedinica,"")</f>
        <v>956602897</v>
      </c>
      <c r="AF59" s="38">
        <f>IF(VLOOKUP(AF$2&amp;Balance_Sheet[[#This Row],[Aop]],Data[],1)=AF$2&amp;Balance_Sheet[[#This Row],[Aop]],VLOOKUP(AF$2&amp;Balance_Sheet[[#This Row],[Aop]],Data[],AF$1)/Jedinica,"")</f>
        <v>947532978</v>
      </c>
    </row>
    <row r="60" spans="1:32" ht="12.75" customHeight="1" x14ac:dyDescent="0.2">
      <c r="A60" s="74">
        <v>55</v>
      </c>
      <c r="B60" s="75">
        <v>3</v>
      </c>
      <c r="C60" s="76" t="str">
        <f>VLOOKUP(Balance_Sheet[[#This Row],[No]],AOP_Balance,3,0)</f>
        <v>103</v>
      </c>
      <c r="D60" s="52" t="str">
        <f>VLOOKUP(Balance_Sheet[[#This Row],[No]],AOP_Balance,7,0)</f>
        <v xml:space="preserve">      a) Obaveze po osnovu kredita i depozita u domaćoj valuti</v>
      </c>
      <c r="E60" s="38">
        <f>IF(VLOOKUP(E$2&amp;Balance_Sheet[[#This Row],[Aop]],Data[],1)=E$2&amp;Balance_Sheet[[#This Row],[Aop]],VLOOKUP(E$2&amp;Balance_Sheet[[#This Row],[Aop]],Data[],E$1)/Jedinica,"")</f>
        <v>0</v>
      </c>
      <c r="F60" s="38">
        <f>IF(VLOOKUP(F$2&amp;Balance_Sheet[[#This Row],[Aop]],Data[],1)=F$2&amp;Balance_Sheet[[#This Row],[Aop]],VLOOKUP(F$2&amp;Balance_Sheet[[#This Row],[Aop]],Data[],F$1)/Jedinica,"")</f>
        <v>0</v>
      </c>
      <c r="G60" s="38">
        <f>IF(VLOOKUP(G$2&amp;Balance_Sheet[[#This Row],[Aop]],Data[],1)=G$2&amp;Balance_Sheet[[#This Row],[Aop]],VLOOKUP(G$2&amp;Balance_Sheet[[#This Row],[Aop]],Data[],G$1)/Jedinica,"")</f>
        <v>138498627</v>
      </c>
      <c r="H60" s="38">
        <f>IF(VLOOKUP(H$2&amp;Balance_Sheet[[#This Row],[Aop]],Data[],1)=H$2&amp;Balance_Sheet[[#This Row],[Aop]],VLOOKUP(H$2&amp;Balance_Sheet[[#This Row],[Aop]],Data[],H$1)/Jedinica,"")</f>
        <v>125884354</v>
      </c>
      <c r="I60" s="38">
        <f>IF(VLOOKUP(I$2&amp;Balance_Sheet[[#This Row],[Aop]],Data[],1)=I$2&amp;Balance_Sheet[[#This Row],[Aop]],VLOOKUP(I$2&amp;Balance_Sheet[[#This Row],[Aop]],Data[],I$1)/Jedinica,"")</f>
        <v>0</v>
      </c>
      <c r="J60" s="38">
        <f>IF(VLOOKUP(J$2&amp;Balance_Sheet[[#This Row],[Aop]],Data[],1)=J$2&amp;Balance_Sheet[[#This Row],[Aop]],VLOOKUP(J$2&amp;Balance_Sheet[[#This Row],[Aop]],Data[],J$1)/Jedinica,"")</f>
        <v>0</v>
      </c>
      <c r="K60" s="38">
        <f>IF(VLOOKUP(K$2&amp;Balance_Sheet[[#This Row],[Aop]],Data[],1)=K$2&amp;Balance_Sheet[[#This Row],[Aop]],VLOOKUP(K$2&amp;Balance_Sheet[[#This Row],[Aop]],Data[],K$1)/Jedinica,"")</f>
        <v>55953806</v>
      </c>
      <c r="L60" s="38">
        <f>IF(VLOOKUP(L$2&amp;Balance_Sheet[[#This Row],[Aop]],Data[],1)=L$2&amp;Balance_Sheet[[#This Row],[Aop]],VLOOKUP(L$2&amp;Balance_Sheet[[#This Row],[Aop]],Data[],L$1)/Jedinica,"")</f>
        <v>41699378</v>
      </c>
      <c r="M60" s="38">
        <f>IF(VLOOKUP(M$2&amp;Balance_Sheet[[#This Row],[Aop]],Data[],1)=M$2&amp;Balance_Sheet[[#This Row],[Aop]],VLOOKUP(M$2&amp;Balance_Sheet[[#This Row],[Aop]],Data[],M$1)/Jedinica,"")</f>
        <v>0</v>
      </c>
      <c r="N60" s="38">
        <f>IF(VLOOKUP(N$2&amp;Balance_Sheet[[#This Row],[Aop]],Data[],1)=N$2&amp;Balance_Sheet[[#This Row],[Aop]],VLOOKUP(N$2&amp;Balance_Sheet[[#This Row],[Aop]],Data[],N$1)/Jedinica,"")</f>
        <v>0</v>
      </c>
      <c r="O60" s="38">
        <f>IF(VLOOKUP(O$2&amp;Balance_Sheet[[#This Row],[Aop]],Data[],1)=O$2&amp;Balance_Sheet[[#This Row],[Aop]],VLOOKUP(O$2&amp;Balance_Sheet[[#This Row],[Aop]],Data[],O$1)/Jedinica,"")</f>
        <v>73433385</v>
      </c>
      <c r="P60" s="38">
        <f>IF(VLOOKUP(P$2&amp;Balance_Sheet[[#This Row],[Aop]],Data[],1)=P$2&amp;Balance_Sheet[[#This Row],[Aop]],VLOOKUP(P$2&amp;Balance_Sheet[[#This Row],[Aop]],Data[],P$1)/Jedinica,"")</f>
        <v>72862449</v>
      </c>
      <c r="Q60" s="38">
        <f>IF(VLOOKUP(Q$2&amp;Balance_Sheet[[#This Row],[Aop]],Data[],1)=Q$2&amp;Balance_Sheet[[#This Row],[Aop]],VLOOKUP(Q$2&amp;Balance_Sheet[[#This Row],[Aop]],Data[],Q$1)/Jedinica,"")</f>
        <v>0</v>
      </c>
      <c r="R60" s="38">
        <f>IF(VLOOKUP(R$2&amp;Balance_Sheet[[#This Row],[Aop]],Data[],1)=R$2&amp;Balance_Sheet[[#This Row],[Aop]],VLOOKUP(R$2&amp;Balance_Sheet[[#This Row],[Aop]],Data[],R$1)/Jedinica,"")</f>
        <v>0</v>
      </c>
      <c r="S60" s="38">
        <f>IF(VLOOKUP(S$2&amp;Balance_Sheet[[#This Row],[Aop]],Data[],1)=S$2&amp;Balance_Sheet[[#This Row],[Aop]],VLOOKUP(S$2&amp;Balance_Sheet[[#This Row],[Aop]],Data[],S$1)/Jedinica,"")</f>
        <v>19490582</v>
      </c>
      <c r="T60" s="38">
        <f>IF(VLOOKUP(T$2&amp;Balance_Sheet[[#This Row],[Aop]],Data[],1)=T$2&amp;Balance_Sheet[[#This Row],[Aop]],VLOOKUP(T$2&amp;Balance_Sheet[[#This Row],[Aop]],Data[],T$1)/Jedinica,"")</f>
        <v>17351761</v>
      </c>
      <c r="U60" s="38">
        <f>IF(VLOOKUP(U$2&amp;Balance_Sheet[[#This Row],[Aop]],Data[],1)=U$2&amp;Balance_Sheet[[#This Row],[Aop]],VLOOKUP(U$2&amp;Balance_Sheet[[#This Row],[Aop]],Data[],U$1)/Jedinica,"")</f>
        <v>0</v>
      </c>
      <c r="V60" s="38">
        <f>IF(VLOOKUP(V$2&amp;Balance_Sheet[[#This Row],[Aop]],Data[],1)=V$2&amp;Balance_Sheet[[#This Row],[Aop]],VLOOKUP(V$2&amp;Balance_Sheet[[#This Row],[Aop]],Data[],V$1)/Jedinica,"")</f>
        <v>0</v>
      </c>
      <c r="W60" s="38">
        <f>IF(VLOOKUP(W$2&amp;Balance_Sheet[[#This Row],[Aop]],Data[],1)=W$2&amp;Balance_Sheet[[#This Row],[Aop]],VLOOKUP(W$2&amp;Balance_Sheet[[#This Row],[Aop]],Data[],W$1)/Jedinica,"")</f>
        <v>253078628</v>
      </c>
      <c r="X60" s="38">
        <f>IF(VLOOKUP(X$2&amp;Balance_Sheet[[#This Row],[Aop]],Data[],1)=X$2&amp;Balance_Sheet[[#This Row],[Aop]],VLOOKUP(X$2&amp;Balance_Sheet[[#This Row],[Aop]],Data[],X$1)/Jedinica,"")</f>
        <v>263565667</v>
      </c>
      <c r="Y60" s="38">
        <f>IF(VLOOKUP(Y$2&amp;Balance_Sheet[[#This Row],[Aop]],Data[],1)=Y$2&amp;Balance_Sheet[[#This Row],[Aop]],VLOOKUP(Y$2&amp;Balance_Sheet[[#This Row],[Aop]],Data[],Y$1)/Jedinica,"")</f>
        <v>0</v>
      </c>
      <c r="Z60" s="38">
        <f>IF(VLOOKUP(Z$2&amp;Balance_Sheet[[#This Row],[Aop]],Data[],1)=Z$2&amp;Balance_Sheet[[#This Row],[Aop]],VLOOKUP(Z$2&amp;Balance_Sheet[[#This Row],[Aop]],Data[],Z$1)/Jedinica,"")</f>
        <v>0</v>
      </c>
      <c r="AA60" s="38">
        <f>IF(VLOOKUP(AA$2&amp;Balance_Sheet[[#This Row],[Aop]],Data[],1)=AA$2&amp;Balance_Sheet[[#This Row],[Aop]],VLOOKUP(AA$2&amp;Balance_Sheet[[#This Row],[Aop]],Data[],AA$1)/Jedinica,"")</f>
        <v>19490582</v>
      </c>
      <c r="AB60" s="38">
        <f>IF(VLOOKUP(AB$2&amp;Balance_Sheet[[#This Row],[Aop]],Data[],1)=AB$2&amp;Balance_Sheet[[#This Row],[Aop]],VLOOKUP(AB$2&amp;Balance_Sheet[[#This Row],[Aop]],Data[],AB$1)/Jedinica,"")</f>
        <v>17351761</v>
      </c>
      <c r="AC60" s="38">
        <f>IF(VLOOKUP(AC$2&amp;Balance_Sheet[[#This Row],[Aop]],Data[],1)=AC$2&amp;Balance_Sheet[[#This Row],[Aop]],VLOOKUP(AC$2&amp;Balance_Sheet[[#This Row],[Aop]],Data[],AC$1)/Jedinica,"")</f>
        <v>0</v>
      </c>
      <c r="AD60" s="38">
        <f>IF(VLOOKUP(AD$2&amp;Balance_Sheet[[#This Row],[Aop]],Data[],1)=AD$2&amp;Balance_Sheet[[#This Row],[Aop]],VLOOKUP(AD$2&amp;Balance_Sheet[[#This Row],[Aop]],Data[],AD$1)/Jedinica,"")</f>
        <v>0</v>
      </c>
      <c r="AE60" s="38">
        <f>IF(VLOOKUP(AE$2&amp;Balance_Sheet[[#This Row],[Aop]],Data[],1)=AE$2&amp;Balance_Sheet[[#This Row],[Aop]],VLOOKUP(AE$2&amp;Balance_Sheet[[#This Row],[Aop]],Data[],AE$1)/Jedinica,"")</f>
        <v>280390121</v>
      </c>
      <c r="AF60" s="38">
        <f>IF(VLOOKUP(AF$2&amp;Balance_Sheet[[#This Row],[Aop]],Data[],1)=AF$2&amp;Balance_Sheet[[#This Row],[Aop]],VLOOKUP(AF$2&amp;Balance_Sheet[[#This Row],[Aop]],Data[],AF$1)/Jedinica,"")</f>
        <v>340631052</v>
      </c>
    </row>
    <row r="61" spans="1:32" ht="12.75" customHeight="1" x14ac:dyDescent="0.2">
      <c r="A61" s="74">
        <v>56</v>
      </c>
      <c r="B61" s="75">
        <v>3</v>
      </c>
      <c r="C61" s="76" t="str">
        <f>VLOOKUP(Balance_Sheet[[#This Row],[No]],AOP_Balance,3,0)</f>
        <v>104</v>
      </c>
      <c r="D61" s="52" t="str">
        <f>VLOOKUP(Balance_Sheet[[#This Row],[No]],AOP_Balance,7,0)</f>
        <v xml:space="preserve">      b) Obaveze po osnovu kredita i depozita sa ugovorenom zaštitom od rizika u domaćoj valuti</v>
      </c>
      <c r="E61" s="38" t="str">
        <f>IF(VLOOKUP(E$2&amp;Balance_Sheet[[#This Row],[Aop]],Data[],1)=E$2&amp;Balance_Sheet[[#This Row],[Aop]],VLOOKUP(E$2&amp;Balance_Sheet[[#This Row],[Aop]],Data[],E$1)/Jedinica,"")</f>
        <v/>
      </c>
      <c r="F61" s="38" t="str">
        <f>IF(VLOOKUP(F$2&amp;Balance_Sheet[[#This Row],[Aop]],Data[],1)=F$2&amp;Balance_Sheet[[#This Row],[Aop]],VLOOKUP(F$2&amp;Balance_Sheet[[#This Row],[Aop]],Data[],F$1)/Jedinica,"")</f>
        <v/>
      </c>
      <c r="G61" s="38" t="str">
        <f>IF(VLOOKUP(G$2&amp;Balance_Sheet[[#This Row],[Aop]],Data[],1)=G$2&amp;Balance_Sheet[[#This Row],[Aop]],VLOOKUP(G$2&amp;Balance_Sheet[[#This Row],[Aop]],Data[],G$1)/Jedinica,"")</f>
        <v/>
      </c>
      <c r="H61" s="38" t="str">
        <f>IF(VLOOKUP(H$2&amp;Balance_Sheet[[#This Row],[Aop]],Data[],1)=H$2&amp;Balance_Sheet[[#This Row],[Aop]],VLOOKUP(H$2&amp;Balance_Sheet[[#This Row],[Aop]],Data[],H$1)/Jedinica,"")</f>
        <v/>
      </c>
      <c r="I61" s="38">
        <f>IF(VLOOKUP(I$2&amp;Balance_Sheet[[#This Row],[Aop]],Data[],1)=I$2&amp;Balance_Sheet[[#This Row],[Aop]],VLOOKUP(I$2&amp;Balance_Sheet[[#This Row],[Aop]],Data[],I$1)/Jedinica,"")</f>
        <v>0</v>
      </c>
      <c r="J61" s="38">
        <f>IF(VLOOKUP(J$2&amp;Balance_Sheet[[#This Row],[Aop]],Data[],1)=J$2&amp;Balance_Sheet[[#This Row],[Aop]],VLOOKUP(J$2&amp;Balance_Sheet[[#This Row],[Aop]],Data[],J$1)/Jedinica,"")</f>
        <v>0</v>
      </c>
      <c r="K61" s="38">
        <f>IF(VLOOKUP(K$2&amp;Balance_Sheet[[#This Row],[Aop]],Data[],1)=K$2&amp;Balance_Sheet[[#This Row],[Aop]],VLOOKUP(K$2&amp;Balance_Sheet[[#This Row],[Aop]],Data[],K$1)/Jedinica,"")</f>
        <v>89587887</v>
      </c>
      <c r="L61" s="38">
        <f>IF(VLOOKUP(L$2&amp;Balance_Sheet[[#This Row],[Aop]],Data[],1)=L$2&amp;Balance_Sheet[[#This Row],[Aop]],VLOOKUP(L$2&amp;Balance_Sheet[[#This Row],[Aop]],Data[],L$1)/Jedinica,"")</f>
        <v>94519981</v>
      </c>
      <c r="M61" s="38">
        <f>IF(VLOOKUP(M$2&amp;Balance_Sheet[[#This Row],[Aop]],Data[],1)=M$2&amp;Balance_Sheet[[#This Row],[Aop]],VLOOKUP(M$2&amp;Balance_Sheet[[#This Row],[Aop]],Data[],M$1)/Jedinica,"")</f>
        <v>0</v>
      </c>
      <c r="N61" s="38">
        <f>IF(VLOOKUP(N$2&amp;Balance_Sheet[[#This Row],[Aop]],Data[],1)=N$2&amp;Balance_Sheet[[#This Row],[Aop]],VLOOKUP(N$2&amp;Balance_Sheet[[#This Row],[Aop]],Data[],N$1)/Jedinica,"")</f>
        <v>0</v>
      </c>
      <c r="O61" s="38">
        <f>IF(VLOOKUP(O$2&amp;Balance_Sheet[[#This Row],[Aop]],Data[],1)=O$2&amp;Balance_Sheet[[#This Row],[Aop]],VLOOKUP(O$2&amp;Balance_Sheet[[#This Row],[Aop]],Data[],O$1)/Jedinica,"")</f>
        <v>68586853</v>
      </c>
      <c r="P61" s="38">
        <f>IF(VLOOKUP(P$2&amp;Balance_Sheet[[#This Row],[Aop]],Data[],1)=P$2&amp;Balance_Sheet[[#This Row],[Aop]],VLOOKUP(P$2&amp;Balance_Sheet[[#This Row],[Aop]],Data[],P$1)/Jedinica,"")</f>
        <v>56709740</v>
      </c>
      <c r="Q61" s="38">
        <f>IF(VLOOKUP(Q$2&amp;Balance_Sheet[[#This Row],[Aop]],Data[],1)=Q$2&amp;Balance_Sheet[[#This Row],[Aop]],VLOOKUP(Q$2&amp;Balance_Sheet[[#This Row],[Aop]],Data[],Q$1)/Jedinica,"")</f>
        <v>0</v>
      </c>
      <c r="R61" s="38">
        <f>IF(VLOOKUP(R$2&amp;Balance_Sheet[[#This Row],[Aop]],Data[],1)=R$2&amp;Balance_Sheet[[#This Row],[Aop]],VLOOKUP(R$2&amp;Balance_Sheet[[#This Row],[Aop]],Data[],R$1)/Jedinica,"")</f>
        <v>0</v>
      </c>
      <c r="S61" s="38">
        <f>IF(VLOOKUP(S$2&amp;Balance_Sheet[[#This Row],[Aop]],Data[],1)=S$2&amp;Balance_Sheet[[#This Row],[Aop]],VLOOKUP(S$2&amp;Balance_Sheet[[#This Row],[Aop]],Data[],S$1)/Jedinica,"")</f>
        <v>37036781</v>
      </c>
      <c r="T61" s="38">
        <f>IF(VLOOKUP(T$2&amp;Balance_Sheet[[#This Row],[Aop]],Data[],1)=T$2&amp;Balance_Sheet[[#This Row],[Aop]],VLOOKUP(T$2&amp;Balance_Sheet[[#This Row],[Aop]],Data[],T$1)/Jedinica,"")</f>
        <v>37618472</v>
      </c>
      <c r="U61" s="38">
        <f>IF(VLOOKUP(U$2&amp;Balance_Sheet[[#This Row],[Aop]],Data[],1)=U$2&amp;Balance_Sheet[[#This Row],[Aop]],VLOOKUP(U$2&amp;Balance_Sheet[[#This Row],[Aop]],Data[],U$1)/Jedinica,"")</f>
        <v>0</v>
      </c>
      <c r="V61" s="38">
        <f>IF(VLOOKUP(V$2&amp;Balance_Sheet[[#This Row],[Aop]],Data[],1)=V$2&amp;Balance_Sheet[[#This Row],[Aop]],VLOOKUP(V$2&amp;Balance_Sheet[[#This Row],[Aop]],Data[],V$1)/Jedinica,"")</f>
        <v>0</v>
      </c>
      <c r="W61" s="38">
        <f>IF(VLOOKUP(W$2&amp;Balance_Sheet[[#This Row],[Aop]],Data[],1)=W$2&amp;Balance_Sheet[[#This Row],[Aop]],VLOOKUP(W$2&amp;Balance_Sheet[[#This Row],[Aop]],Data[],W$1)/Jedinica,"")</f>
        <v>96844749</v>
      </c>
      <c r="X61" s="38">
        <f>IF(VLOOKUP(X$2&amp;Balance_Sheet[[#This Row],[Aop]],Data[],1)=X$2&amp;Balance_Sheet[[#This Row],[Aop]],VLOOKUP(X$2&amp;Balance_Sheet[[#This Row],[Aop]],Data[],X$1)/Jedinica,"")</f>
        <v>90282805</v>
      </c>
      <c r="Y61" s="38">
        <f>IF(VLOOKUP(Y$2&amp;Balance_Sheet[[#This Row],[Aop]],Data[],1)=Y$2&amp;Balance_Sheet[[#This Row],[Aop]],VLOOKUP(Y$2&amp;Balance_Sheet[[#This Row],[Aop]],Data[],Y$1)/Jedinica,"")</f>
        <v>0</v>
      </c>
      <c r="Z61" s="38">
        <f>IF(VLOOKUP(Z$2&amp;Balance_Sheet[[#This Row],[Aop]],Data[],1)=Z$2&amp;Balance_Sheet[[#This Row],[Aop]],VLOOKUP(Z$2&amp;Balance_Sheet[[#This Row],[Aop]],Data[],Z$1)/Jedinica,"")</f>
        <v>0</v>
      </c>
      <c r="AA61" s="38">
        <f>IF(VLOOKUP(AA$2&amp;Balance_Sheet[[#This Row],[Aop]],Data[],1)=AA$2&amp;Balance_Sheet[[#This Row],[Aop]],VLOOKUP(AA$2&amp;Balance_Sheet[[#This Row],[Aop]],Data[],AA$1)/Jedinica,"")</f>
        <v>37036781</v>
      </c>
      <c r="AB61" s="38">
        <f>IF(VLOOKUP(AB$2&amp;Balance_Sheet[[#This Row],[Aop]],Data[],1)=AB$2&amp;Balance_Sheet[[#This Row],[Aop]],VLOOKUP(AB$2&amp;Balance_Sheet[[#This Row],[Aop]],Data[],AB$1)/Jedinica,"")</f>
        <v>37618472</v>
      </c>
      <c r="AC61" s="38">
        <f>IF(VLOOKUP(AC$2&amp;Balance_Sheet[[#This Row],[Aop]],Data[],1)=AC$2&amp;Balance_Sheet[[#This Row],[Aop]],VLOOKUP(AC$2&amp;Balance_Sheet[[#This Row],[Aop]],Data[],AC$1)/Jedinica,"")</f>
        <v>0</v>
      </c>
      <c r="AD61" s="38">
        <f>IF(VLOOKUP(AD$2&amp;Balance_Sheet[[#This Row],[Aop]],Data[],1)=AD$2&amp;Balance_Sheet[[#This Row],[Aop]],VLOOKUP(AD$2&amp;Balance_Sheet[[#This Row],[Aop]],Data[],AD$1)/Jedinica,"")</f>
        <v>0</v>
      </c>
      <c r="AE61" s="38">
        <f>IF(VLOOKUP(AE$2&amp;Balance_Sheet[[#This Row],[Aop]],Data[],1)=AE$2&amp;Balance_Sheet[[#This Row],[Aop]],VLOOKUP(AE$2&amp;Balance_Sheet[[#This Row],[Aop]],Data[],AE$1)/Jedinica,"")</f>
        <v>293224081</v>
      </c>
      <c r="AF61" s="38">
        <f>IF(VLOOKUP(AF$2&amp;Balance_Sheet[[#This Row],[Aop]],Data[],1)=AF$2&amp;Balance_Sheet[[#This Row],[Aop]],VLOOKUP(AF$2&amp;Balance_Sheet[[#This Row],[Aop]],Data[],AF$1)/Jedinica,"")</f>
        <v>225105284</v>
      </c>
    </row>
    <row r="62" spans="1:32" ht="12.75" customHeight="1" x14ac:dyDescent="0.2">
      <c r="A62" s="74">
        <v>57</v>
      </c>
      <c r="B62" s="75">
        <v>3</v>
      </c>
      <c r="C62" s="76" t="str">
        <f>VLOOKUP(Balance_Sheet[[#This Row],[No]],AOP_Balance,3,0)</f>
        <v>105</v>
      </c>
      <c r="D62" s="52" t="str">
        <f>VLOOKUP(Balance_Sheet[[#This Row],[No]],AOP_Balance,7,0)</f>
        <v xml:space="preserve">      v) Obaveze po osnovu kredita i depozita u stranoj valuti</v>
      </c>
      <c r="E62" s="38">
        <f>IF(VLOOKUP(E$2&amp;Balance_Sheet[[#This Row],[Aop]],Data[],1)=E$2&amp;Balance_Sheet[[#This Row],[Aop]],VLOOKUP(E$2&amp;Balance_Sheet[[#This Row],[Aop]],Data[],E$1)/Jedinica,"")</f>
        <v>0</v>
      </c>
      <c r="F62" s="38">
        <f>IF(VLOOKUP(F$2&amp;Balance_Sheet[[#This Row],[Aop]],Data[],1)=F$2&amp;Balance_Sheet[[#This Row],[Aop]],VLOOKUP(F$2&amp;Balance_Sheet[[#This Row],[Aop]],Data[],F$1)/Jedinica,"")</f>
        <v>0</v>
      </c>
      <c r="G62" s="38">
        <f>IF(VLOOKUP(G$2&amp;Balance_Sheet[[#This Row],[Aop]],Data[],1)=G$2&amp;Balance_Sheet[[#This Row],[Aop]],VLOOKUP(G$2&amp;Balance_Sheet[[#This Row],[Aop]],Data[],G$1)/Jedinica,"")</f>
        <v>69501760</v>
      </c>
      <c r="H62" s="38">
        <f>IF(VLOOKUP(H$2&amp;Balance_Sheet[[#This Row],[Aop]],Data[],1)=H$2&amp;Balance_Sheet[[#This Row],[Aop]],VLOOKUP(H$2&amp;Balance_Sheet[[#This Row],[Aop]],Data[],H$1)/Jedinica,"")</f>
        <v>60421092</v>
      </c>
      <c r="I62" s="38">
        <f>IF(VLOOKUP(I$2&amp;Balance_Sheet[[#This Row],[Aop]],Data[],1)=I$2&amp;Balance_Sheet[[#This Row],[Aop]],VLOOKUP(I$2&amp;Balance_Sheet[[#This Row],[Aop]],Data[],I$1)/Jedinica,"")</f>
        <v>0</v>
      </c>
      <c r="J62" s="38">
        <f>IF(VLOOKUP(J$2&amp;Balance_Sheet[[#This Row],[Aop]],Data[],1)=J$2&amp;Balance_Sheet[[#This Row],[Aop]],VLOOKUP(J$2&amp;Balance_Sheet[[#This Row],[Aop]],Data[],J$1)/Jedinica,"")</f>
        <v>0</v>
      </c>
      <c r="K62" s="38">
        <f>IF(VLOOKUP(K$2&amp;Balance_Sheet[[#This Row],[Aop]],Data[],1)=K$2&amp;Balance_Sheet[[#This Row],[Aop]],VLOOKUP(K$2&amp;Balance_Sheet[[#This Row],[Aop]],Data[],K$1)/Jedinica,"")</f>
        <v>55126766</v>
      </c>
      <c r="L62" s="38">
        <f>IF(VLOOKUP(L$2&amp;Balance_Sheet[[#This Row],[Aop]],Data[],1)=L$2&amp;Balance_Sheet[[#This Row],[Aop]],VLOOKUP(L$2&amp;Balance_Sheet[[#This Row],[Aop]],Data[],L$1)/Jedinica,"")</f>
        <v>85340657</v>
      </c>
      <c r="M62" s="38">
        <f>IF(VLOOKUP(M$2&amp;Balance_Sheet[[#This Row],[Aop]],Data[],1)=M$2&amp;Balance_Sheet[[#This Row],[Aop]],VLOOKUP(M$2&amp;Balance_Sheet[[#This Row],[Aop]],Data[],M$1)/Jedinica,"")</f>
        <v>0</v>
      </c>
      <c r="N62" s="38">
        <f>IF(VLOOKUP(N$2&amp;Balance_Sheet[[#This Row],[Aop]],Data[],1)=N$2&amp;Balance_Sheet[[#This Row],[Aop]],VLOOKUP(N$2&amp;Balance_Sheet[[#This Row],[Aop]],Data[],N$1)/Jedinica,"")</f>
        <v>0</v>
      </c>
      <c r="O62" s="38">
        <f>IF(VLOOKUP(O$2&amp;Balance_Sheet[[#This Row],[Aop]],Data[],1)=O$2&amp;Balance_Sheet[[#This Row],[Aop]],VLOOKUP(O$2&amp;Balance_Sheet[[#This Row],[Aop]],Data[],O$1)/Jedinica,"")</f>
        <v>45796258</v>
      </c>
      <c r="P62" s="38">
        <f>IF(VLOOKUP(P$2&amp;Balance_Sheet[[#This Row],[Aop]],Data[],1)=P$2&amp;Balance_Sheet[[#This Row],[Aop]],VLOOKUP(P$2&amp;Balance_Sheet[[#This Row],[Aop]],Data[],P$1)/Jedinica,"")</f>
        <v>42100064</v>
      </c>
      <c r="Q62" s="38">
        <f>IF(VLOOKUP(Q$2&amp;Balance_Sheet[[#This Row],[Aop]],Data[],1)=Q$2&amp;Balance_Sheet[[#This Row],[Aop]],VLOOKUP(Q$2&amp;Balance_Sheet[[#This Row],[Aop]],Data[],Q$1)/Jedinica,"")</f>
        <v>0</v>
      </c>
      <c r="R62" s="38">
        <f>IF(VLOOKUP(R$2&amp;Balance_Sheet[[#This Row],[Aop]],Data[],1)=R$2&amp;Balance_Sheet[[#This Row],[Aop]],VLOOKUP(R$2&amp;Balance_Sheet[[#This Row],[Aop]],Data[],R$1)/Jedinica,"")</f>
        <v>0</v>
      </c>
      <c r="S62" s="38">
        <f>IF(VLOOKUP(S$2&amp;Balance_Sheet[[#This Row],[Aop]],Data[],1)=S$2&amp;Balance_Sheet[[#This Row],[Aop]],VLOOKUP(S$2&amp;Balance_Sheet[[#This Row],[Aop]],Data[],S$1)/Jedinica,"")</f>
        <v>41017670</v>
      </c>
      <c r="T62" s="38">
        <f>IF(VLOOKUP(T$2&amp;Balance_Sheet[[#This Row],[Aop]],Data[],1)=T$2&amp;Balance_Sheet[[#This Row],[Aop]],VLOOKUP(T$2&amp;Balance_Sheet[[#This Row],[Aop]],Data[],T$1)/Jedinica,"")</f>
        <v>26321369</v>
      </c>
      <c r="U62" s="38">
        <f>IF(VLOOKUP(U$2&amp;Balance_Sheet[[#This Row],[Aop]],Data[],1)=U$2&amp;Balance_Sheet[[#This Row],[Aop]],VLOOKUP(U$2&amp;Balance_Sheet[[#This Row],[Aop]],Data[],U$1)/Jedinica,"")</f>
        <v>0</v>
      </c>
      <c r="V62" s="38">
        <f>IF(VLOOKUP(V$2&amp;Balance_Sheet[[#This Row],[Aop]],Data[],1)=V$2&amp;Balance_Sheet[[#This Row],[Aop]],VLOOKUP(V$2&amp;Balance_Sheet[[#This Row],[Aop]],Data[],V$1)/Jedinica,"")</f>
        <v>0</v>
      </c>
      <c r="W62" s="38">
        <f>IF(VLOOKUP(W$2&amp;Balance_Sheet[[#This Row],[Aop]],Data[],1)=W$2&amp;Balance_Sheet[[#This Row],[Aop]],VLOOKUP(W$2&amp;Balance_Sheet[[#This Row],[Aop]],Data[],W$1)/Jedinica,"")</f>
        <v>364895087</v>
      </c>
      <c r="X62" s="38">
        <f>IF(VLOOKUP(X$2&amp;Balance_Sheet[[#This Row],[Aop]],Data[],1)=X$2&amp;Balance_Sheet[[#This Row],[Aop]],VLOOKUP(X$2&amp;Balance_Sheet[[#This Row],[Aop]],Data[],X$1)/Jedinica,"")</f>
        <v>433638851</v>
      </c>
      <c r="Y62" s="38">
        <f>IF(VLOOKUP(Y$2&amp;Balance_Sheet[[#This Row],[Aop]],Data[],1)=Y$2&amp;Balance_Sheet[[#This Row],[Aop]],VLOOKUP(Y$2&amp;Balance_Sheet[[#This Row],[Aop]],Data[],Y$1)/Jedinica,"")</f>
        <v>0</v>
      </c>
      <c r="Z62" s="38">
        <f>IF(VLOOKUP(Z$2&amp;Balance_Sheet[[#This Row],[Aop]],Data[],1)=Z$2&amp;Balance_Sheet[[#This Row],[Aop]],VLOOKUP(Z$2&amp;Balance_Sheet[[#This Row],[Aop]],Data[],Z$1)/Jedinica,"")</f>
        <v>0</v>
      </c>
      <c r="AA62" s="38">
        <f>IF(VLOOKUP(AA$2&amp;Balance_Sheet[[#This Row],[Aop]],Data[],1)=AA$2&amp;Balance_Sheet[[#This Row],[Aop]],VLOOKUP(AA$2&amp;Balance_Sheet[[#This Row],[Aop]],Data[],AA$1)/Jedinica,"")</f>
        <v>41017670</v>
      </c>
      <c r="AB62" s="38">
        <f>IF(VLOOKUP(AB$2&amp;Balance_Sheet[[#This Row],[Aop]],Data[],1)=AB$2&amp;Balance_Sheet[[#This Row],[Aop]],VLOOKUP(AB$2&amp;Balance_Sheet[[#This Row],[Aop]],Data[],AB$1)/Jedinica,"")</f>
        <v>26321369</v>
      </c>
      <c r="AC62" s="38">
        <f>IF(VLOOKUP(AC$2&amp;Balance_Sheet[[#This Row],[Aop]],Data[],1)=AC$2&amp;Balance_Sheet[[#This Row],[Aop]],VLOOKUP(AC$2&amp;Balance_Sheet[[#This Row],[Aop]],Data[],AC$1)/Jedinica,"")</f>
        <v>0</v>
      </c>
      <c r="AD62" s="38">
        <f>IF(VLOOKUP(AD$2&amp;Balance_Sheet[[#This Row],[Aop]],Data[],1)=AD$2&amp;Balance_Sheet[[#This Row],[Aop]],VLOOKUP(AD$2&amp;Balance_Sheet[[#This Row],[Aop]],Data[],AD$1)/Jedinica,"")</f>
        <v>0</v>
      </c>
      <c r="AE62" s="38">
        <f>IF(VLOOKUP(AE$2&amp;Balance_Sheet[[#This Row],[Aop]],Data[],1)=AE$2&amp;Balance_Sheet[[#This Row],[Aop]],VLOOKUP(AE$2&amp;Balance_Sheet[[#This Row],[Aop]],Data[],AE$1)/Jedinica,"")</f>
        <v>382988695</v>
      </c>
      <c r="AF62" s="38">
        <f>IF(VLOOKUP(AF$2&amp;Balance_Sheet[[#This Row],[Aop]],Data[],1)=AF$2&amp;Balance_Sheet[[#This Row],[Aop]],VLOOKUP(AF$2&amp;Balance_Sheet[[#This Row],[Aop]],Data[],AF$1)/Jedinica,"")</f>
        <v>381796642</v>
      </c>
    </row>
    <row r="63" spans="1:32" ht="12.75" customHeight="1" x14ac:dyDescent="0.2">
      <c r="A63" s="74">
        <v>58</v>
      </c>
      <c r="B63" s="75">
        <v>2</v>
      </c>
      <c r="C63" s="76" t="str">
        <f>VLOOKUP(Balance_Sheet[[#This Row],[No]],AOP_Balance,3,0)</f>
        <v>106</v>
      </c>
      <c r="D63" s="52" t="str">
        <f>VLOOKUP(Balance_Sheet[[#This Row],[No]],AOP_Balance,7,0)</f>
        <v xml:space="preserve">    2. Obaveze za kamatu i naknadu (107+108)</v>
      </c>
      <c r="E63" s="38">
        <f>IF(VLOOKUP(E$2&amp;Balance_Sheet[[#This Row],[Aop]],Data[],1)=E$2&amp;Balance_Sheet[[#This Row],[Aop]],VLOOKUP(E$2&amp;Balance_Sheet[[#This Row],[Aop]],Data[],E$1)/Jedinica,"")</f>
        <v>0</v>
      </c>
      <c r="F63" s="38">
        <f>IF(VLOOKUP(F$2&amp;Balance_Sheet[[#This Row],[Aop]],Data[],1)=F$2&amp;Balance_Sheet[[#This Row],[Aop]],VLOOKUP(F$2&amp;Balance_Sheet[[#This Row],[Aop]],Data[],F$1)/Jedinica,"")</f>
        <v>0</v>
      </c>
      <c r="G63" s="38">
        <f>IF(VLOOKUP(G$2&amp;Balance_Sheet[[#This Row],[Aop]],Data[],1)=G$2&amp;Balance_Sheet[[#This Row],[Aop]],VLOOKUP(G$2&amp;Balance_Sheet[[#This Row],[Aop]],Data[],G$1)/Jedinica,"")</f>
        <v>59632</v>
      </c>
      <c r="H63" s="38">
        <f>IF(VLOOKUP(H$2&amp;Balance_Sheet[[#This Row],[Aop]],Data[],1)=H$2&amp;Balance_Sheet[[#This Row],[Aop]],VLOOKUP(H$2&amp;Balance_Sheet[[#This Row],[Aop]],Data[],H$1)/Jedinica,"")</f>
        <v>10512</v>
      </c>
      <c r="I63" s="38">
        <f>IF(VLOOKUP(I$2&amp;Balance_Sheet[[#This Row],[Aop]],Data[],1)=I$2&amp;Balance_Sheet[[#This Row],[Aop]],VLOOKUP(I$2&amp;Balance_Sheet[[#This Row],[Aop]],Data[],I$1)/Jedinica,"")</f>
        <v>0</v>
      </c>
      <c r="J63" s="38">
        <f>IF(VLOOKUP(J$2&amp;Balance_Sheet[[#This Row],[Aop]],Data[],1)=J$2&amp;Balance_Sheet[[#This Row],[Aop]],VLOOKUP(J$2&amp;Balance_Sheet[[#This Row],[Aop]],Data[],J$1)/Jedinica,"")</f>
        <v>0</v>
      </c>
      <c r="K63" s="38">
        <f>IF(VLOOKUP(K$2&amp;Balance_Sheet[[#This Row],[Aop]],Data[],1)=K$2&amp;Balance_Sheet[[#This Row],[Aop]],VLOOKUP(K$2&amp;Balance_Sheet[[#This Row],[Aop]],Data[],K$1)/Jedinica,"")</f>
        <v>47776</v>
      </c>
      <c r="L63" s="38">
        <f>IF(VLOOKUP(L$2&amp;Balance_Sheet[[#This Row],[Aop]],Data[],1)=L$2&amp;Balance_Sheet[[#This Row],[Aop]],VLOOKUP(L$2&amp;Balance_Sheet[[#This Row],[Aop]],Data[],L$1)/Jedinica,"")</f>
        <v>7134</v>
      </c>
      <c r="M63" s="38">
        <f>IF(VLOOKUP(M$2&amp;Balance_Sheet[[#This Row],[Aop]],Data[],1)=M$2&amp;Balance_Sheet[[#This Row],[Aop]],VLOOKUP(M$2&amp;Balance_Sheet[[#This Row],[Aop]],Data[],M$1)/Jedinica,"")</f>
        <v>0</v>
      </c>
      <c r="N63" s="38">
        <f>IF(VLOOKUP(N$2&amp;Balance_Sheet[[#This Row],[Aop]],Data[],1)=N$2&amp;Balance_Sheet[[#This Row],[Aop]],VLOOKUP(N$2&amp;Balance_Sheet[[#This Row],[Aop]],Data[],N$1)/Jedinica,"")</f>
        <v>0</v>
      </c>
      <c r="O63" s="38">
        <f>IF(VLOOKUP(O$2&amp;Balance_Sheet[[#This Row],[Aop]],Data[],1)=O$2&amp;Balance_Sheet[[#This Row],[Aop]],VLOOKUP(O$2&amp;Balance_Sheet[[#This Row],[Aop]],Data[],O$1)/Jedinica,"")</f>
        <v>33696</v>
      </c>
      <c r="P63" s="38">
        <f>IF(VLOOKUP(P$2&amp;Balance_Sheet[[#This Row],[Aop]],Data[],1)=P$2&amp;Balance_Sheet[[#This Row],[Aop]],VLOOKUP(P$2&amp;Balance_Sheet[[#This Row],[Aop]],Data[],P$1)/Jedinica,"")</f>
        <v>27286</v>
      </c>
      <c r="Q63" s="38">
        <f>IF(VLOOKUP(Q$2&amp;Balance_Sheet[[#This Row],[Aop]],Data[],1)=Q$2&amp;Balance_Sheet[[#This Row],[Aop]],VLOOKUP(Q$2&amp;Balance_Sheet[[#This Row],[Aop]],Data[],Q$1)/Jedinica,"")</f>
        <v>0</v>
      </c>
      <c r="R63" s="38">
        <f>IF(VLOOKUP(R$2&amp;Balance_Sheet[[#This Row],[Aop]],Data[],1)=R$2&amp;Balance_Sheet[[#This Row],[Aop]],VLOOKUP(R$2&amp;Balance_Sheet[[#This Row],[Aop]],Data[],R$1)/Jedinica,"")</f>
        <v>0</v>
      </c>
      <c r="S63" s="38">
        <f>IF(VLOOKUP(S$2&amp;Balance_Sheet[[#This Row],[Aop]],Data[],1)=S$2&amp;Balance_Sheet[[#This Row],[Aop]],VLOOKUP(S$2&amp;Balance_Sheet[[#This Row],[Aop]],Data[],S$1)/Jedinica,"")</f>
        <v>103336</v>
      </c>
      <c r="T63" s="38">
        <f>IF(VLOOKUP(T$2&amp;Balance_Sheet[[#This Row],[Aop]],Data[],1)=T$2&amp;Balance_Sheet[[#This Row],[Aop]],VLOOKUP(T$2&amp;Balance_Sheet[[#This Row],[Aop]],Data[],T$1)/Jedinica,"")</f>
        <v>214816</v>
      </c>
      <c r="U63" s="38">
        <f>IF(VLOOKUP(U$2&amp;Balance_Sheet[[#This Row],[Aop]],Data[],1)=U$2&amp;Balance_Sheet[[#This Row],[Aop]],VLOOKUP(U$2&amp;Balance_Sheet[[#This Row],[Aop]],Data[],U$1)/Jedinica,"")</f>
        <v>0</v>
      </c>
      <c r="V63" s="38">
        <f>IF(VLOOKUP(V$2&amp;Balance_Sheet[[#This Row],[Aop]],Data[],1)=V$2&amp;Balance_Sheet[[#This Row],[Aop]],VLOOKUP(V$2&amp;Balance_Sheet[[#This Row],[Aop]],Data[],V$1)/Jedinica,"")</f>
        <v>0</v>
      </c>
      <c r="W63" s="38">
        <f>IF(VLOOKUP(W$2&amp;Balance_Sheet[[#This Row],[Aop]],Data[],1)=W$2&amp;Balance_Sheet[[#This Row],[Aop]],VLOOKUP(W$2&amp;Balance_Sheet[[#This Row],[Aop]],Data[],W$1)/Jedinica,"")</f>
        <v>20537</v>
      </c>
      <c r="X63" s="38">
        <f>IF(VLOOKUP(X$2&amp;Balance_Sheet[[#This Row],[Aop]],Data[],1)=X$2&amp;Balance_Sheet[[#This Row],[Aop]],VLOOKUP(X$2&amp;Balance_Sheet[[#This Row],[Aop]],Data[],X$1)/Jedinica,"")</f>
        <v>2444</v>
      </c>
      <c r="Y63" s="38">
        <f>IF(VLOOKUP(Y$2&amp;Balance_Sheet[[#This Row],[Aop]],Data[],1)=Y$2&amp;Balance_Sheet[[#This Row],[Aop]],VLOOKUP(Y$2&amp;Balance_Sheet[[#This Row],[Aop]],Data[],Y$1)/Jedinica,"")</f>
        <v>0</v>
      </c>
      <c r="Z63" s="38">
        <f>IF(VLOOKUP(Z$2&amp;Balance_Sheet[[#This Row],[Aop]],Data[],1)=Z$2&amp;Balance_Sheet[[#This Row],[Aop]],VLOOKUP(Z$2&amp;Balance_Sheet[[#This Row],[Aop]],Data[],Z$1)/Jedinica,"")</f>
        <v>0</v>
      </c>
      <c r="AA63" s="38">
        <f>IF(VLOOKUP(AA$2&amp;Balance_Sheet[[#This Row],[Aop]],Data[],1)=AA$2&amp;Balance_Sheet[[#This Row],[Aop]],VLOOKUP(AA$2&amp;Balance_Sheet[[#This Row],[Aop]],Data[],AA$1)/Jedinica,"")</f>
        <v>103336</v>
      </c>
      <c r="AB63" s="38">
        <f>IF(VLOOKUP(AB$2&amp;Balance_Sheet[[#This Row],[Aop]],Data[],1)=AB$2&amp;Balance_Sheet[[#This Row],[Aop]],VLOOKUP(AB$2&amp;Balance_Sheet[[#This Row],[Aop]],Data[],AB$1)/Jedinica,"")</f>
        <v>214816</v>
      </c>
      <c r="AC63" s="38">
        <f>IF(VLOOKUP(AC$2&amp;Balance_Sheet[[#This Row],[Aop]],Data[],1)=AC$2&amp;Balance_Sheet[[#This Row],[Aop]],VLOOKUP(AC$2&amp;Balance_Sheet[[#This Row],[Aop]],Data[],AC$1)/Jedinica,"")</f>
        <v>0</v>
      </c>
      <c r="AD63" s="38">
        <f>IF(VLOOKUP(AD$2&amp;Balance_Sheet[[#This Row],[Aop]],Data[],1)=AD$2&amp;Balance_Sheet[[#This Row],[Aop]],VLOOKUP(AD$2&amp;Balance_Sheet[[#This Row],[Aop]],Data[],AD$1)/Jedinica,"")</f>
        <v>0</v>
      </c>
      <c r="AE63" s="38">
        <f>IF(VLOOKUP(AE$2&amp;Balance_Sheet[[#This Row],[Aop]],Data[],1)=AE$2&amp;Balance_Sheet[[#This Row],[Aop]],VLOOKUP(AE$2&amp;Balance_Sheet[[#This Row],[Aop]],Data[],AE$1)/Jedinica,"")</f>
        <v>75281</v>
      </c>
      <c r="AF63" s="38">
        <f>IF(VLOOKUP(AF$2&amp;Balance_Sheet[[#This Row],[Aop]],Data[],1)=AF$2&amp;Balance_Sheet[[#This Row],[Aop]],VLOOKUP(AF$2&amp;Balance_Sheet[[#This Row],[Aop]],Data[],AF$1)/Jedinica,"")</f>
        <v>44675</v>
      </c>
    </row>
    <row r="64" spans="1:32" ht="12.75" customHeight="1" x14ac:dyDescent="0.2">
      <c r="A64" s="74">
        <v>59</v>
      </c>
      <c r="B64" s="75">
        <v>3</v>
      </c>
      <c r="C64" s="76" t="str">
        <f>VLOOKUP(Balance_Sheet[[#This Row],[No]],AOP_Balance,3,0)</f>
        <v>107</v>
      </c>
      <c r="D64" s="52" t="str">
        <f>VLOOKUP(Balance_Sheet[[#This Row],[No]],AOP_Balance,7,0)</f>
        <v xml:space="preserve">      a) Obaveze za kamatu i naknadu u domaćoj valuti</v>
      </c>
      <c r="E64" s="38">
        <f>IF(VLOOKUP(E$2&amp;Balance_Sheet[[#This Row],[Aop]],Data[],1)=E$2&amp;Balance_Sheet[[#This Row],[Aop]],VLOOKUP(E$2&amp;Balance_Sheet[[#This Row],[Aop]],Data[],E$1)/Jedinica,"")</f>
        <v>0</v>
      </c>
      <c r="F64" s="38">
        <f>IF(VLOOKUP(F$2&amp;Balance_Sheet[[#This Row],[Aop]],Data[],1)=F$2&amp;Balance_Sheet[[#This Row],[Aop]],VLOOKUP(F$2&amp;Balance_Sheet[[#This Row],[Aop]],Data[],F$1)/Jedinica,"")</f>
        <v>0</v>
      </c>
      <c r="G64" s="38">
        <f>IF(VLOOKUP(G$2&amp;Balance_Sheet[[#This Row],[Aop]],Data[],1)=G$2&amp;Balance_Sheet[[#This Row],[Aop]],VLOOKUP(G$2&amp;Balance_Sheet[[#This Row],[Aop]],Data[],G$1)/Jedinica,"")</f>
        <v>59623</v>
      </c>
      <c r="H64" s="38">
        <f>IF(VLOOKUP(H$2&amp;Balance_Sheet[[#This Row],[Aop]],Data[],1)=H$2&amp;Balance_Sheet[[#This Row],[Aop]],VLOOKUP(H$2&amp;Balance_Sheet[[#This Row],[Aop]],Data[],H$1)/Jedinica,"")</f>
        <v>10510</v>
      </c>
      <c r="I64" s="38">
        <f>IF(VLOOKUP(I$2&amp;Balance_Sheet[[#This Row],[Aop]],Data[],1)=I$2&amp;Balance_Sheet[[#This Row],[Aop]],VLOOKUP(I$2&amp;Balance_Sheet[[#This Row],[Aop]],Data[],I$1)/Jedinica,"")</f>
        <v>0</v>
      </c>
      <c r="J64" s="38">
        <f>IF(VLOOKUP(J$2&amp;Balance_Sheet[[#This Row],[Aop]],Data[],1)=J$2&amp;Balance_Sheet[[#This Row],[Aop]],VLOOKUP(J$2&amp;Balance_Sheet[[#This Row],[Aop]],Data[],J$1)/Jedinica,"")</f>
        <v>0</v>
      </c>
      <c r="K64" s="38">
        <f>IF(VLOOKUP(K$2&amp;Balance_Sheet[[#This Row],[Aop]],Data[],1)=K$2&amp;Balance_Sheet[[#This Row],[Aop]],VLOOKUP(K$2&amp;Balance_Sheet[[#This Row],[Aop]],Data[],K$1)/Jedinica,"")</f>
        <v>37877</v>
      </c>
      <c r="L64" s="38">
        <f>IF(VLOOKUP(L$2&amp;Balance_Sheet[[#This Row],[Aop]],Data[],1)=L$2&amp;Balance_Sheet[[#This Row],[Aop]],VLOOKUP(L$2&amp;Balance_Sheet[[#This Row],[Aop]],Data[],L$1)/Jedinica,"")</f>
        <v>7085</v>
      </c>
      <c r="M64" s="38">
        <f>IF(VLOOKUP(M$2&amp;Balance_Sheet[[#This Row],[Aop]],Data[],1)=M$2&amp;Balance_Sheet[[#This Row],[Aop]],VLOOKUP(M$2&amp;Balance_Sheet[[#This Row],[Aop]],Data[],M$1)/Jedinica,"")</f>
        <v>0</v>
      </c>
      <c r="N64" s="38">
        <f>IF(VLOOKUP(N$2&amp;Balance_Sheet[[#This Row],[Aop]],Data[],1)=N$2&amp;Balance_Sheet[[#This Row],[Aop]],VLOOKUP(N$2&amp;Balance_Sheet[[#This Row],[Aop]],Data[],N$1)/Jedinica,"")</f>
        <v>0</v>
      </c>
      <c r="O64" s="38">
        <f>IF(VLOOKUP(O$2&amp;Balance_Sheet[[#This Row],[Aop]],Data[],1)=O$2&amp;Balance_Sheet[[#This Row],[Aop]],VLOOKUP(O$2&amp;Balance_Sheet[[#This Row],[Aop]],Data[],O$1)/Jedinica,"")</f>
        <v>33696</v>
      </c>
      <c r="P64" s="38">
        <f>IF(VLOOKUP(P$2&amp;Balance_Sheet[[#This Row],[Aop]],Data[],1)=P$2&amp;Balance_Sheet[[#This Row],[Aop]],VLOOKUP(P$2&amp;Balance_Sheet[[#This Row],[Aop]],Data[],P$1)/Jedinica,"")</f>
        <v>27286</v>
      </c>
      <c r="Q64" s="38">
        <f>IF(VLOOKUP(Q$2&amp;Balance_Sheet[[#This Row],[Aop]],Data[],1)=Q$2&amp;Balance_Sheet[[#This Row],[Aop]],VLOOKUP(Q$2&amp;Balance_Sheet[[#This Row],[Aop]],Data[],Q$1)/Jedinica,"")</f>
        <v>0</v>
      </c>
      <c r="R64" s="38">
        <f>IF(VLOOKUP(R$2&amp;Balance_Sheet[[#This Row],[Aop]],Data[],1)=R$2&amp;Balance_Sheet[[#This Row],[Aop]],VLOOKUP(R$2&amp;Balance_Sheet[[#This Row],[Aop]],Data[],R$1)/Jedinica,"")</f>
        <v>0</v>
      </c>
      <c r="S64" s="38">
        <f>IF(VLOOKUP(S$2&amp;Balance_Sheet[[#This Row],[Aop]],Data[],1)=S$2&amp;Balance_Sheet[[#This Row],[Aop]],VLOOKUP(S$2&amp;Balance_Sheet[[#This Row],[Aop]],Data[],S$1)/Jedinica,"")</f>
        <v>99038</v>
      </c>
      <c r="T64" s="38">
        <f>IF(VLOOKUP(T$2&amp;Balance_Sheet[[#This Row],[Aop]],Data[],1)=T$2&amp;Balance_Sheet[[#This Row],[Aop]],VLOOKUP(T$2&amp;Balance_Sheet[[#This Row],[Aop]],Data[],T$1)/Jedinica,"")</f>
        <v>211147</v>
      </c>
      <c r="U64" s="38">
        <f>IF(VLOOKUP(U$2&amp;Balance_Sheet[[#This Row],[Aop]],Data[],1)=U$2&amp;Balance_Sheet[[#This Row],[Aop]],VLOOKUP(U$2&amp;Balance_Sheet[[#This Row],[Aop]],Data[],U$1)/Jedinica,"")</f>
        <v>0</v>
      </c>
      <c r="V64" s="38">
        <f>IF(VLOOKUP(V$2&amp;Balance_Sheet[[#This Row],[Aop]],Data[],1)=V$2&amp;Balance_Sheet[[#This Row],[Aop]],VLOOKUP(V$2&amp;Balance_Sheet[[#This Row],[Aop]],Data[],V$1)/Jedinica,"")</f>
        <v>0</v>
      </c>
      <c r="W64" s="38">
        <f>IF(VLOOKUP(W$2&amp;Balance_Sheet[[#This Row],[Aop]],Data[],1)=W$2&amp;Balance_Sheet[[#This Row],[Aop]],VLOOKUP(W$2&amp;Balance_Sheet[[#This Row],[Aop]],Data[],W$1)/Jedinica,"")</f>
        <v>17734</v>
      </c>
      <c r="X64" s="38">
        <f>IF(VLOOKUP(X$2&amp;Balance_Sheet[[#This Row],[Aop]],Data[],1)=X$2&amp;Balance_Sheet[[#This Row],[Aop]],VLOOKUP(X$2&amp;Balance_Sheet[[#This Row],[Aop]],Data[],X$1)/Jedinica,"")</f>
        <v>146</v>
      </c>
      <c r="Y64" s="38">
        <f>IF(VLOOKUP(Y$2&amp;Balance_Sheet[[#This Row],[Aop]],Data[],1)=Y$2&amp;Balance_Sheet[[#This Row],[Aop]],VLOOKUP(Y$2&amp;Balance_Sheet[[#This Row],[Aop]],Data[],Y$1)/Jedinica,"")</f>
        <v>0</v>
      </c>
      <c r="Z64" s="38">
        <f>IF(VLOOKUP(Z$2&amp;Balance_Sheet[[#This Row],[Aop]],Data[],1)=Z$2&amp;Balance_Sheet[[#This Row],[Aop]],VLOOKUP(Z$2&amp;Balance_Sheet[[#This Row],[Aop]],Data[],Z$1)/Jedinica,"")</f>
        <v>0</v>
      </c>
      <c r="AA64" s="38">
        <f>IF(VLOOKUP(AA$2&amp;Balance_Sheet[[#This Row],[Aop]],Data[],1)=AA$2&amp;Balance_Sheet[[#This Row],[Aop]],VLOOKUP(AA$2&amp;Balance_Sheet[[#This Row],[Aop]],Data[],AA$1)/Jedinica,"")</f>
        <v>99038</v>
      </c>
      <c r="AB64" s="38">
        <f>IF(VLOOKUP(AB$2&amp;Balance_Sheet[[#This Row],[Aop]],Data[],1)=AB$2&amp;Balance_Sheet[[#This Row],[Aop]],VLOOKUP(AB$2&amp;Balance_Sheet[[#This Row],[Aop]],Data[],AB$1)/Jedinica,"")</f>
        <v>211147</v>
      </c>
      <c r="AC64" s="38">
        <f>IF(VLOOKUP(AC$2&amp;Balance_Sheet[[#This Row],[Aop]],Data[],1)=AC$2&amp;Balance_Sheet[[#This Row],[Aop]],VLOOKUP(AC$2&amp;Balance_Sheet[[#This Row],[Aop]],Data[],AC$1)/Jedinica,"")</f>
        <v>0</v>
      </c>
      <c r="AD64" s="38">
        <f>IF(VLOOKUP(AD$2&amp;Balance_Sheet[[#This Row],[Aop]],Data[],1)=AD$2&amp;Balance_Sheet[[#This Row],[Aop]],VLOOKUP(AD$2&amp;Balance_Sheet[[#This Row],[Aop]],Data[],AD$1)/Jedinica,"")</f>
        <v>0</v>
      </c>
      <c r="AE64" s="38">
        <f>IF(VLOOKUP(AE$2&amp;Balance_Sheet[[#This Row],[Aop]],Data[],1)=AE$2&amp;Balance_Sheet[[#This Row],[Aop]],VLOOKUP(AE$2&amp;Balance_Sheet[[#This Row],[Aop]],Data[],AE$1)/Jedinica,"")</f>
        <v>74342</v>
      </c>
      <c r="AF64" s="38">
        <f>IF(VLOOKUP(AF$2&amp;Balance_Sheet[[#This Row],[Aop]],Data[],1)=AF$2&amp;Balance_Sheet[[#This Row],[Aop]],VLOOKUP(AF$2&amp;Balance_Sheet[[#This Row],[Aop]],Data[],AF$1)/Jedinica,"")</f>
        <v>43609</v>
      </c>
    </row>
    <row r="65" spans="1:32" ht="12.75" customHeight="1" x14ac:dyDescent="0.2">
      <c r="A65" s="74">
        <v>60</v>
      </c>
      <c r="B65" s="75">
        <v>3</v>
      </c>
      <c r="C65" s="76" t="str">
        <f>VLOOKUP(Balance_Sheet[[#This Row],[No]],AOP_Balance,3,0)</f>
        <v>108</v>
      </c>
      <c r="D65" s="52" t="str">
        <f>VLOOKUP(Balance_Sheet[[#This Row],[No]],AOP_Balance,7,0)</f>
        <v xml:space="preserve">      b) Obaveze za kamatu i naknadu u stranoj valuti</v>
      </c>
      <c r="E65" s="38">
        <f>IF(VLOOKUP(E$2&amp;Balance_Sheet[[#This Row],[Aop]],Data[],1)=E$2&amp;Balance_Sheet[[#This Row],[Aop]],VLOOKUP(E$2&amp;Balance_Sheet[[#This Row],[Aop]],Data[],E$1)/Jedinica,"")</f>
        <v>0</v>
      </c>
      <c r="F65" s="38">
        <f>IF(VLOOKUP(F$2&amp;Balance_Sheet[[#This Row],[Aop]],Data[],1)=F$2&amp;Balance_Sheet[[#This Row],[Aop]],VLOOKUP(F$2&amp;Balance_Sheet[[#This Row],[Aop]],Data[],F$1)/Jedinica,"")</f>
        <v>0</v>
      </c>
      <c r="G65" s="38">
        <f>IF(VLOOKUP(G$2&amp;Balance_Sheet[[#This Row],[Aop]],Data[],1)=G$2&amp;Balance_Sheet[[#This Row],[Aop]],VLOOKUP(G$2&amp;Balance_Sheet[[#This Row],[Aop]],Data[],G$1)/Jedinica,"")</f>
        <v>9</v>
      </c>
      <c r="H65" s="38">
        <f>IF(VLOOKUP(H$2&amp;Balance_Sheet[[#This Row],[Aop]],Data[],1)=H$2&amp;Balance_Sheet[[#This Row],[Aop]],VLOOKUP(H$2&amp;Balance_Sheet[[#This Row],[Aop]],Data[],H$1)/Jedinica,"")</f>
        <v>2</v>
      </c>
      <c r="I65" s="38">
        <f>IF(VLOOKUP(I$2&amp;Balance_Sheet[[#This Row],[Aop]],Data[],1)=I$2&amp;Balance_Sheet[[#This Row],[Aop]],VLOOKUP(I$2&amp;Balance_Sheet[[#This Row],[Aop]],Data[],I$1)/Jedinica,"")</f>
        <v>0</v>
      </c>
      <c r="J65" s="38">
        <f>IF(VLOOKUP(J$2&amp;Balance_Sheet[[#This Row],[Aop]],Data[],1)=J$2&amp;Balance_Sheet[[#This Row],[Aop]],VLOOKUP(J$2&amp;Balance_Sheet[[#This Row],[Aop]],Data[],J$1)/Jedinica,"")</f>
        <v>0</v>
      </c>
      <c r="K65" s="38">
        <f>IF(VLOOKUP(K$2&amp;Balance_Sheet[[#This Row],[Aop]],Data[],1)=K$2&amp;Balance_Sheet[[#This Row],[Aop]],VLOOKUP(K$2&amp;Balance_Sheet[[#This Row],[Aop]],Data[],K$1)/Jedinica,"")</f>
        <v>9899</v>
      </c>
      <c r="L65" s="38">
        <f>IF(VLOOKUP(L$2&amp;Balance_Sheet[[#This Row],[Aop]],Data[],1)=L$2&amp;Balance_Sheet[[#This Row],[Aop]],VLOOKUP(L$2&amp;Balance_Sheet[[#This Row],[Aop]],Data[],L$1)/Jedinica,"")</f>
        <v>49</v>
      </c>
      <c r="M65" s="38" t="str">
        <f>IF(VLOOKUP(M$2&amp;Balance_Sheet[[#This Row],[Aop]],Data[],1)=M$2&amp;Balance_Sheet[[#This Row],[Aop]],VLOOKUP(M$2&amp;Balance_Sheet[[#This Row],[Aop]],Data[],M$1)/Jedinica,"")</f>
        <v/>
      </c>
      <c r="N65" s="38" t="str">
        <f>IF(VLOOKUP(N$2&amp;Balance_Sheet[[#This Row],[Aop]],Data[],1)=N$2&amp;Balance_Sheet[[#This Row],[Aop]],VLOOKUP(N$2&amp;Balance_Sheet[[#This Row],[Aop]],Data[],N$1)/Jedinica,"")</f>
        <v/>
      </c>
      <c r="O65" s="38" t="str">
        <f>IF(VLOOKUP(O$2&amp;Balance_Sheet[[#This Row],[Aop]],Data[],1)=O$2&amp;Balance_Sheet[[#This Row],[Aop]],VLOOKUP(O$2&amp;Balance_Sheet[[#This Row],[Aop]],Data[],O$1)/Jedinica,"")</f>
        <v/>
      </c>
      <c r="P65" s="38" t="str">
        <f>IF(VLOOKUP(P$2&amp;Balance_Sheet[[#This Row],[Aop]],Data[],1)=P$2&amp;Balance_Sheet[[#This Row],[Aop]],VLOOKUP(P$2&amp;Balance_Sheet[[#This Row],[Aop]],Data[],P$1)/Jedinica,"")</f>
        <v/>
      </c>
      <c r="Q65" s="38">
        <f>IF(VLOOKUP(Q$2&amp;Balance_Sheet[[#This Row],[Aop]],Data[],1)=Q$2&amp;Balance_Sheet[[#This Row],[Aop]],VLOOKUP(Q$2&amp;Balance_Sheet[[#This Row],[Aop]],Data[],Q$1)/Jedinica,"")</f>
        <v>0</v>
      </c>
      <c r="R65" s="38">
        <f>IF(VLOOKUP(R$2&amp;Balance_Sheet[[#This Row],[Aop]],Data[],1)=R$2&amp;Balance_Sheet[[#This Row],[Aop]],VLOOKUP(R$2&amp;Balance_Sheet[[#This Row],[Aop]],Data[],R$1)/Jedinica,"")</f>
        <v>0</v>
      </c>
      <c r="S65" s="38">
        <f>IF(VLOOKUP(S$2&amp;Balance_Sheet[[#This Row],[Aop]],Data[],1)=S$2&amp;Balance_Sheet[[#This Row],[Aop]],VLOOKUP(S$2&amp;Balance_Sheet[[#This Row],[Aop]],Data[],S$1)/Jedinica,"")</f>
        <v>4298</v>
      </c>
      <c r="T65" s="38">
        <f>IF(VLOOKUP(T$2&amp;Balance_Sheet[[#This Row],[Aop]],Data[],1)=T$2&amp;Balance_Sheet[[#This Row],[Aop]],VLOOKUP(T$2&amp;Balance_Sheet[[#This Row],[Aop]],Data[],T$1)/Jedinica,"")</f>
        <v>3669</v>
      </c>
      <c r="U65" s="38">
        <f>IF(VLOOKUP(U$2&amp;Balance_Sheet[[#This Row],[Aop]],Data[],1)=U$2&amp;Balance_Sheet[[#This Row],[Aop]],VLOOKUP(U$2&amp;Balance_Sheet[[#This Row],[Aop]],Data[],U$1)/Jedinica,"")</f>
        <v>0</v>
      </c>
      <c r="V65" s="38">
        <f>IF(VLOOKUP(V$2&amp;Balance_Sheet[[#This Row],[Aop]],Data[],1)=V$2&amp;Balance_Sheet[[#This Row],[Aop]],VLOOKUP(V$2&amp;Balance_Sheet[[#This Row],[Aop]],Data[],V$1)/Jedinica,"")</f>
        <v>0</v>
      </c>
      <c r="W65" s="38">
        <f>IF(VLOOKUP(W$2&amp;Balance_Sheet[[#This Row],[Aop]],Data[],1)=W$2&amp;Balance_Sheet[[#This Row],[Aop]],VLOOKUP(W$2&amp;Balance_Sheet[[#This Row],[Aop]],Data[],W$1)/Jedinica,"")</f>
        <v>2803</v>
      </c>
      <c r="X65" s="38">
        <f>IF(VLOOKUP(X$2&amp;Balance_Sheet[[#This Row],[Aop]],Data[],1)=X$2&amp;Balance_Sheet[[#This Row],[Aop]],VLOOKUP(X$2&amp;Balance_Sheet[[#This Row],[Aop]],Data[],X$1)/Jedinica,"")</f>
        <v>2298</v>
      </c>
      <c r="Y65" s="38">
        <f>IF(VLOOKUP(Y$2&amp;Balance_Sheet[[#This Row],[Aop]],Data[],1)=Y$2&amp;Balance_Sheet[[#This Row],[Aop]],VLOOKUP(Y$2&amp;Balance_Sheet[[#This Row],[Aop]],Data[],Y$1)/Jedinica,"")</f>
        <v>0</v>
      </c>
      <c r="Z65" s="38">
        <f>IF(VLOOKUP(Z$2&amp;Balance_Sheet[[#This Row],[Aop]],Data[],1)=Z$2&amp;Balance_Sheet[[#This Row],[Aop]],VLOOKUP(Z$2&amp;Balance_Sheet[[#This Row],[Aop]],Data[],Z$1)/Jedinica,"")</f>
        <v>0</v>
      </c>
      <c r="AA65" s="38">
        <f>IF(VLOOKUP(AA$2&amp;Balance_Sheet[[#This Row],[Aop]],Data[],1)=AA$2&amp;Balance_Sheet[[#This Row],[Aop]],VLOOKUP(AA$2&amp;Balance_Sheet[[#This Row],[Aop]],Data[],AA$1)/Jedinica,"")</f>
        <v>4298</v>
      </c>
      <c r="AB65" s="38">
        <f>IF(VLOOKUP(AB$2&amp;Balance_Sheet[[#This Row],[Aop]],Data[],1)=AB$2&amp;Balance_Sheet[[#This Row],[Aop]],VLOOKUP(AB$2&amp;Balance_Sheet[[#This Row],[Aop]],Data[],AB$1)/Jedinica,"")</f>
        <v>3669</v>
      </c>
      <c r="AC65" s="38">
        <f>IF(VLOOKUP(AC$2&amp;Balance_Sheet[[#This Row],[Aop]],Data[],1)=AC$2&amp;Balance_Sheet[[#This Row],[Aop]],VLOOKUP(AC$2&amp;Balance_Sheet[[#This Row],[Aop]],Data[],AC$1)/Jedinica,"")</f>
        <v>0</v>
      </c>
      <c r="AD65" s="38">
        <f>IF(VLOOKUP(AD$2&amp;Balance_Sheet[[#This Row],[Aop]],Data[],1)=AD$2&amp;Balance_Sheet[[#This Row],[Aop]],VLOOKUP(AD$2&amp;Balance_Sheet[[#This Row],[Aop]],Data[],AD$1)/Jedinica,"")</f>
        <v>0</v>
      </c>
      <c r="AE65" s="38">
        <f>IF(VLOOKUP(AE$2&amp;Balance_Sheet[[#This Row],[Aop]],Data[],1)=AE$2&amp;Balance_Sheet[[#This Row],[Aop]],VLOOKUP(AE$2&amp;Balance_Sheet[[#This Row],[Aop]],Data[],AE$1)/Jedinica,"")</f>
        <v>939</v>
      </c>
      <c r="AF65" s="38">
        <f>IF(VLOOKUP(AF$2&amp;Balance_Sheet[[#This Row],[Aop]],Data[],1)=AF$2&amp;Balance_Sheet[[#This Row],[Aop]],VLOOKUP(AF$2&amp;Balance_Sheet[[#This Row],[Aop]],Data[],AF$1)/Jedinica,"")</f>
        <v>1066</v>
      </c>
    </row>
    <row r="66" spans="1:32" ht="12.75" customHeight="1" x14ac:dyDescent="0.2">
      <c r="A66" s="74">
        <v>61</v>
      </c>
      <c r="B66" s="75">
        <v>2</v>
      </c>
      <c r="C66" s="76" t="str">
        <f>VLOOKUP(Balance_Sheet[[#This Row],[No]],AOP_Balance,3,0)</f>
        <v>109</v>
      </c>
      <c r="D66" s="52" t="str">
        <f>VLOOKUP(Balance_Sheet[[#This Row],[No]],AOP_Balance,7,0)</f>
        <v xml:space="preserve">    3. Obaveze po osnovu HOV (110 do 112)</v>
      </c>
      <c r="E66" s="38" t="str">
        <f>IF(VLOOKUP(E$2&amp;Balance_Sheet[[#This Row],[Aop]],Data[],1)=E$2&amp;Balance_Sheet[[#This Row],[Aop]],VLOOKUP(E$2&amp;Balance_Sheet[[#This Row],[Aop]],Data[],E$1)/Jedinica,"")</f>
        <v/>
      </c>
      <c r="F66" s="38" t="str">
        <f>IF(VLOOKUP(F$2&amp;Balance_Sheet[[#This Row],[Aop]],Data[],1)=F$2&amp;Balance_Sheet[[#This Row],[Aop]],VLOOKUP(F$2&amp;Balance_Sheet[[#This Row],[Aop]],Data[],F$1)/Jedinica,"")</f>
        <v/>
      </c>
      <c r="G66" s="38" t="str">
        <f>IF(VLOOKUP(G$2&amp;Balance_Sheet[[#This Row],[Aop]],Data[],1)=G$2&amp;Balance_Sheet[[#This Row],[Aop]],VLOOKUP(G$2&amp;Balance_Sheet[[#This Row],[Aop]],Data[],G$1)/Jedinica,"")</f>
        <v/>
      </c>
      <c r="H66" s="38" t="str">
        <f>IF(VLOOKUP(H$2&amp;Balance_Sheet[[#This Row],[Aop]],Data[],1)=H$2&amp;Balance_Sheet[[#This Row],[Aop]],VLOOKUP(H$2&amp;Balance_Sheet[[#This Row],[Aop]],Data[],H$1)/Jedinica,"")</f>
        <v/>
      </c>
      <c r="I66" s="38" t="str">
        <f>IF(VLOOKUP(I$2&amp;Balance_Sheet[[#This Row],[Aop]],Data[],1)=I$2&amp;Balance_Sheet[[#This Row],[Aop]],VLOOKUP(I$2&amp;Balance_Sheet[[#This Row],[Aop]],Data[],I$1)/Jedinica,"")</f>
        <v/>
      </c>
      <c r="J66" s="38" t="str">
        <f>IF(VLOOKUP(J$2&amp;Balance_Sheet[[#This Row],[Aop]],Data[],1)=J$2&amp;Balance_Sheet[[#This Row],[Aop]],VLOOKUP(J$2&amp;Balance_Sheet[[#This Row],[Aop]],Data[],J$1)/Jedinica,"")</f>
        <v/>
      </c>
      <c r="K66" s="38" t="str">
        <f>IF(VLOOKUP(K$2&amp;Balance_Sheet[[#This Row],[Aop]],Data[],1)=K$2&amp;Balance_Sheet[[#This Row],[Aop]],VLOOKUP(K$2&amp;Balance_Sheet[[#This Row],[Aop]],Data[],K$1)/Jedinica,"")</f>
        <v/>
      </c>
      <c r="L66" s="38" t="str">
        <f>IF(VLOOKUP(L$2&amp;Balance_Sheet[[#This Row],[Aop]],Data[],1)=L$2&amp;Balance_Sheet[[#This Row],[Aop]],VLOOKUP(L$2&amp;Balance_Sheet[[#This Row],[Aop]],Data[],L$1)/Jedinica,"")</f>
        <v/>
      </c>
      <c r="M66" s="38" t="str">
        <f>IF(VLOOKUP(M$2&amp;Balance_Sheet[[#This Row],[Aop]],Data[],1)=M$2&amp;Balance_Sheet[[#This Row],[Aop]],VLOOKUP(M$2&amp;Balance_Sheet[[#This Row],[Aop]],Data[],M$1)/Jedinica,"")</f>
        <v/>
      </c>
      <c r="N66" s="38" t="str">
        <f>IF(VLOOKUP(N$2&amp;Balance_Sheet[[#This Row],[Aop]],Data[],1)=N$2&amp;Balance_Sheet[[#This Row],[Aop]],VLOOKUP(N$2&amp;Balance_Sheet[[#This Row],[Aop]],Data[],N$1)/Jedinica,"")</f>
        <v/>
      </c>
      <c r="O66" s="38" t="str">
        <f>IF(VLOOKUP(O$2&amp;Balance_Sheet[[#This Row],[Aop]],Data[],1)=O$2&amp;Balance_Sheet[[#This Row],[Aop]],VLOOKUP(O$2&amp;Balance_Sheet[[#This Row],[Aop]],Data[],O$1)/Jedinica,"")</f>
        <v/>
      </c>
      <c r="P66" s="38" t="str">
        <f>IF(VLOOKUP(P$2&amp;Balance_Sheet[[#This Row],[Aop]],Data[],1)=P$2&amp;Balance_Sheet[[#This Row],[Aop]],VLOOKUP(P$2&amp;Balance_Sheet[[#This Row],[Aop]],Data[],P$1)/Jedinica,"")</f>
        <v/>
      </c>
      <c r="Q66" s="38" t="str">
        <f>IF(VLOOKUP(Q$2&amp;Balance_Sheet[[#This Row],[Aop]],Data[],1)=Q$2&amp;Balance_Sheet[[#This Row],[Aop]],VLOOKUP(Q$2&amp;Balance_Sheet[[#This Row],[Aop]],Data[],Q$1)/Jedinica,"")</f>
        <v/>
      </c>
      <c r="R66" s="38" t="str">
        <f>IF(VLOOKUP(R$2&amp;Balance_Sheet[[#This Row],[Aop]],Data[],1)=R$2&amp;Balance_Sheet[[#This Row],[Aop]],VLOOKUP(R$2&amp;Balance_Sheet[[#This Row],[Aop]],Data[],R$1)/Jedinica,"")</f>
        <v/>
      </c>
      <c r="S66" s="38" t="str">
        <f>IF(VLOOKUP(S$2&amp;Balance_Sheet[[#This Row],[Aop]],Data[],1)=S$2&amp;Balance_Sheet[[#This Row],[Aop]],VLOOKUP(S$2&amp;Balance_Sheet[[#This Row],[Aop]],Data[],S$1)/Jedinica,"")</f>
        <v/>
      </c>
      <c r="T66" s="38" t="str">
        <f>IF(VLOOKUP(T$2&amp;Balance_Sheet[[#This Row],[Aop]],Data[],1)=T$2&amp;Balance_Sheet[[#This Row],[Aop]],VLOOKUP(T$2&amp;Balance_Sheet[[#This Row],[Aop]],Data[],T$1)/Jedinica,"")</f>
        <v/>
      </c>
      <c r="U66" s="38" t="str">
        <f>IF(VLOOKUP(U$2&amp;Balance_Sheet[[#This Row],[Aop]],Data[],1)=U$2&amp;Balance_Sheet[[#This Row],[Aop]],VLOOKUP(U$2&amp;Balance_Sheet[[#This Row],[Aop]],Data[],U$1)/Jedinica,"")</f>
        <v/>
      </c>
      <c r="V66" s="38" t="str">
        <f>IF(VLOOKUP(V$2&amp;Balance_Sheet[[#This Row],[Aop]],Data[],1)=V$2&amp;Balance_Sheet[[#This Row],[Aop]],VLOOKUP(V$2&amp;Balance_Sheet[[#This Row],[Aop]],Data[],V$1)/Jedinica,"")</f>
        <v/>
      </c>
      <c r="W66" s="38" t="str">
        <f>IF(VLOOKUP(W$2&amp;Balance_Sheet[[#This Row],[Aop]],Data[],1)=W$2&amp;Balance_Sheet[[#This Row],[Aop]],VLOOKUP(W$2&amp;Balance_Sheet[[#This Row],[Aop]],Data[],W$1)/Jedinica,"")</f>
        <v/>
      </c>
      <c r="X66" s="38" t="str">
        <f>IF(VLOOKUP(X$2&amp;Balance_Sheet[[#This Row],[Aop]],Data[],1)=X$2&amp;Balance_Sheet[[#This Row],[Aop]],VLOOKUP(X$2&amp;Balance_Sheet[[#This Row],[Aop]],Data[],X$1)/Jedinica,"")</f>
        <v/>
      </c>
      <c r="Y66" s="38" t="str">
        <f>IF(VLOOKUP(Y$2&amp;Balance_Sheet[[#This Row],[Aop]],Data[],1)=Y$2&amp;Balance_Sheet[[#This Row],[Aop]],VLOOKUP(Y$2&amp;Balance_Sheet[[#This Row],[Aop]],Data[],Y$1)/Jedinica,"")</f>
        <v/>
      </c>
      <c r="Z66" s="38" t="str">
        <f>IF(VLOOKUP(Z$2&amp;Balance_Sheet[[#This Row],[Aop]],Data[],1)=Z$2&amp;Balance_Sheet[[#This Row],[Aop]],VLOOKUP(Z$2&amp;Balance_Sheet[[#This Row],[Aop]],Data[],Z$1)/Jedinica,"")</f>
        <v/>
      </c>
      <c r="AA66" s="38" t="str">
        <f>IF(VLOOKUP(AA$2&amp;Balance_Sheet[[#This Row],[Aop]],Data[],1)=AA$2&amp;Balance_Sheet[[#This Row],[Aop]],VLOOKUP(AA$2&amp;Balance_Sheet[[#This Row],[Aop]],Data[],AA$1)/Jedinica,"")</f>
        <v/>
      </c>
      <c r="AB66" s="38" t="str">
        <f>IF(VLOOKUP(AB$2&amp;Balance_Sheet[[#This Row],[Aop]],Data[],1)=AB$2&amp;Balance_Sheet[[#This Row],[Aop]],VLOOKUP(AB$2&amp;Balance_Sheet[[#This Row],[Aop]],Data[],AB$1)/Jedinica,"")</f>
        <v/>
      </c>
      <c r="AC66" s="38" t="str">
        <f>IF(VLOOKUP(AC$2&amp;Balance_Sheet[[#This Row],[Aop]],Data[],1)=AC$2&amp;Balance_Sheet[[#This Row],[Aop]],VLOOKUP(AC$2&amp;Balance_Sheet[[#This Row],[Aop]],Data[],AC$1)/Jedinica,"")</f>
        <v/>
      </c>
      <c r="AD66" s="38" t="str">
        <f>IF(VLOOKUP(AD$2&amp;Balance_Sheet[[#This Row],[Aop]],Data[],1)=AD$2&amp;Balance_Sheet[[#This Row],[Aop]],VLOOKUP(AD$2&amp;Balance_Sheet[[#This Row],[Aop]],Data[],AD$1)/Jedinica,"")</f>
        <v/>
      </c>
      <c r="AE66" s="38" t="str">
        <f>IF(VLOOKUP(AE$2&amp;Balance_Sheet[[#This Row],[Aop]],Data[],1)=AE$2&amp;Balance_Sheet[[#This Row],[Aop]],VLOOKUP(AE$2&amp;Balance_Sheet[[#This Row],[Aop]],Data[],AE$1)/Jedinica,"")</f>
        <v/>
      </c>
      <c r="AF66" s="38" t="str">
        <f>IF(VLOOKUP(AF$2&amp;Balance_Sheet[[#This Row],[Aop]],Data[],1)=AF$2&amp;Balance_Sheet[[#This Row],[Aop]],VLOOKUP(AF$2&amp;Balance_Sheet[[#This Row],[Aop]],Data[],AF$1)/Jedinica,"")</f>
        <v/>
      </c>
    </row>
    <row r="67" spans="1:32" ht="12.75" customHeight="1" x14ac:dyDescent="0.2">
      <c r="A67" s="74">
        <v>62</v>
      </c>
      <c r="B67" s="75">
        <v>3</v>
      </c>
      <c r="C67" s="76" t="str">
        <f>VLOOKUP(Balance_Sheet[[#This Row],[No]],AOP_Balance,3,0)</f>
        <v>110</v>
      </c>
      <c r="D67" s="52" t="str">
        <f>VLOOKUP(Balance_Sheet[[#This Row],[No]],AOP_Balance,7,0)</f>
        <v xml:space="preserve">      a) Obaveze po osnovu HOV u domaćoj valuti</v>
      </c>
      <c r="E67" s="38" t="str">
        <f>IF(VLOOKUP(E$2&amp;Balance_Sheet[[#This Row],[Aop]],Data[],1)=E$2&amp;Balance_Sheet[[#This Row],[Aop]],VLOOKUP(E$2&amp;Balance_Sheet[[#This Row],[Aop]],Data[],E$1)/Jedinica,"")</f>
        <v/>
      </c>
      <c r="F67" s="38" t="str">
        <f>IF(VLOOKUP(F$2&amp;Balance_Sheet[[#This Row],[Aop]],Data[],1)=F$2&amp;Balance_Sheet[[#This Row],[Aop]],VLOOKUP(F$2&amp;Balance_Sheet[[#This Row],[Aop]],Data[],F$1)/Jedinica,"")</f>
        <v/>
      </c>
      <c r="G67" s="38" t="str">
        <f>IF(VLOOKUP(G$2&amp;Balance_Sheet[[#This Row],[Aop]],Data[],1)=G$2&amp;Balance_Sheet[[#This Row],[Aop]],VLOOKUP(G$2&amp;Balance_Sheet[[#This Row],[Aop]],Data[],G$1)/Jedinica,"")</f>
        <v/>
      </c>
      <c r="H67" s="38" t="str">
        <f>IF(VLOOKUP(H$2&amp;Balance_Sheet[[#This Row],[Aop]],Data[],1)=H$2&amp;Balance_Sheet[[#This Row],[Aop]],VLOOKUP(H$2&amp;Balance_Sheet[[#This Row],[Aop]],Data[],H$1)/Jedinica,"")</f>
        <v/>
      </c>
      <c r="I67" s="38" t="str">
        <f>IF(VLOOKUP(I$2&amp;Balance_Sheet[[#This Row],[Aop]],Data[],1)=I$2&amp;Balance_Sheet[[#This Row],[Aop]],VLOOKUP(I$2&amp;Balance_Sheet[[#This Row],[Aop]],Data[],I$1)/Jedinica,"")</f>
        <v/>
      </c>
      <c r="J67" s="38" t="str">
        <f>IF(VLOOKUP(J$2&amp;Balance_Sheet[[#This Row],[Aop]],Data[],1)=J$2&amp;Balance_Sheet[[#This Row],[Aop]],VLOOKUP(J$2&amp;Balance_Sheet[[#This Row],[Aop]],Data[],J$1)/Jedinica,"")</f>
        <v/>
      </c>
      <c r="K67" s="38" t="str">
        <f>IF(VLOOKUP(K$2&amp;Balance_Sheet[[#This Row],[Aop]],Data[],1)=K$2&amp;Balance_Sheet[[#This Row],[Aop]],VLOOKUP(K$2&amp;Balance_Sheet[[#This Row],[Aop]],Data[],K$1)/Jedinica,"")</f>
        <v/>
      </c>
      <c r="L67" s="38" t="str">
        <f>IF(VLOOKUP(L$2&amp;Balance_Sheet[[#This Row],[Aop]],Data[],1)=L$2&amp;Balance_Sheet[[#This Row],[Aop]],VLOOKUP(L$2&amp;Balance_Sheet[[#This Row],[Aop]],Data[],L$1)/Jedinica,"")</f>
        <v/>
      </c>
      <c r="M67" s="38" t="str">
        <f>IF(VLOOKUP(M$2&amp;Balance_Sheet[[#This Row],[Aop]],Data[],1)=M$2&amp;Balance_Sheet[[#This Row],[Aop]],VLOOKUP(M$2&amp;Balance_Sheet[[#This Row],[Aop]],Data[],M$1)/Jedinica,"")</f>
        <v/>
      </c>
      <c r="N67" s="38" t="str">
        <f>IF(VLOOKUP(N$2&amp;Balance_Sheet[[#This Row],[Aop]],Data[],1)=N$2&amp;Balance_Sheet[[#This Row],[Aop]],VLOOKUP(N$2&amp;Balance_Sheet[[#This Row],[Aop]],Data[],N$1)/Jedinica,"")</f>
        <v/>
      </c>
      <c r="O67" s="38" t="str">
        <f>IF(VLOOKUP(O$2&amp;Balance_Sheet[[#This Row],[Aop]],Data[],1)=O$2&amp;Balance_Sheet[[#This Row],[Aop]],VLOOKUP(O$2&amp;Balance_Sheet[[#This Row],[Aop]],Data[],O$1)/Jedinica,"")</f>
        <v/>
      </c>
      <c r="P67" s="38" t="str">
        <f>IF(VLOOKUP(P$2&amp;Balance_Sheet[[#This Row],[Aop]],Data[],1)=P$2&amp;Balance_Sheet[[#This Row],[Aop]],VLOOKUP(P$2&amp;Balance_Sheet[[#This Row],[Aop]],Data[],P$1)/Jedinica,"")</f>
        <v/>
      </c>
      <c r="Q67" s="38" t="str">
        <f>IF(VLOOKUP(Q$2&amp;Balance_Sheet[[#This Row],[Aop]],Data[],1)=Q$2&amp;Balance_Sheet[[#This Row],[Aop]],VLOOKUP(Q$2&amp;Balance_Sheet[[#This Row],[Aop]],Data[],Q$1)/Jedinica,"")</f>
        <v/>
      </c>
      <c r="R67" s="38" t="str">
        <f>IF(VLOOKUP(R$2&amp;Balance_Sheet[[#This Row],[Aop]],Data[],1)=R$2&amp;Balance_Sheet[[#This Row],[Aop]],VLOOKUP(R$2&amp;Balance_Sheet[[#This Row],[Aop]],Data[],R$1)/Jedinica,"")</f>
        <v/>
      </c>
      <c r="S67" s="38" t="str">
        <f>IF(VLOOKUP(S$2&amp;Balance_Sheet[[#This Row],[Aop]],Data[],1)=S$2&amp;Balance_Sheet[[#This Row],[Aop]],VLOOKUP(S$2&amp;Balance_Sheet[[#This Row],[Aop]],Data[],S$1)/Jedinica,"")</f>
        <v/>
      </c>
      <c r="T67" s="38" t="str">
        <f>IF(VLOOKUP(T$2&amp;Balance_Sheet[[#This Row],[Aop]],Data[],1)=T$2&amp;Balance_Sheet[[#This Row],[Aop]],VLOOKUP(T$2&amp;Balance_Sheet[[#This Row],[Aop]],Data[],T$1)/Jedinica,"")</f>
        <v/>
      </c>
      <c r="U67" s="38" t="str">
        <f>IF(VLOOKUP(U$2&amp;Balance_Sheet[[#This Row],[Aop]],Data[],1)=U$2&amp;Balance_Sheet[[#This Row],[Aop]],VLOOKUP(U$2&amp;Balance_Sheet[[#This Row],[Aop]],Data[],U$1)/Jedinica,"")</f>
        <v/>
      </c>
      <c r="V67" s="38" t="str">
        <f>IF(VLOOKUP(V$2&amp;Balance_Sheet[[#This Row],[Aop]],Data[],1)=V$2&amp;Balance_Sheet[[#This Row],[Aop]],VLOOKUP(V$2&amp;Balance_Sheet[[#This Row],[Aop]],Data[],V$1)/Jedinica,"")</f>
        <v/>
      </c>
      <c r="W67" s="38" t="str">
        <f>IF(VLOOKUP(W$2&amp;Balance_Sheet[[#This Row],[Aop]],Data[],1)=W$2&amp;Balance_Sheet[[#This Row],[Aop]],VLOOKUP(W$2&amp;Balance_Sheet[[#This Row],[Aop]],Data[],W$1)/Jedinica,"")</f>
        <v/>
      </c>
      <c r="X67" s="38" t="str">
        <f>IF(VLOOKUP(X$2&amp;Balance_Sheet[[#This Row],[Aop]],Data[],1)=X$2&amp;Balance_Sheet[[#This Row],[Aop]],VLOOKUP(X$2&amp;Balance_Sheet[[#This Row],[Aop]],Data[],X$1)/Jedinica,"")</f>
        <v/>
      </c>
      <c r="Y67" s="38" t="str">
        <f>IF(VLOOKUP(Y$2&amp;Balance_Sheet[[#This Row],[Aop]],Data[],1)=Y$2&amp;Balance_Sheet[[#This Row],[Aop]],VLOOKUP(Y$2&amp;Balance_Sheet[[#This Row],[Aop]],Data[],Y$1)/Jedinica,"")</f>
        <v/>
      </c>
      <c r="Z67" s="38" t="str">
        <f>IF(VLOOKUP(Z$2&amp;Balance_Sheet[[#This Row],[Aop]],Data[],1)=Z$2&amp;Balance_Sheet[[#This Row],[Aop]],VLOOKUP(Z$2&amp;Balance_Sheet[[#This Row],[Aop]],Data[],Z$1)/Jedinica,"")</f>
        <v/>
      </c>
      <c r="AA67" s="38" t="str">
        <f>IF(VLOOKUP(AA$2&amp;Balance_Sheet[[#This Row],[Aop]],Data[],1)=AA$2&amp;Balance_Sheet[[#This Row],[Aop]],VLOOKUP(AA$2&amp;Balance_Sheet[[#This Row],[Aop]],Data[],AA$1)/Jedinica,"")</f>
        <v/>
      </c>
      <c r="AB67" s="38" t="str">
        <f>IF(VLOOKUP(AB$2&amp;Balance_Sheet[[#This Row],[Aop]],Data[],1)=AB$2&amp;Balance_Sheet[[#This Row],[Aop]],VLOOKUP(AB$2&amp;Balance_Sheet[[#This Row],[Aop]],Data[],AB$1)/Jedinica,"")</f>
        <v/>
      </c>
      <c r="AC67" s="38" t="str">
        <f>IF(VLOOKUP(AC$2&amp;Balance_Sheet[[#This Row],[Aop]],Data[],1)=AC$2&amp;Balance_Sheet[[#This Row],[Aop]],VLOOKUP(AC$2&amp;Balance_Sheet[[#This Row],[Aop]],Data[],AC$1)/Jedinica,"")</f>
        <v/>
      </c>
      <c r="AD67" s="38" t="str">
        <f>IF(VLOOKUP(AD$2&amp;Balance_Sheet[[#This Row],[Aop]],Data[],1)=AD$2&amp;Balance_Sheet[[#This Row],[Aop]],VLOOKUP(AD$2&amp;Balance_Sheet[[#This Row],[Aop]],Data[],AD$1)/Jedinica,"")</f>
        <v/>
      </c>
      <c r="AE67" s="38" t="str">
        <f>IF(VLOOKUP(AE$2&amp;Balance_Sheet[[#This Row],[Aop]],Data[],1)=AE$2&amp;Balance_Sheet[[#This Row],[Aop]],VLOOKUP(AE$2&amp;Balance_Sheet[[#This Row],[Aop]],Data[],AE$1)/Jedinica,"")</f>
        <v/>
      </c>
      <c r="AF67" s="38" t="str">
        <f>IF(VLOOKUP(AF$2&amp;Balance_Sheet[[#This Row],[Aop]],Data[],1)=AF$2&amp;Balance_Sheet[[#This Row],[Aop]],VLOOKUP(AF$2&amp;Balance_Sheet[[#This Row],[Aop]],Data[],AF$1)/Jedinica,"")</f>
        <v/>
      </c>
    </row>
    <row r="68" spans="1:32" ht="12.75" customHeight="1" x14ac:dyDescent="0.2">
      <c r="A68" s="74">
        <v>63</v>
      </c>
      <c r="B68" s="75">
        <v>3</v>
      </c>
      <c r="C68" s="76" t="str">
        <f>VLOOKUP(Balance_Sheet[[#This Row],[No]],AOP_Balance,3,0)</f>
        <v>111</v>
      </c>
      <c r="D68" s="52" t="str">
        <f>VLOOKUP(Balance_Sheet[[#This Row],[No]],AOP_Balance,7,0)</f>
        <v xml:space="preserve">      b) Obaveze po osnovu HOV sa ugovorenom zaštitom od rizika u domaćoj valuti</v>
      </c>
      <c r="E68" s="38" t="str">
        <f>IF(VLOOKUP(E$2&amp;Balance_Sheet[[#This Row],[Aop]],Data[],1)=E$2&amp;Balance_Sheet[[#This Row],[Aop]],VLOOKUP(E$2&amp;Balance_Sheet[[#This Row],[Aop]],Data[],E$1)/Jedinica,"")</f>
        <v/>
      </c>
      <c r="F68" s="38" t="str">
        <f>IF(VLOOKUP(F$2&amp;Balance_Sheet[[#This Row],[Aop]],Data[],1)=F$2&amp;Balance_Sheet[[#This Row],[Aop]],VLOOKUP(F$2&amp;Balance_Sheet[[#This Row],[Aop]],Data[],F$1)/Jedinica,"")</f>
        <v/>
      </c>
      <c r="G68" s="38" t="str">
        <f>IF(VLOOKUP(G$2&amp;Balance_Sheet[[#This Row],[Aop]],Data[],1)=G$2&amp;Balance_Sheet[[#This Row],[Aop]],VLOOKUP(G$2&amp;Balance_Sheet[[#This Row],[Aop]],Data[],G$1)/Jedinica,"")</f>
        <v/>
      </c>
      <c r="H68" s="38" t="str">
        <f>IF(VLOOKUP(H$2&amp;Balance_Sheet[[#This Row],[Aop]],Data[],1)=H$2&amp;Balance_Sheet[[#This Row],[Aop]],VLOOKUP(H$2&amp;Balance_Sheet[[#This Row],[Aop]],Data[],H$1)/Jedinica,"")</f>
        <v/>
      </c>
      <c r="I68" s="38" t="str">
        <f>IF(VLOOKUP(I$2&amp;Balance_Sheet[[#This Row],[Aop]],Data[],1)=I$2&amp;Balance_Sheet[[#This Row],[Aop]],VLOOKUP(I$2&amp;Balance_Sheet[[#This Row],[Aop]],Data[],I$1)/Jedinica,"")</f>
        <v/>
      </c>
      <c r="J68" s="38" t="str">
        <f>IF(VLOOKUP(J$2&amp;Balance_Sheet[[#This Row],[Aop]],Data[],1)=J$2&amp;Balance_Sheet[[#This Row],[Aop]],VLOOKUP(J$2&amp;Balance_Sheet[[#This Row],[Aop]],Data[],J$1)/Jedinica,"")</f>
        <v/>
      </c>
      <c r="K68" s="38" t="str">
        <f>IF(VLOOKUP(K$2&amp;Balance_Sheet[[#This Row],[Aop]],Data[],1)=K$2&amp;Balance_Sheet[[#This Row],[Aop]],VLOOKUP(K$2&amp;Balance_Sheet[[#This Row],[Aop]],Data[],K$1)/Jedinica,"")</f>
        <v/>
      </c>
      <c r="L68" s="38" t="str">
        <f>IF(VLOOKUP(L$2&amp;Balance_Sheet[[#This Row],[Aop]],Data[],1)=L$2&amp;Balance_Sheet[[#This Row],[Aop]],VLOOKUP(L$2&amp;Balance_Sheet[[#This Row],[Aop]],Data[],L$1)/Jedinica,"")</f>
        <v/>
      </c>
      <c r="M68" s="38" t="str">
        <f>IF(VLOOKUP(M$2&amp;Balance_Sheet[[#This Row],[Aop]],Data[],1)=M$2&amp;Balance_Sheet[[#This Row],[Aop]],VLOOKUP(M$2&amp;Balance_Sheet[[#This Row],[Aop]],Data[],M$1)/Jedinica,"")</f>
        <v/>
      </c>
      <c r="N68" s="38" t="str">
        <f>IF(VLOOKUP(N$2&amp;Balance_Sheet[[#This Row],[Aop]],Data[],1)=N$2&amp;Balance_Sheet[[#This Row],[Aop]],VLOOKUP(N$2&amp;Balance_Sheet[[#This Row],[Aop]],Data[],N$1)/Jedinica,"")</f>
        <v/>
      </c>
      <c r="O68" s="38" t="str">
        <f>IF(VLOOKUP(O$2&amp;Balance_Sheet[[#This Row],[Aop]],Data[],1)=O$2&amp;Balance_Sheet[[#This Row],[Aop]],VLOOKUP(O$2&amp;Balance_Sheet[[#This Row],[Aop]],Data[],O$1)/Jedinica,"")</f>
        <v/>
      </c>
      <c r="P68" s="38" t="str">
        <f>IF(VLOOKUP(P$2&amp;Balance_Sheet[[#This Row],[Aop]],Data[],1)=P$2&amp;Balance_Sheet[[#This Row],[Aop]],VLOOKUP(P$2&amp;Balance_Sheet[[#This Row],[Aop]],Data[],P$1)/Jedinica,"")</f>
        <v/>
      </c>
      <c r="Q68" s="38" t="str">
        <f>IF(VLOOKUP(Q$2&amp;Balance_Sheet[[#This Row],[Aop]],Data[],1)=Q$2&amp;Balance_Sheet[[#This Row],[Aop]],VLOOKUP(Q$2&amp;Balance_Sheet[[#This Row],[Aop]],Data[],Q$1)/Jedinica,"")</f>
        <v/>
      </c>
      <c r="R68" s="38" t="str">
        <f>IF(VLOOKUP(R$2&amp;Balance_Sheet[[#This Row],[Aop]],Data[],1)=R$2&amp;Balance_Sheet[[#This Row],[Aop]],VLOOKUP(R$2&amp;Balance_Sheet[[#This Row],[Aop]],Data[],R$1)/Jedinica,"")</f>
        <v/>
      </c>
      <c r="S68" s="38" t="str">
        <f>IF(VLOOKUP(S$2&amp;Balance_Sheet[[#This Row],[Aop]],Data[],1)=S$2&amp;Balance_Sheet[[#This Row],[Aop]],VLOOKUP(S$2&amp;Balance_Sheet[[#This Row],[Aop]],Data[],S$1)/Jedinica,"")</f>
        <v/>
      </c>
      <c r="T68" s="38" t="str">
        <f>IF(VLOOKUP(T$2&amp;Balance_Sheet[[#This Row],[Aop]],Data[],1)=T$2&amp;Balance_Sheet[[#This Row],[Aop]],VLOOKUP(T$2&amp;Balance_Sheet[[#This Row],[Aop]],Data[],T$1)/Jedinica,"")</f>
        <v/>
      </c>
      <c r="U68" s="38" t="str">
        <f>IF(VLOOKUP(U$2&amp;Balance_Sheet[[#This Row],[Aop]],Data[],1)=U$2&amp;Balance_Sheet[[#This Row],[Aop]],VLOOKUP(U$2&amp;Balance_Sheet[[#This Row],[Aop]],Data[],U$1)/Jedinica,"")</f>
        <v/>
      </c>
      <c r="V68" s="38" t="str">
        <f>IF(VLOOKUP(V$2&amp;Balance_Sheet[[#This Row],[Aop]],Data[],1)=V$2&amp;Balance_Sheet[[#This Row],[Aop]],VLOOKUP(V$2&amp;Balance_Sheet[[#This Row],[Aop]],Data[],V$1)/Jedinica,"")</f>
        <v/>
      </c>
      <c r="W68" s="38" t="str">
        <f>IF(VLOOKUP(W$2&amp;Balance_Sheet[[#This Row],[Aop]],Data[],1)=W$2&amp;Balance_Sheet[[#This Row],[Aop]],VLOOKUP(W$2&amp;Balance_Sheet[[#This Row],[Aop]],Data[],W$1)/Jedinica,"")</f>
        <v/>
      </c>
      <c r="X68" s="38" t="str">
        <f>IF(VLOOKUP(X$2&amp;Balance_Sheet[[#This Row],[Aop]],Data[],1)=X$2&amp;Balance_Sheet[[#This Row],[Aop]],VLOOKUP(X$2&amp;Balance_Sheet[[#This Row],[Aop]],Data[],X$1)/Jedinica,"")</f>
        <v/>
      </c>
      <c r="Y68" s="38" t="str">
        <f>IF(VLOOKUP(Y$2&amp;Balance_Sheet[[#This Row],[Aop]],Data[],1)=Y$2&amp;Balance_Sheet[[#This Row],[Aop]],VLOOKUP(Y$2&amp;Balance_Sheet[[#This Row],[Aop]],Data[],Y$1)/Jedinica,"")</f>
        <v/>
      </c>
      <c r="Z68" s="38" t="str">
        <f>IF(VLOOKUP(Z$2&amp;Balance_Sheet[[#This Row],[Aop]],Data[],1)=Z$2&amp;Balance_Sheet[[#This Row],[Aop]],VLOOKUP(Z$2&amp;Balance_Sheet[[#This Row],[Aop]],Data[],Z$1)/Jedinica,"")</f>
        <v/>
      </c>
      <c r="AA68" s="38" t="str">
        <f>IF(VLOOKUP(AA$2&amp;Balance_Sheet[[#This Row],[Aop]],Data[],1)=AA$2&amp;Balance_Sheet[[#This Row],[Aop]],VLOOKUP(AA$2&amp;Balance_Sheet[[#This Row],[Aop]],Data[],AA$1)/Jedinica,"")</f>
        <v/>
      </c>
      <c r="AB68" s="38" t="str">
        <f>IF(VLOOKUP(AB$2&amp;Balance_Sheet[[#This Row],[Aop]],Data[],1)=AB$2&amp;Balance_Sheet[[#This Row],[Aop]],VLOOKUP(AB$2&amp;Balance_Sheet[[#This Row],[Aop]],Data[],AB$1)/Jedinica,"")</f>
        <v/>
      </c>
      <c r="AC68" s="38" t="str">
        <f>IF(VLOOKUP(AC$2&amp;Balance_Sheet[[#This Row],[Aop]],Data[],1)=AC$2&amp;Balance_Sheet[[#This Row],[Aop]],VLOOKUP(AC$2&amp;Balance_Sheet[[#This Row],[Aop]],Data[],AC$1)/Jedinica,"")</f>
        <v/>
      </c>
      <c r="AD68" s="38" t="str">
        <f>IF(VLOOKUP(AD$2&amp;Balance_Sheet[[#This Row],[Aop]],Data[],1)=AD$2&amp;Balance_Sheet[[#This Row],[Aop]],VLOOKUP(AD$2&amp;Balance_Sheet[[#This Row],[Aop]],Data[],AD$1)/Jedinica,"")</f>
        <v/>
      </c>
      <c r="AE68" s="38" t="str">
        <f>IF(VLOOKUP(AE$2&amp;Balance_Sheet[[#This Row],[Aop]],Data[],1)=AE$2&amp;Balance_Sheet[[#This Row],[Aop]],VLOOKUP(AE$2&amp;Balance_Sheet[[#This Row],[Aop]],Data[],AE$1)/Jedinica,"")</f>
        <v/>
      </c>
      <c r="AF68" s="38" t="str">
        <f>IF(VLOOKUP(AF$2&amp;Balance_Sheet[[#This Row],[Aop]],Data[],1)=AF$2&amp;Balance_Sheet[[#This Row],[Aop]],VLOOKUP(AF$2&amp;Balance_Sheet[[#This Row],[Aop]],Data[],AF$1)/Jedinica,"")</f>
        <v/>
      </c>
    </row>
    <row r="69" spans="1:32" ht="12.75" customHeight="1" x14ac:dyDescent="0.2">
      <c r="A69" s="74">
        <v>64</v>
      </c>
      <c r="B69" s="75">
        <v>3</v>
      </c>
      <c r="C69" s="76" t="str">
        <f>VLOOKUP(Balance_Sheet[[#This Row],[No]],AOP_Balance,3,0)</f>
        <v>112</v>
      </c>
      <c r="D69" s="52" t="str">
        <f>VLOOKUP(Balance_Sheet[[#This Row],[No]],AOP_Balance,7,0)</f>
        <v xml:space="preserve">      v) Obaveze po osnovu HOV u stranoj valuti</v>
      </c>
      <c r="E69" s="38" t="str">
        <f>IF(VLOOKUP(E$2&amp;Balance_Sheet[[#This Row],[Aop]],Data[],1)=E$2&amp;Balance_Sheet[[#This Row],[Aop]],VLOOKUP(E$2&amp;Balance_Sheet[[#This Row],[Aop]],Data[],E$1)/Jedinica,"")</f>
        <v/>
      </c>
      <c r="F69" s="38" t="str">
        <f>IF(VLOOKUP(F$2&amp;Balance_Sheet[[#This Row],[Aop]],Data[],1)=F$2&amp;Balance_Sheet[[#This Row],[Aop]],VLOOKUP(F$2&amp;Balance_Sheet[[#This Row],[Aop]],Data[],F$1)/Jedinica,"")</f>
        <v/>
      </c>
      <c r="G69" s="38" t="str">
        <f>IF(VLOOKUP(G$2&amp;Balance_Sheet[[#This Row],[Aop]],Data[],1)=G$2&amp;Balance_Sheet[[#This Row],[Aop]],VLOOKUP(G$2&amp;Balance_Sheet[[#This Row],[Aop]],Data[],G$1)/Jedinica,"")</f>
        <v/>
      </c>
      <c r="H69" s="38" t="str">
        <f>IF(VLOOKUP(H$2&amp;Balance_Sheet[[#This Row],[Aop]],Data[],1)=H$2&amp;Balance_Sheet[[#This Row],[Aop]],VLOOKUP(H$2&amp;Balance_Sheet[[#This Row],[Aop]],Data[],H$1)/Jedinica,"")</f>
        <v/>
      </c>
      <c r="I69" s="38" t="str">
        <f>IF(VLOOKUP(I$2&amp;Balance_Sheet[[#This Row],[Aop]],Data[],1)=I$2&amp;Balance_Sheet[[#This Row],[Aop]],VLOOKUP(I$2&amp;Balance_Sheet[[#This Row],[Aop]],Data[],I$1)/Jedinica,"")</f>
        <v/>
      </c>
      <c r="J69" s="38" t="str">
        <f>IF(VLOOKUP(J$2&amp;Balance_Sheet[[#This Row],[Aop]],Data[],1)=J$2&amp;Balance_Sheet[[#This Row],[Aop]],VLOOKUP(J$2&amp;Balance_Sheet[[#This Row],[Aop]],Data[],J$1)/Jedinica,"")</f>
        <v/>
      </c>
      <c r="K69" s="38" t="str">
        <f>IF(VLOOKUP(K$2&amp;Balance_Sheet[[#This Row],[Aop]],Data[],1)=K$2&amp;Balance_Sheet[[#This Row],[Aop]],VLOOKUP(K$2&amp;Balance_Sheet[[#This Row],[Aop]],Data[],K$1)/Jedinica,"")</f>
        <v/>
      </c>
      <c r="L69" s="38" t="str">
        <f>IF(VLOOKUP(L$2&amp;Balance_Sheet[[#This Row],[Aop]],Data[],1)=L$2&amp;Balance_Sheet[[#This Row],[Aop]],VLOOKUP(L$2&amp;Balance_Sheet[[#This Row],[Aop]],Data[],L$1)/Jedinica,"")</f>
        <v/>
      </c>
      <c r="M69" s="38" t="str">
        <f>IF(VLOOKUP(M$2&amp;Balance_Sheet[[#This Row],[Aop]],Data[],1)=M$2&amp;Balance_Sheet[[#This Row],[Aop]],VLOOKUP(M$2&amp;Balance_Sheet[[#This Row],[Aop]],Data[],M$1)/Jedinica,"")</f>
        <v/>
      </c>
      <c r="N69" s="38" t="str">
        <f>IF(VLOOKUP(N$2&amp;Balance_Sheet[[#This Row],[Aop]],Data[],1)=N$2&amp;Balance_Sheet[[#This Row],[Aop]],VLOOKUP(N$2&amp;Balance_Sheet[[#This Row],[Aop]],Data[],N$1)/Jedinica,"")</f>
        <v/>
      </c>
      <c r="O69" s="38" t="str">
        <f>IF(VLOOKUP(O$2&amp;Balance_Sheet[[#This Row],[Aop]],Data[],1)=O$2&amp;Balance_Sheet[[#This Row],[Aop]],VLOOKUP(O$2&amp;Balance_Sheet[[#This Row],[Aop]],Data[],O$1)/Jedinica,"")</f>
        <v/>
      </c>
      <c r="P69" s="38" t="str">
        <f>IF(VLOOKUP(P$2&amp;Balance_Sheet[[#This Row],[Aop]],Data[],1)=P$2&amp;Balance_Sheet[[#This Row],[Aop]],VLOOKUP(P$2&amp;Balance_Sheet[[#This Row],[Aop]],Data[],P$1)/Jedinica,"")</f>
        <v/>
      </c>
      <c r="Q69" s="38" t="str">
        <f>IF(VLOOKUP(Q$2&amp;Balance_Sheet[[#This Row],[Aop]],Data[],1)=Q$2&amp;Balance_Sheet[[#This Row],[Aop]],VLOOKUP(Q$2&amp;Balance_Sheet[[#This Row],[Aop]],Data[],Q$1)/Jedinica,"")</f>
        <v/>
      </c>
      <c r="R69" s="38" t="str">
        <f>IF(VLOOKUP(R$2&amp;Balance_Sheet[[#This Row],[Aop]],Data[],1)=R$2&amp;Balance_Sheet[[#This Row],[Aop]],VLOOKUP(R$2&amp;Balance_Sheet[[#This Row],[Aop]],Data[],R$1)/Jedinica,"")</f>
        <v/>
      </c>
      <c r="S69" s="38" t="str">
        <f>IF(VLOOKUP(S$2&amp;Balance_Sheet[[#This Row],[Aop]],Data[],1)=S$2&amp;Balance_Sheet[[#This Row],[Aop]],VLOOKUP(S$2&amp;Balance_Sheet[[#This Row],[Aop]],Data[],S$1)/Jedinica,"")</f>
        <v/>
      </c>
      <c r="T69" s="38" t="str">
        <f>IF(VLOOKUP(T$2&amp;Balance_Sheet[[#This Row],[Aop]],Data[],1)=T$2&amp;Balance_Sheet[[#This Row],[Aop]],VLOOKUP(T$2&amp;Balance_Sheet[[#This Row],[Aop]],Data[],T$1)/Jedinica,"")</f>
        <v/>
      </c>
      <c r="U69" s="38" t="str">
        <f>IF(VLOOKUP(U$2&amp;Balance_Sheet[[#This Row],[Aop]],Data[],1)=U$2&amp;Balance_Sheet[[#This Row],[Aop]],VLOOKUP(U$2&amp;Balance_Sheet[[#This Row],[Aop]],Data[],U$1)/Jedinica,"")</f>
        <v/>
      </c>
      <c r="V69" s="38" t="str">
        <f>IF(VLOOKUP(V$2&amp;Balance_Sheet[[#This Row],[Aop]],Data[],1)=V$2&amp;Balance_Sheet[[#This Row],[Aop]],VLOOKUP(V$2&amp;Balance_Sheet[[#This Row],[Aop]],Data[],V$1)/Jedinica,"")</f>
        <v/>
      </c>
      <c r="W69" s="38" t="str">
        <f>IF(VLOOKUP(W$2&amp;Balance_Sheet[[#This Row],[Aop]],Data[],1)=W$2&amp;Balance_Sheet[[#This Row],[Aop]],VLOOKUP(W$2&amp;Balance_Sheet[[#This Row],[Aop]],Data[],W$1)/Jedinica,"")</f>
        <v/>
      </c>
      <c r="X69" s="38" t="str">
        <f>IF(VLOOKUP(X$2&amp;Balance_Sheet[[#This Row],[Aop]],Data[],1)=X$2&amp;Balance_Sheet[[#This Row],[Aop]],VLOOKUP(X$2&amp;Balance_Sheet[[#This Row],[Aop]],Data[],X$1)/Jedinica,"")</f>
        <v/>
      </c>
      <c r="Y69" s="38" t="str">
        <f>IF(VLOOKUP(Y$2&amp;Balance_Sheet[[#This Row],[Aop]],Data[],1)=Y$2&amp;Balance_Sheet[[#This Row],[Aop]],VLOOKUP(Y$2&amp;Balance_Sheet[[#This Row],[Aop]],Data[],Y$1)/Jedinica,"")</f>
        <v/>
      </c>
      <c r="Z69" s="38" t="str">
        <f>IF(VLOOKUP(Z$2&amp;Balance_Sheet[[#This Row],[Aop]],Data[],1)=Z$2&amp;Balance_Sheet[[#This Row],[Aop]],VLOOKUP(Z$2&amp;Balance_Sheet[[#This Row],[Aop]],Data[],Z$1)/Jedinica,"")</f>
        <v/>
      </c>
      <c r="AA69" s="38" t="str">
        <f>IF(VLOOKUP(AA$2&amp;Balance_Sheet[[#This Row],[Aop]],Data[],1)=AA$2&amp;Balance_Sheet[[#This Row],[Aop]],VLOOKUP(AA$2&amp;Balance_Sheet[[#This Row],[Aop]],Data[],AA$1)/Jedinica,"")</f>
        <v/>
      </c>
      <c r="AB69" s="38" t="str">
        <f>IF(VLOOKUP(AB$2&amp;Balance_Sheet[[#This Row],[Aop]],Data[],1)=AB$2&amp;Balance_Sheet[[#This Row],[Aop]],VLOOKUP(AB$2&amp;Balance_Sheet[[#This Row],[Aop]],Data[],AB$1)/Jedinica,"")</f>
        <v/>
      </c>
      <c r="AC69" s="38" t="str">
        <f>IF(VLOOKUP(AC$2&amp;Balance_Sheet[[#This Row],[Aop]],Data[],1)=AC$2&amp;Balance_Sheet[[#This Row],[Aop]],VLOOKUP(AC$2&amp;Balance_Sheet[[#This Row],[Aop]],Data[],AC$1)/Jedinica,"")</f>
        <v/>
      </c>
      <c r="AD69" s="38" t="str">
        <f>IF(VLOOKUP(AD$2&amp;Balance_Sheet[[#This Row],[Aop]],Data[],1)=AD$2&amp;Balance_Sheet[[#This Row],[Aop]],VLOOKUP(AD$2&amp;Balance_Sheet[[#This Row],[Aop]],Data[],AD$1)/Jedinica,"")</f>
        <v/>
      </c>
      <c r="AE69" s="38" t="str">
        <f>IF(VLOOKUP(AE$2&amp;Balance_Sheet[[#This Row],[Aop]],Data[],1)=AE$2&amp;Balance_Sheet[[#This Row],[Aop]],VLOOKUP(AE$2&amp;Balance_Sheet[[#This Row],[Aop]],Data[],AE$1)/Jedinica,"")</f>
        <v/>
      </c>
      <c r="AF69" s="38" t="str">
        <f>IF(VLOOKUP(AF$2&amp;Balance_Sheet[[#This Row],[Aop]],Data[],1)=AF$2&amp;Balance_Sheet[[#This Row],[Aop]],VLOOKUP(AF$2&amp;Balance_Sheet[[#This Row],[Aop]],Data[],AF$1)/Jedinica,"")</f>
        <v/>
      </c>
    </row>
    <row r="70" spans="1:32" ht="12.75" customHeight="1" x14ac:dyDescent="0.2">
      <c r="A70" s="74">
        <v>65</v>
      </c>
      <c r="B70" s="75">
        <v>2</v>
      </c>
      <c r="C70" s="38" t="str">
        <f>VLOOKUP(Balance_Sheet[[#This Row],[No]],AOP_Balance,3,0)</f>
        <v>113</v>
      </c>
      <c r="D70" s="52" t="str">
        <f>VLOOKUP(Balance_Sheet[[#This Row],[No]],AOP_Balance,7,0)</f>
        <v xml:space="preserve">    4. Ostale obaveze i PVR (114 do 124)</v>
      </c>
      <c r="E70" s="38">
        <f>IF(VLOOKUP(E$2&amp;Balance_Sheet[[#This Row],[Aop]],Data[],1)=E$2&amp;Balance_Sheet[[#This Row],[Aop]],VLOOKUP(E$2&amp;Balance_Sheet[[#This Row],[Aop]],Data[],E$1)/Jedinica,"")</f>
        <v>0</v>
      </c>
      <c r="F70" s="38">
        <f>IF(VLOOKUP(F$2&amp;Balance_Sheet[[#This Row],[Aop]],Data[],1)=F$2&amp;Balance_Sheet[[#This Row],[Aop]],VLOOKUP(F$2&amp;Balance_Sheet[[#This Row],[Aop]],Data[],F$1)/Jedinica,"")</f>
        <v>0</v>
      </c>
      <c r="G70" s="38">
        <f>IF(VLOOKUP(G$2&amp;Balance_Sheet[[#This Row],[Aop]],Data[],1)=G$2&amp;Balance_Sheet[[#This Row],[Aop]],VLOOKUP(G$2&amp;Balance_Sheet[[#This Row],[Aop]],Data[],G$1)/Jedinica,"")</f>
        <v>39559271</v>
      </c>
      <c r="H70" s="38">
        <f>IF(VLOOKUP(H$2&amp;Balance_Sheet[[#This Row],[Aop]],Data[],1)=H$2&amp;Balance_Sheet[[#This Row],[Aop]],VLOOKUP(H$2&amp;Balance_Sheet[[#This Row],[Aop]],Data[],H$1)/Jedinica,"")</f>
        <v>31848859</v>
      </c>
      <c r="I70" s="38">
        <f>IF(VLOOKUP(I$2&amp;Balance_Sheet[[#This Row],[Aop]],Data[],1)=I$2&amp;Balance_Sheet[[#This Row],[Aop]],VLOOKUP(I$2&amp;Balance_Sheet[[#This Row],[Aop]],Data[],I$1)/Jedinica,"")</f>
        <v>0</v>
      </c>
      <c r="J70" s="38">
        <f>IF(VLOOKUP(J$2&amp;Balance_Sheet[[#This Row],[Aop]],Data[],1)=J$2&amp;Balance_Sheet[[#This Row],[Aop]],VLOOKUP(J$2&amp;Balance_Sheet[[#This Row],[Aop]],Data[],J$1)/Jedinica,"")</f>
        <v>0</v>
      </c>
      <c r="K70" s="38">
        <f>IF(VLOOKUP(K$2&amp;Balance_Sheet[[#This Row],[Aop]],Data[],1)=K$2&amp;Balance_Sheet[[#This Row],[Aop]],VLOOKUP(K$2&amp;Balance_Sheet[[#This Row],[Aop]],Data[],K$1)/Jedinica,"")</f>
        <v>13628609</v>
      </c>
      <c r="L70" s="38">
        <f>IF(VLOOKUP(L$2&amp;Balance_Sheet[[#This Row],[Aop]],Data[],1)=L$2&amp;Balance_Sheet[[#This Row],[Aop]],VLOOKUP(L$2&amp;Balance_Sheet[[#This Row],[Aop]],Data[],L$1)/Jedinica,"")</f>
        <v>14858152</v>
      </c>
      <c r="M70" s="38">
        <f>IF(VLOOKUP(M$2&amp;Balance_Sheet[[#This Row],[Aop]],Data[],1)=M$2&amp;Balance_Sheet[[#This Row],[Aop]],VLOOKUP(M$2&amp;Balance_Sheet[[#This Row],[Aop]],Data[],M$1)/Jedinica,"")</f>
        <v>0</v>
      </c>
      <c r="N70" s="38">
        <f>IF(VLOOKUP(N$2&amp;Balance_Sheet[[#This Row],[Aop]],Data[],1)=N$2&amp;Balance_Sheet[[#This Row],[Aop]],VLOOKUP(N$2&amp;Balance_Sheet[[#This Row],[Aop]],Data[],N$1)/Jedinica,"")</f>
        <v>0</v>
      </c>
      <c r="O70" s="38">
        <f>IF(VLOOKUP(O$2&amp;Balance_Sheet[[#This Row],[Aop]],Data[],1)=O$2&amp;Balance_Sheet[[#This Row],[Aop]],VLOOKUP(O$2&amp;Balance_Sheet[[#This Row],[Aop]],Data[],O$1)/Jedinica,"")</f>
        <v>4604640</v>
      </c>
      <c r="P70" s="38">
        <f>IF(VLOOKUP(P$2&amp;Balance_Sheet[[#This Row],[Aop]],Data[],1)=P$2&amp;Balance_Sheet[[#This Row],[Aop]],VLOOKUP(P$2&amp;Balance_Sheet[[#This Row],[Aop]],Data[],P$1)/Jedinica,"")</f>
        <v>3203792</v>
      </c>
      <c r="Q70" s="38">
        <f>IF(VLOOKUP(Q$2&amp;Balance_Sheet[[#This Row],[Aop]],Data[],1)=Q$2&amp;Balance_Sheet[[#This Row],[Aop]],VLOOKUP(Q$2&amp;Balance_Sheet[[#This Row],[Aop]],Data[],Q$1)/Jedinica,"")</f>
        <v>0</v>
      </c>
      <c r="R70" s="38">
        <f>IF(VLOOKUP(R$2&amp;Balance_Sheet[[#This Row],[Aop]],Data[],1)=R$2&amp;Balance_Sheet[[#This Row],[Aop]],VLOOKUP(R$2&amp;Balance_Sheet[[#This Row],[Aop]],Data[],R$1)/Jedinica,"")</f>
        <v>0</v>
      </c>
      <c r="S70" s="38">
        <f>IF(VLOOKUP(S$2&amp;Balance_Sheet[[#This Row],[Aop]],Data[],1)=S$2&amp;Balance_Sheet[[#This Row],[Aop]],VLOOKUP(S$2&amp;Balance_Sheet[[#This Row],[Aop]],Data[],S$1)/Jedinica,"")</f>
        <v>2184087</v>
      </c>
      <c r="T70" s="38">
        <f>IF(VLOOKUP(T$2&amp;Balance_Sheet[[#This Row],[Aop]],Data[],1)=T$2&amp;Balance_Sheet[[#This Row],[Aop]],VLOOKUP(T$2&amp;Balance_Sheet[[#This Row],[Aop]],Data[],T$1)/Jedinica,"")</f>
        <v>1559898</v>
      </c>
      <c r="U70" s="38">
        <f>IF(VLOOKUP(U$2&amp;Balance_Sheet[[#This Row],[Aop]],Data[],1)=U$2&amp;Balance_Sheet[[#This Row],[Aop]],VLOOKUP(U$2&amp;Balance_Sheet[[#This Row],[Aop]],Data[],U$1)/Jedinica,"")</f>
        <v>0</v>
      </c>
      <c r="V70" s="38">
        <f>IF(VLOOKUP(V$2&amp;Balance_Sheet[[#This Row],[Aop]],Data[],1)=V$2&amp;Balance_Sheet[[#This Row],[Aop]],VLOOKUP(V$2&amp;Balance_Sheet[[#This Row],[Aop]],Data[],V$1)/Jedinica,"")</f>
        <v>0</v>
      </c>
      <c r="W70" s="38">
        <f>IF(VLOOKUP(W$2&amp;Balance_Sheet[[#This Row],[Aop]],Data[],1)=W$2&amp;Balance_Sheet[[#This Row],[Aop]],VLOOKUP(W$2&amp;Balance_Sheet[[#This Row],[Aop]],Data[],W$1)/Jedinica,"")</f>
        <v>18093688</v>
      </c>
      <c r="X70" s="38">
        <f>IF(VLOOKUP(X$2&amp;Balance_Sheet[[#This Row],[Aop]],Data[],1)=X$2&amp;Balance_Sheet[[#This Row],[Aop]],VLOOKUP(X$2&amp;Balance_Sheet[[#This Row],[Aop]],Data[],X$1)/Jedinica,"")</f>
        <v>11328892</v>
      </c>
      <c r="Y70" s="38">
        <f>IF(VLOOKUP(Y$2&amp;Balance_Sheet[[#This Row],[Aop]],Data[],1)=Y$2&amp;Balance_Sheet[[#This Row],[Aop]],VLOOKUP(Y$2&amp;Balance_Sheet[[#This Row],[Aop]],Data[],Y$1)/Jedinica,"")</f>
        <v>0</v>
      </c>
      <c r="Z70" s="38">
        <f>IF(VLOOKUP(Z$2&amp;Balance_Sheet[[#This Row],[Aop]],Data[],1)=Z$2&amp;Balance_Sheet[[#This Row],[Aop]],VLOOKUP(Z$2&amp;Balance_Sheet[[#This Row],[Aop]],Data[],Z$1)/Jedinica,"")</f>
        <v>0</v>
      </c>
      <c r="AA70" s="38">
        <f>IF(VLOOKUP(AA$2&amp;Balance_Sheet[[#This Row],[Aop]],Data[],1)=AA$2&amp;Balance_Sheet[[#This Row],[Aop]],VLOOKUP(AA$2&amp;Balance_Sheet[[#This Row],[Aop]],Data[],AA$1)/Jedinica,"")</f>
        <v>2184087</v>
      </c>
      <c r="AB70" s="38">
        <f>IF(VLOOKUP(AB$2&amp;Balance_Sheet[[#This Row],[Aop]],Data[],1)=AB$2&amp;Balance_Sheet[[#This Row],[Aop]],VLOOKUP(AB$2&amp;Balance_Sheet[[#This Row],[Aop]],Data[],AB$1)/Jedinica,"")</f>
        <v>1559898</v>
      </c>
      <c r="AC70" s="38">
        <f>IF(VLOOKUP(AC$2&amp;Balance_Sheet[[#This Row],[Aop]],Data[],1)=AC$2&amp;Balance_Sheet[[#This Row],[Aop]],VLOOKUP(AC$2&amp;Balance_Sheet[[#This Row],[Aop]],Data[],AC$1)/Jedinica,"")</f>
        <v>0</v>
      </c>
      <c r="AD70" s="38">
        <f>IF(VLOOKUP(AD$2&amp;Balance_Sheet[[#This Row],[Aop]],Data[],1)=AD$2&amp;Balance_Sheet[[#This Row],[Aop]],VLOOKUP(AD$2&amp;Balance_Sheet[[#This Row],[Aop]],Data[],AD$1)/Jedinica,"")</f>
        <v>0</v>
      </c>
      <c r="AE70" s="38">
        <f>IF(VLOOKUP(AE$2&amp;Balance_Sheet[[#This Row],[Aop]],Data[],1)=AE$2&amp;Balance_Sheet[[#This Row],[Aop]],VLOOKUP(AE$2&amp;Balance_Sheet[[#This Row],[Aop]],Data[],AE$1)/Jedinica,"")</f>
        <v>57360891</v>
      </c>
      <c r="AF70" s="38">
        <f>IF(VLOOKUP(AF$2&amp;Balance_Sheet[[#This Row],[Aop]],Data[],1)=AF$2&amp;Balance_Sheet[[#This Row],[Aop]],VLOOKUP(AF$2&amp;Balance_Sheet[[#This Row],[Aop]],Data[],AF$1)/Jedinica,"")</f>
        <v>55891111</v>
      </c>
    </row>
    <row r="71" spans="1:32" ht="12.75" customHeight="1" x14ac:dyDescent="0.2">
      <c r="A71" s="74">
        <v>66</v>
      </c>
      <c r="B71" s="75">
        <v>3</v>
      </c>
      <c r="C71" s="38" t="str">
        <f>VLOOKUP(Balance_Sheet[[#This Row],[No]],AOP_Balance,3,0)</f>
        <v>114</v>
      </c>
      <c r="D71" s="52" t="str">
        <f>VLOOKUP(Balance_Sheet[[#This Row],[No]],AOP_Balance,7,0)</f>
        <v xml:space="preserve">      a) Obaveze po osnovu zarada i naknada zarada</v>
      </c>
      <c r="E71" s="38">
        <f>IF(VLOOKUP(E$2&amp;Balance_Sheet[[#This Row],[Aop]],Data[],1)=E$2&amp;Balance_Sheet[[#This Row],[Aop]],VLOOKUP(E$2&amp;Balance_Sheet[[#This Row],[Aop]],Data[],E$1)/Jedinica,"")</f>
        <v>0</v>
      </c>
      <c r="F71" s="38">
        <f>IF(VLOOKUP(F$2&amp;Balance_Sheet[[#This Row],[Aop]],Data[],1)=F$2&amp;Balance_Sheet[[#This Row],[Aop]],VLOOKUP(F$2&amp;Balance_Sheet[[#This Row],[Aop]],Data[],F$1)/Jedinica,"")</f>
        <v>0</v>
      </c>
      <c r="G71" s="38">
        <f>IF(VLOOKUP(G$2&amp;Balance_Sheet[[#This Row],[Aop]],Data[],1)=G$2&amp;Balance_Sheet[[#This Row],[Aop]],VLOOKUP(G$2&amp;Balance_Sheet[[#This Row],[Aop]],Data[],G$1)/Jedinica,"")</f>
        <v>221774</v>
      </c>
      <c r="H71" s="38">
        <f>IF(VLOOKUP(H$2&amp;Balance_Sheet[[#This Row],[Aop]],Data[],1)=H$2&amp;Balance_Sheet[[#This Row],[Aop]],VLOOKUP(H$2&amp;Balance_Sheet[[#This Row],[Aop]],Data[],H$1)/Jedinica,"")</f>
        <v>224939</v>
      </c>
      <c r="I71" s="38">
        <f>IF(VLOOKUP(I$2&amp;Balance_Sheet[[#This Row],[Aop]],Data[],1)=I$2&amp;Balance_Sheet[[#This Row],[Aop]],VLOOKUP(I$2&amp;Balance_Sheet[[#This Row],[Aop]],Data[],I$1)/Jedinica,"")</f>
        <v>0</v>
      </c>
      <c r="J71" s="38">
        <f>IF(VLOOKUP(J$2&amp;Balance_Sheet[[#This Row],[Aop]],Data[],1)=J$2&amp;Balance_Sheet[[#This Row],[Aop]],VLOOKUP(J$2&amp;Balance_Sheet[[#This Row],[Aop]],Data[],J$1)/Jedinica,"")</f>
        <v>0</v>
      </c>
      <c r="K71" s="38">
        <f>IF(VLOOKUP(K$2&amp;Balance_Sheet[[#This Row],[Aop]],Data[],1)=K$2&amp;Balance_Sheet[[#This Row],[Aop]],VLOOKUP(K$2&amp;Balance_Sheet[[#This Row],[Aop]],Data[],K$1)/Jedinica,"")</f>
        <v>266505</v>
      </c>
      <c r="L71" s="38">
        <f>IF(VLOOKUP(L$2&amp;Balance_Sheet[[#This Row],[Aop]],Data[],1)=L$2&amp;Balance_Sheet[[#This Row],[Aop]],VLOOKUP(L$2&amp;Balance_Sheet[[#This Row],[Aop]],Data[],L$1)/Jedinica,"")</f>
        <v>2700</v>
      </c>
      <c r="M71" s="38">
        <f>IF(VLOOKUP(M$2&amp;Balance_Sheet[[#This Row],[Aop]],Data[],1)=M$2&amp;Balance_Sheet[[#This Row],[Aop]],VLOOKUP(M$2&amp;Balance_Sheet[[#This Row],[Aop]],Data[],M$1)/Jedinica,"")</f>
        <v>0</v>
      </c>
      <c r="N71" s="38">
        <f>IF(VLOOKUP(N$2&amp;Balance_Sheet[[#This Row],[Aop]],Data[],1)=N$2&amp;Balance_Sheet[[#This Row],[Aop]],VLOOKUP(N$2&amp;Balance_Sheet[[#This Row],[Aop]],Data[],N$1)/Jedinica,"")</f>
        <v>0</v>
      </c>
      <c r="O71" s="38">
        <f>IF(VLOOKUP(O$2&amp;Balance_Sheet[[#This Row],[Aop]],Data[],1)=O$2&amp;Balance_Sheet[[#This Row],[Aop]],VLOOKUP(O$2&amp;Balance_Sheet[[#This Row],[Aop]],Data[],O$1)/Jedinica,"")</f>
        <v>237975</v>
      </c>
      <c r="P71" s="38">
        <f>IF(VLOOKUP(P$2&amp;Balance_Sheet[[#This Row],[Aop]],Data[],1)=P$2&amp;Balance_Sheet[[#This Row],[Aop]],VLOOKUP(P$2&amp;Balance_Sheet[[#This Row],[Aop]],Data[],P$1)/Jedinica,"")</f>
        <v>1006</v>
      </c>
      <c r="Q71" s="38">
        <f>IF(VLOOKUP(Q$2&amp;Balance_Sheet[[#This Row],[Aop]],Data[],1)=Q$2&amp;Balance_Sheet[[#This Row],[Aop]],VLOOKUP(Q$2&amp;Balance_Sheet[[#This Row],[Aop]],Data[],Q$1)/Jedinica,"")</f>
        <v>0</v>
      </c>
      <c r="R71" s="38">
        <f>IF(VLOOKUP(R$2&amp;Balance_Sheet[[#This Row],[Aop]],Data[],1)=R$2&amp;Balance_Sheet[[#This Row],[Aop]],VLOOKUP(R$2&amp;Balance_Sheet[[#This Row],[Aop]],Data[],R$1)/Jedinica,"")</f>
        <v>0</v>
      </c>
      <c r="S71" s="38">
        <f>IF(VLOOKUP(S$2&amp;Balance_Sheet[[#This Row],[Aop]],Data[],1)=S$2&amp;Balance_Sheet[[#This Row],[Aop]],VLOOKUP(S$2&amp;Balance_Sheet[[#This Row],[Aop]],Data[],S$1)/Jedinica,"")</f>
        <v>185829</v>
      </c>
      <c r="T71" s="38">
        <f>IF(VLOOKUP(T$2&amp;Balance_Sheet[[#This Row],[Aop]],Data[],1)=T$2&amp;Balance_Sheet[[#This Row],[Aop]],VLOOKUP(T$2&amp;Balance_Sheet[[#This Row],[Aop]],Data[],T$1)/Jedinica,"")</f>
        <v>8124</v>
      </c>
      <c r="U71" s="38">
        <f>IF(VLOOKUP(U$2&amp;Balance_Sheet[[#This Row],[Aop]],Data[],1)=U$2&amp;Balance_Sheet[[#This Row],[Aop]],VLOOKUP(U$2&amp;Balance_Sheet[[#This Row],[Aop]],Data[],U$1)/Jedinica,"")</f>
        <v>0</v>
      </c>
      <c r="V71" s="38">
        <f>IF(VLOOKUP(V$2&amp;Balance_Sheet[[#This Row],[Aop]],Data[],1)=V$2&amp;Balance_Sheet[[#This Row],[Aop]],VLOOKUP(V$2&amp;Balance_Sheet[[#This Row],[Aop]],Data[],V$1)/Jedinica,"")</f>
        <v>0</v>
      </c>
      <c r="W71" s="38">
        <f>IF(VLOOKUP(W$2&amp;Balance_Sheet[[#This Row],[Aop]],Data[],1)=W$2&amp;Balance_Sheet[[#This Row],[Aop]],VLOOKUP(W$2&amp;Balance_Sheet[[#This Row],[Aop]],Data[],W$1)/Jedinica,"")</f>
        <v>583253</v>
      </c>
      <c r="X71" s="38">
        <f>IF(VLOOKUP(X$2&amp;Balance_Sheet[[#This Row],[Aop]],Data[],1)=X$2&amp;Balance_Sheet[[#This Row],[Aop]],VLOOKUP(X$2&amp;Balance_Sheet[[#This Row],[Aop]],Data[],X$1)/Jedinica,"")</f>
        <v>0</v>
      </c>
      <c r="Y71" s="38">
        <f>IF(VLOOKUP(Y$2&amp;Balance_Sheet[[#This Row],[Aop]],Data[],1)=Y$2&amp;Balance_Sheet[[#This Row],[Aop]],VLOOKUP(Y$2&amp;Balance_Sheet[[#This Row],[Aop]],Data[],Y$1)/Jedinica,"")</f>
        <v>0</v>
      </c>
      <c r="Z71" s="38">
        <f>IF(VLOOKUP(Z$2&amp;Balance_Sheet[[#This Row],[Aop]],Data[],1)=Z$2&amp;Balance_Sheet[[#This Row],[Aop]],VLOOKUP(Z$2&amp;Balance_Sheet[[#This Row],[Aop]],Data[],Z$1)/Jedinica,"")</f>
        <v>0</v>
      </c>
      <c r="AA71" s="38">
        <f>IF(VLOOKUP(AA$2&amp;Balance_Sheet[[#This Row],[Aop]],Data[],1)=AA$2&amp;Balance_Sheet[[#This Row],[Aop]],VLOOKUP(AA$2&amp;Balance_Sheet[[#This Row],[Aop]],Data[],AA$1)/Jedinica,"")</f>
        <v>185829</v>
      </c>
      <c r="AB71" s="38">
        <f>IF(VLOOKUP(AB$2&amp;Balance_Sheet[[#This Row],[Aop]],Data[],1)=AB$2&amp;Balance_Sheet[[#This Row],[Aop]],VLOOKUP(AB$2&amp;Balance_Sheet[[#This Row],[Aop]],Data[],AB$1)/Jedinica,"")</f>
        <v>8124</v>
      </c>
      <c r="AC71" s="38">
        <f>IF(VLOOKUP(AC$2&amp;Balance_Sheet[[#This Row],[Aop]],Data[],1)=AC$2&amp;Balance_Sheet[[#This Row],[Aop]],VLOOKUP(AC$2&amp;Balance_Sheet[[#This Row],[Aop]],Data[],AC$1)/Jedinica,"")</f>
        <v>0</v>
      </c>
      <c r="AD71" s="38">
        <f>IF(VLOOKUP(AD$2&amp;Balance_Sheet[[#This Row],[Aop]],Data[],1)=AD$2&amp;Balance_Sheet[[#This Row],[Aop]],VLOOKUP(AD$2&amp;Balance_Sheet[[#This Row],[Aop]],Data[],AD$1)/Jedinica,"")</f>
        <v>0</v>
      </c>
      <c r="AE71" s="38">
        <f>IF(VLOOKUP(AE$2&amp;Balance_Sheet[[#This Row],[Aop]],Data[],1)=AE$2&amp;Balance_Sheet[[#This Row],[Aop]],VLOOKUP(AE$2&amp;Balance_Sheet[[#This Row],[Aop]],Data[],AE$1)/Jedinica,"")</f>
        <v>609325</v>
      </c>
      <c r="AF71" s="38">
        <f>IF(VLOOKUP(AF$2&amp;Balance_Sheet[[#This Row],[Aop]],Data[],1)=AF$2&amp;Balance_Sheet[[#This Row],[Aop]],VLOOKUP(AF$2&amp;Balance_Sheet[[#This Row],[Aop]],Data[],AF$1)/Jedinica,"")</f>
        <v>0</v>
      </c>
    </row>
    <row r="72" spans="1:32" ht="12.75" customHeight="1" x14ac:dyDescent="0.2">
      <c r="A72" s="74">
        <v>67</v>
      </c>
      <c r="B72" s="75">
        <v>3</v>
      </c>
      <c r="C72" s="38" t="str">
        <f>VLOOKUP(Balance_Sheet[[#This Row],[No]],AOP_Balance,3,0)</f>
        <v>115</v>
      </c>
      <c r="D72" s="52" t="str">
        <f>VLOOKUP(Balance_Sheet[[#This Row],[No]],AOP_Balance,7,0)</f>
        <v xml:space="preserve">      b) Ostale obaveze u domaćoj valuti, osim obaveza za poreze i doprinose</v>
      </c>
      <c r="E72" s="38">
        <f>IF(VLOOKUP(E$2&amp;Balance_Sheet[[#This Row],[Aop]],Data[],1)=E$2&amp;Balance_Sheet[[#This Row],[Aop]],VLOOKUP(E$2&amp;Balance_Sheet[[#This Row],[Aop]],Data[],E$1)/Jedinica,"")</f>
        <v>0</v>
      </c>
      <c r="F72" s="38">
        <f>IF(VLOOKUP(F$2&amp;Balance_Sheet[[#This Row],[Aop]],Data[],1)=F$2&amp;Balance_Sheet[[#This Row],[Aop]],VLOOKUP(F$2&amp;Balance_Sheet[[#This Row],[Aop]],Data[],F$1)/Jedinica,"")</f>
        <v>0</v>
      </c>
      <c r="G72" s="38">
        <f>IF(VLOOKUP(G$2&amp;Balance_Sheet[[#This Row],[Aop]],Data[],1)=G$2&amp;Balance_Sheet[[#This Row],[Aop]],VLOOKUP(G$2&amp;Balance_Sheet[[#This Row],[Aop]],Data[],G$1)/Jedinica,"")</f>
        <v>2371720</v>
      </c>
      <c r="H72" s="38">
        <f>IF(VLOOKUP(H$2&amp;Balance_Sheet[[#This Row],[Aop]],Data[],1)=H$2&amp;Balance_Sheet[[#This Row],[Aop]],VLOOKUP(H$2&amp;Balance_Sheet[[#This Row],[Aop]],Data[],H$1)/Jedinica,"")</f>
        <v>811427</v>
      </c>
      <c r="I72" s="38">
        <f>IF(VLOOKUP(I$2&amp;Balance_Sheet[[#This Row],[Aop]],Data[],1)=I$2&amp;Balance_Sheet[[#This Row],[Aop]],VLOOKUP(I$2&amp;Balance_Sheet[[#This Row],[Aop]],Data[],I$1)/Jedinica,"")</f>
        <v>0</v>
      </c>
      <c r="J72" s="38">
        <f>IF(VLOOKUP(J$2&amp;Balance_Sheet[[#This Row],[Aop]],Data[],1)=J$2&amp;Balance_Sheet[[#This Row],[Aop]],VLOOKUP(J$2&amp;Balance_Sheet[[#This Row],[Aop]],Data[],J$1)/Jedinica,"")</f>
        <v>0</v>
      </c>
      <c r="K72" s="38">
        <f>IF(VLOOKUP(K$2&amp;Balance_Sheet[[#This Row],[Aop]],Data[],1)=K$2&amp;Balance_Sheet[[#This Row],[Aop]],VLOOKUP(K$2&amp;Balance_Sheet[[#This Row],[Aop]],Data[],K$1)/Jedinica,"")</f>
        <v>3751266</v>
      </c>
      <c r="L72" s="38">
        <f>IF(VLOOKUP(L$2&amp;Balance_Sheet[[#This Row],[Aop]],Data[],1)=L$2&amp;Balance_Sheet[[#This Row],[Aop]],VLOOKUP(L$2&amp;Balance_Sheet[[#This Row],[Aop]],Data[],L$1)/Jedinica,"")</f>
        <v>4791304</v>
      </c>
      <c r="M72" s="38">
        <f>IF(VLOOKUP(M$2&amp;Balance_Sheet[[#This Row],[Aop]],Data[],1)=M$2&amp;Balance_Sheet[[#This Row],[Aop]],VLOOKUP(M$2&amp;Balance_Sheet[[#This Row],[Aop]],Data[],M$1)/Jedinica,"")</f>
        <v>0</v>
      </c>
      <c r="N72" s="38">
        <f>IF(VLOOKUP(N$2&amp;Balance_Sheet[[#This Row],[Aop]],Data[],1)=N$2&amp;Balance_Sheet[[#This Row],[Aop]],VLOOKUP(N$2&amp;Balance_Sheet[[#This Row],[Aop]],Data[],N$1)/Jedinica,"")</f>
        <v>0</v>
      </c>
      <c r="O72" s="38">
        <f>IF(VLOOKUP(O$2&amp;Balance_Sheet[[#This Row],[Aop]],Data[],1)=O$2&amp;Balance_Sheet[[#This Row],[Aop]],VLOOKUP(O$2&amp;Balance_Sheet[[#This Row],[Aop]],Data[],O$1)/Jedinica,"")</f>
        <v>727026</v>
      </c>
      <c r="P72" s="38">
        <f>IF(VLOOKUP(P$2&amp;Balance_Sheet[[#This Row],[Aop]],Data[],1)=P$2&amp;Balance_Sheet[[#This Row],[Aop]],VLOOKUP(P$2&amp;Balance_Sheet[[#This Row],[Aop]],Data[],P$1)/Jedinica,"")</f>
        <v>654201</v>
      </c>
      <c r="Q72" s="38">
        <f>IF(VLOOKUP(Q$2&amp;Balance_Sheet[[#This Row],[Aop]],Data[],1)=Q$2&amp;Balance_Sheet[[#This Row],[Aop]],VLOOKUP(Q$2&amp;Balance_Sheet[[#This Row],[Aop]],Data[],Q$1)/Jedinica,"")</f>
        <v>0</v>
      </c>
      <c r="R72" s="38">
        <f>IF(VLOOKUP(R$2&amp;Balance_Sheet[[#This Row],[Aop]],Data[],1)=R$2&amp;Balance_Sheet[[#This Row],[Aop]],VLOOKUP(R$2&amp;Balance_Sheet[[#This Row],[Aop]],Data[],R$1)/Jedinica,"")</f>
        <v>0</v>
      </c>
      <c r="S72" s="38">
        <f>IF(VLOOKUP(S$2&amp;Balance_Sheet[[#This Row],[Aop]],Data[],1)=S$2&amp;Balance_Sheet[[#This Row],[Aop]],VLOOKUP(S$2&amp;Balance_Sheet[[#This Row],[Aop]],Data[],S$1)/Jedinica,"")</f>
        <v>411957</v>
      </c>
      <c r="T72" s="38">
        <f>IF(VLOOKUP(T$2&amp;Balance_Sheet[[#This Row],[Aop]],Data[],1)=T$2&amp;Balance_Sheet[[#This Row],[Aop]],VLOOKUP(T$2&amp;Balance_Sheet[[#This Row],[Aop]],Data[],T$1)/Jedinica,"")</f>
        <v>388684</v>
      </c>
      <c r="U72" s="38">
        <f>IF(VLOOKUP(U$2&amp;Balance_Sheet[[#This Row],[Aop]],Data[],1)=U$2&amp;Balance_Sheet[[#This Row],[Aop]],VLOOKUP(U$2&amp;Balance_Sheet[[#This Row],[Aop]],Data[],U$1)/Jedinica,"")</f>
        <v>0</v>
      </c>
      <c r="V72" s="38">
        <f>IF(VLOOKUP(V$2&amp;Balance_Sheet[[#This Row],[Aop]],Data[],1)=V$2&amp;Balance_Sheet[[#This Row],[Aop]],VLOOKUP(V$2&amp;Balance_Sheet[[#This Row],[Aop]],Data[],V$1)/Jedinica,"")</f>
        <v>0</v>
      </c>
      <c r="W72" s="38">
        <f>IF(VLOOKUP(W$2&amp;Balance_Sheet[[#This Row],[Aop]],Data[],1)=W$2&amp;Balance_Sheet[[#This Row],[Aop]],VLOOKUP(W$2&amp;Balance_Sheet[[#This Row],[Aop]],Data[],W$1)/Jedinica,"")</f>
        <v>4571063</v>
      </c>
      <c r="X72" s="38">
        <f>IF(VLOOKUP(X$2&amp;Balance_Sheet[[#This Row],[Aop]],Data[],1)=X$2&amp;Balance_Sheet[[#This Row],[Aop]],VLOOKUP(X$2&amp;Balance_Sheet[[#This Row],[Aop]],Data[],X$1)/Jedinica,"")</f>
        <v>4712880</v>
      </c>
      <c r="Y72" s="38">
        <f>IF(VLOOKUP(Y$2&amp;Balance_Sheet[[#This Row],[Aop]],Data[],1)=Y$2&amp;Balance_Sheet[[#This Row],[Aop]],VLOOKUP(Y$2&amp;Balance_Sheet[[#This Row],[Aop]],Data[],Y$1)/Jedinica,"")</f>
        <v>0</v>
      </c>
      <c r="Z72" s="38">
        <f>IF(VLOOKUP(Z$2&amp;Balance_Sheet[[#This Row],[Aop]],Data[],1)=Z$2&amp;Balance_Sheet[[#This Row],[Aop]],VLOOKUP(Z$2&amp;Balance_Sheet[[#This Row],[Aop]],Data[],Z$1)/Jedinica,"")</f>
        <v>0</v>
      </c>
      <c r="AA72" s="38">
        <f>IF(VLOOKUP(AA$2&amp;Balance_Sheet[[#This Row],[Aop]],Data[],1)=AA$2&amp;Balance_Sheet[[#This Row],[Aop]],VLOOKUP(AA$2&amp;Balance_Sheet[[#This Row],[Aop]],Data[],AA$1)/Jedinica,"")</f>
        <v>411957</v>
      </c>
      <c r="AB72" s="38">
        <f>IF(VLOOKUP(AB$2&amp;Balance_Sheet[[#This Row],[Aop]],Data[],1)=AB$2&amp;Balance_Sheet[[#This Row],[Aop]],VLOOKUP(AB$2&amp;Balance_Sheet[[#This Row],[Aop]],Data[],AB$1)/Jedinica,"")</f>
        <v>388684</v>
      </c>
      <c r="AC72" s="38">
        <f>IF(VLOOKUP(AC$2&amp;Balance_Sheet[[#This Row],[Aop]],Data[],1)=AC$2&amp;Balance_Sheet[[#This Row],[Aop]],VLOOKUP(AC$2&amp;Balance_Sheet[[#This Row],[Aop]],Data[],AC$1)/Jedinica,"")</f>
        <v>0</v>
      </c>
      <c r="AD72" s="38">
        <f>IF(VLOOKUP(AD$2&amp;Balance_Sheet[[#This Row],[Aop]],Data[],1)=AD$2&amp;Balance_Sheet[[#This Row],[Aop]],VLOOKUP(AD$2&amp;Balance_Sheet[[#This Row],[Aop]],Data[],AD$1)/Jedinica,"")</f>
        <v>0</v>
      </c>
      <c r="AE72" s="38">
        <f>IF(VLOOKUP(AE$2&amp;Balance_Sheet[[#This Row],[Aop]],Data[],1)=AE$2&amp;Balance_Sheet[[#This Row],[Aop]],VLOOKUP(AE$2&amp;Balance_Sheet[[#This Row],[Aop]],Data[],AE$1)/Jedinica,"")</f>
        <v>4432626</v>
      </c>
      <c r="AF72" s="38">
        <f>IF(VLOOKUP(AF$2&amp;Balance_Sheet[[#This Row],[Aop]],Data[],1)=AF$2&amp;Balance_Sheet[[#This Row],[Aop]],VLOOKUP(AF$2&amp;Balance_Sheet[[#This Row],[Aop]],Data[],AF$1)/Jedinica,"")</f>
        <v>4445732</v>
      </c>
    </row>
    <row r="73" spans="1:32" ht="12.75" customHeight="1" x14ac:dyDescent="0.2">
      <c r="A73" s="74">
        <v>68</v>
      </c>
      <c r="B73" s="75">
        <v>3</v>
      </c>
      <c r="C73" s="38" t="str">
        <f>VLOOKUP(Balance_Sheet[[#This Row],[No]],AOP_Balance,3,0)</f>
        <v>116</v>
      </c>
      <c r="D73" s="52" t="str">
        <f>VLOOKUP(Balance_Sheet[[#This Row],[No]],AOP_Balance,7,0)</f>
        <v xml:space="preserve">      v) Obaveze za poreze i doprinose, osim tekućih i odloženih obaveza za porez na dobit</v>
      </c>
      <c r="E73" s="38">
        <f>IF(VLOOKUP(E$2&amp;Balance_Sheet[[#This Row],[Aop]],Data[],1)=E$2&amp;Balance_Sheet[[#This Row],[Aop]],VLOOKUP(E$2&amp;Balance_Sheet[[#This Row],[Aop]],Data[],E$1)/Jedinica,"")</f>
        <v>0</v>
      </c>
      <c r="F73" s="38">
        <f>IF(VLOOKUP(F$2&amp;Balance_Sheet[[#This Row],[Aop]],Data[],1)=F$2&amp;Balance_Sheet[[#This Row],[Aop]],VLOOKUP(F$2&amp;Balance_Sheet[[#This Row],[Aop]],Data[],F$1)/Jedinica,"")</f>
        <v>0</v>
      </c>
      <c r="G73" s="38">
        <f>IF(VLOOKUP(G$2&amp;Balance_Sheet[[#This Row],[Aop]],Data[],1)=G$2&amp;Balance_Sheet[[#This Row],[Aop]],VLOOKUP(G$2&amp;Balance_Sheet[[#This Row],[Aop]],Data[],G$1)/Jedinica,"")</f>
        <v>179976</v>
      </c>
      <c r="H73" s="38">
        <f>IF(VLOOKUP(H$2&amp;Balance_Sheet[[#This Row],[Aop]],Data[],1)=H$2&amp;Balance_Sheet[[#This Row],[Aop]],VLOOKUP(H$2&amp;Balance_Sheet[[#This Row],[Aop]],Data[],H$1)/Jedinica,"")</f>
        <v>168105</v>
      </c>
      <c r="I73" s="38">
        <f>IF(VLOOKUP(I$2&amp;Balance_Sheet[[#This Row],[Aop]],Data[],1)=I$2&amp;Balance_Sheet[[#This Row],[Aop]],VLOOKUP(I$2&amp;Balance_Sheet[[#This Row],[Aop]],Data[],I$1)/Jedinica,"")</f>
        <v>0</v>
      </c>
      <c r="J73" s="38">
        <f>IF(VLOOKUP(J$2&amp;Balance_Sheet[[#This Row],[Aop]],Data[],1)=J$2&amp;Balance_Sheet[[#This Row],[Aop]],VLOOKUP(J$2&amp;Balance_Sheet[[#This Row],[Aop]],Data[],J$1)/Jedinica,"")</f>
        <v>0</v>
      </c>
      <c r="K73" s="38">
        <f>IF(VLOOKUP(K$2&amp;Balance_Sheet[[#This Row],[Aop]],Data[],1)=K$2&amp;Balance_Sheet[[#This Row],[Aop]],VLOOKUP(K$2&amp;Balance_Sheet[[#This Row],[Aop]],Data[],K$1)/Jedinica,"")</f>
        <v>195645</v>
      </c>
      <c r="L73" s="38">
        <f>IF(VLOOKUP(L$2&amp;Balance_Sheet[[#This Row],[Aop]],Data[],1)=L$2&amp;Balance_Sheet[[#This Row],[Aop]],VLOOKUP(L$2&amp;Balance_Sheet[[#This Row],[Aop]],Data[],L$1)/Jedinica,"")</f>
        <v>23803</v>
      </c>
      <c r="M73" s="38">
        <f>IF(VLOOKUP(M$2&amp;Balance_Sheet[[#This Row],[Aop]],Data[],1)=M$2&amp;Balance_Sheet[[#This Row],[Aop]],VLOOKUP(M$2&amp;Balance_Sheet[[#This Row],[Aop]],Data[],M$1)/Jedinica,"")</f>
        <v>0</v>
      </c>
      <c r="N73" s="38">
        <f>IF(VLOOKUP(N$2&amp;Balance_Sheet[[#This Row],[Aop]],Data[],1)=N$2&amp;Balance_Sheet[[#This Row],[Aop]],VLOOKUP(N$2&amp;Balance_Sheet[[#This Row],[Aop]],Data[],N$1)/Jedinica,"")</f>
        <v>0</v>
      </c>
      <c r="O73" s="38">
        <f>IF(VLOOKUP(O$2&amp;Balance_Sheet[[#This Row],[Aop]],Data[],1)=O$2&amp;Balance_Sheet[[#This Row],[Aop]],VLOOKUP(O$2&amp;Balance_Sheet[[#This Row],[Aop]],Data[],O$1)/Jedinica,"")</f>
        <v>193661</v>
      </c>
      <c r="P73" s="38">
        <f>IF(VLOOKUP(P$2&amp;Balance_Sheet[[#This Row],[Aop]],Data[],1)=P$2&amp;Balance_Sheet[[#This Row],[Aop]],VLOOKUP(P$2&amp;Balance_Sheet[[#This Row],[Aop]],Data[],P$1)/Jedinica,"")</f>
        <v>19499</v>
      </c>
      <c r="Q73" s="38">
        <f>IF(VLOOKUP(Q$2&amp;Balance_Sheet[[#This Row],[Aop]],Data[],1)=Q$2&amp;Balance_Sheet[[#This Row],[Aop]],VLOOKUP(Q$2&amp;Balance_Sheet[[#This Row],[Aop]],Data[],Q$1)/Jedinica,"")</f>
        <v>0</v>
      </c>
      <c r="R73" s="38">
        <f>IF(VLOOKUP(R$2&amp;Balance_Sheet[[#This Row],[Aop]],Data[],1)=R$2&amp;Balance_Sheet[[#This Row],[Aop]],VLOOKUP(R$2&amp;Balance_Sheet[[#This Row],[Aop]],Data[],R$1)/Jedinica,"")</f>
        <v>0</v>
      </c>
      <c r="S73" s="38">
        <f>IF(VLOOKUP(S$2&amp;Balance_Sheet[[#This Row],[Aop]],Data[],1)=S$2&amp;Balance_Sheet[[#This Row],[Aop]],VLOOKUP(S$2&amp;Balance_Sheet[[#This Row],[Aop]],Data[],S$1)/Jedinica,"")</f>
        <v>130164</v>
      </c>
      <c r="T73" s="38">
        <f>IF(VLOOKUP(T$2&amp;Balance_Sheet[[#This Row],[Aop]],Data[],1)=T$2&amp;Balance_Sheet[[#This Row],[Aop]],VLOOKUP(T$2&amp;Balance_Sheet[[#This Row],[Aop]],Data[],T$1)/Jedinica,"")</f>
        <v>24510</v>
      </c>
      <c r="U73" s="38">
        <f>IF(VLOOKUP(U$2&amp;Balance_Sheet[[#This Row],[Aop]],Data[],1)=U$2&amp;Balance_Sheet[[#This Row],[Aop]],VLOOKUP(U$2&amp;Balance_Sheet[[#This Row],[Aop]],Data[],U$1)/Jedinica,"")</f>
        <v>0</v>
      </c>
      <c r="V73" s="38">
        <f>IF(VLOOKUP(V$2&amp;Balance_Sheet[[#This Row],[Aop]],Data[],1)=V$2&amp;Balance_Sheet[[#This Row],[Aop]],VLOOKUP(V$2&amp;Balance_Sheet[[#This Row],[Aop]],Data[],V$1)/Jedinica,"")</f>
        <v>0</v>
      </c>
      <c r="W73" s="38">
        <f>IF(VLOOKUP(W$2&amp;Balance_Sheet[[#This Row],[Aop]],Data[],1)=W$2&amp;Balance_Sheet[[#This Row],[Aop]],VLOOKUP(W$2&amp;Balance_Sheet[[#This Row],[Aop]],Data[],W$1)/Jedinica,"")</f>
        <v>642911</v>
      </c>
      <c r="X73" s="38">
        <f>IF(VLOOKUP(X$2&amp;Balance_Sheet[[#This Row],[Aop]],Data[],1)=X$2&amp;Balance_Sheet[[#This Row],[Aop]],VLOOKUP(X$2&amp;Balance_Sheet[[#This Row],[Aop]],Data[],X$1)/Jedinica,"")</f>
        <v>237903</v>
      </c>
      <c r="Y73" s="38">
        <f>IF(VLOOKUP(Y$2&amp;Balance_Sheet[[#This Row],[Aop]],Data[],1)=Y$2&amp;Balance_Sheet[[#This Row],[Aop]],VLOOKUP(Y$2&amp;Balance_Sheet[[#This Row],[Aop]],Data[],Y$1)/Jedinica,"")</f>
        <v>0</v>
      </c>
      <c r="Z73" s="38">
        <f>IF(VLOOKUP(Z$2&amp;Balance_Sheet[[#This Row],[Aop]],Data[],1)=Z$2&amp;Balance_Sheet[[#This Row],[Aop]],VLOOKUP(Z$2&amp;Balance_Sheet[[#This Row],[Aop]],Data[],Z$1)/Jedinica,"")</f>
        <v>0</v>
      </c>
      <c r="AA73" s="38">
        <f>IF(VLOOKUP(AA$2&amp;Balance_Sheet[[#This Row],[Aop]],Data[],1)=AA$2&amp;Balance_Sheet[[#This Row],[Aop]],VLOOKUP(AA$2&amp;Balance_Sheet[[#This Row],[Aop]],Data[],AA$1)/Jedinica,"")</f>
        <v>130164</v>
      </c>
      <c r="AB73" s="38">
        <f>IF(VLOOKUP(AB$2&amp;Balance_Sheet[[#This Row],[Aop]],Data[],1)=AB$2&amp;Balance_Sheet[[#This Row],[Aop]],VLOOKUP(AB$2&amp;Balance_Sheet[[#This Row],[Aop]],Data[],AB$1)/Jedinica,"")</f>
        <v>24510</v>
      </c>
      <c r="AC73" s="38">
        <f>IF(VLOOKUP(AC$2&amp;Balance_Sheet[[#This Row],[Aop]],Data[],1)=AC$2&amp;Balance_Sheet[[#This Row],[Aop]],VLOOKUP(AC$2&amp;Balance_Sheet[[#This Row],[Aop]],Data[],AC$1)/Jedinica,"")</f>
        <v>0</v>
      </c>
      <c r="AD73" s="38">
        <f>IF(VLOOKUP(AD$2&amp;Balance_Sheet[[#This Row],[Aop]],Data[],1)=AD$2&amp;Balance_Sheet[[#This Row],[Aop]],VLOOKUP(AD$2&amp;Balance_Sheet[[#This Row],[Aop]],Data[],AD$1)/Jedinica,"")</f>
        <v>0</v>
      </c>
      <c r="AE73" s="38">
        <f>IF(VLOOKUP(AE$2&amp;Balance_Sheet[[#This Row],[Aop]],Data[],1)=AE$2&amp;Balance_Sheet[[#This Row],[Aop]],VLOOKUP(AE$2&amp;Balance_Sheet[[#This Row],[Aop]],Data[],AE$1)/Jedinica,"")</f>
        <v>479012</v>
      </c>
      <c r="AF73" s="38">
        <f>IF(VLOOKUP(AF$2&amp;Balance_Sheet[[#This Row],[Aop]],Data[],1)=AF$2&amp;Balance_Sheet[[#This Row],[Aop]],VLOOKUP(AF$2&amp;Balance_Sheet[[#This Row],[Aop]],Data[],AF$1)/Jedinica,"")</f>
        <v>1125</v>
      </c>
    </row>
    <row r="74" spans="1:32" ht="12.75" customHeight="1" x14ac:dyDescent="0.2">
      <c r="A74" s="74">
        <v>69</v>
      </c>
      <c r="B74" s="75">
        <v>3</v>
      </c>
      <c r="C74" s="38" t="str">
        <f>VLOOKUP(Balance_Sheet[[#This Row],[No]],AOP_Balance,3,0)</f>
        <v>117</v>
      </c>
      <c r="D74" s="52" t="str">
        <f>VLOOKUP(Balance_Sheet[[#This Row],[No]],AOP_Balance,7,0)</f>
        <v xml:space="preserve">      g) Obaveze za porez na dobit</v>
      </c>
      <c r="E74" s="38">
        <f>IF(VLOOKUP(E$2&amp;Balance_Sheet[[#This Row],[Aop]],Data[],1)=E$2&amp;Balance_Sheet[[#This Row],[Aop]],VLOOKUP(E$2&amp;Balance_Sheet[[#This Row],[Aop]],Data[],E$1)/Jedinica,"")</f>
        <v>0</v>
      </c>
      <c r="F74" s="38">
        <f>IF(VLOOKUP(F$2&amp;Balance_Sheet[[#This Row],[Aop]],Data[],1)=F$2&amp;Balance_Sheet[[#This Row],[Aop]],VLOOKUP(F$2&amp;Balance_Sheet[[#This Row],[Aop]],Data[],F$1)/Jedinica,"")</f>
        <v>0</v>
      </c>
      <c r="G74" s="38">
        <f>IF(VLOOKUP(G$2&amp;Balance_Sheet[[#This Row],[Aop]],Data[],1)=G$2&amp;Balance_Sheet[[#This Row],[Aop]],VLOOKUP(G$2&amp;Balance_Sheet[[#This Row],[Aop]],Data[],G$1)/Jedinica,"")</f>
        <v>24544</v>
      </c>
      <c r="H74" s="38">
        <f>IF(VLOOKUP(H$2&amp;Balance_Sheet[[#This Row],[Aop]],Data[],1)=H$2&amp;Balance_Sheet[[#This Row],[Aop]],VLOOKUP(H$2&amp;Balance_Sheet[[#This Row],[Aop]],Data[],H$1)/Jedinica,"")</f>
        <v>34587</v>
      </c>
      <c r="I74" s="38" t="str">
        <f>IF(VLOOKUP(I$2&amp;Balance_Sheet[[#This Row],[Aop]],Data[],1)=I$2&amp;Balance_Sheet[[#This Row],[Aop]],VLOOKUP(I$2&amp;Balance_Sheet[[#This Row],[Aop]],Data[],I$1)/Jedinica,"")</f>
        <v/>
      </c>
      <c r="J74" s="38" t="str">
        <f>IF(VLOOKUP(J$2&amp;Balance_Sheet[[#This Row],[Aop]],Data[],1)=J$2&amp;Balance_Sheet[[#This Row],[Aop]],VLOOKUP(J$2&amp;Balance_Sheet[[#This Row],[Aop]],Data[],J$1)/Jedinica,"")</f>
        <v/>
      </c>
      <c r="K74" s="38" t="str">
        <f>IF(VLOOKUP(K$2&amp;Balance_Sheet[[#This Row],[Aop]],Data[],1)=K$2&amp;Balance_Sheet[[#This Row],[Aop]],VLOOKUP(K$2&amp;Balance_Sheet[[#This Row],[Aop]],Data[],K$1)/Jedinica,"")</f>
        <v/>
      </c>
      <c r="L74" s="38" t="str">
        <f>IF(VLOOKUP(L$2&amp;Balance_Sheet[[#This Row],[Aop]],Data[],1)=L$2&amp;Balance_Sheet[[#This Row],[Aop]],VLOOKUP(L$2&amp;Balance_Sheet[[#This Row],[Aop]],Data[],L$1)/Jedinica,"")</f>
        <v/>
      </c>
      <c r="M74" s="38">
        <f>IF(VLOOKUP(M$2&amp;Balance_Sheet[[#This Row],[Aop]],Data[],1)=M$2&amp;Balance_Sheet[[#This Row],[Aop]],VLOOKUP(M$2&amp;Balance_Sheet[[#This Row],[Aop]],Data[],M$1)/Jedinica,"")</f>
        <v>0</v>
      </c>
      <c r="N74" s="38">
        <f>IF(VLOOKUP(N$2&amp;Balance_Sheet[[#This Row],[Aop]],Data[],1)=N$2&amp;Balance_Sheet[[#This Row],[Aop]],VLOOKUP(N$2&amp;Balance_Sheet[[#This Row],[Aop]],Data[],N$1)/Jedinica,"")</f>
        <v>0</v>
      </c>
      <c r="O74" s="38">
        <f>IF(VLOOKUP(O$2&amp;Balance_Sheet[[#This Row],[Aop]],Data[],1)=O$2&amp;Balance_Sheet[[#This Row],[Aop]],VLOOKUP(O$2&amp;Balance_Sheet[[#This Row],[Aop]],Data[],O$1)/Jedinica,"")</f>
        <v>0</v>
      </c>
      <c r="P74" s="38">
        <f>IF(VLOOKUP(P$2&amp;Balance_Sheet[[#This Row],[Aop]],Data[],1)=P$2&amp;Balance_Sheet[[#This Row],[Aop]],VLOOKUP(P$2&amp;Balance_Sheet[[#This Row],[Aop]],Data[],P$1)/Jedinica,"")</f>
        <v>136083</v>
      </c>
      <c r="Q74" s="38">
        <f>IF(VLOOKUP(Q$2&amp;Balance_Sheet[[#This Row],[Aop]],Data[],1)=Q$2&amp;Balance_Sheet[[#This Row],[Aop]],VLOOKUP(Q$2&amp;Balance_Sheet[[#This Row],[Aop]],Data[],Q$1)/Jedinica,"")</f>
        <v>0</v>
      </c>
      <c r="R74" s="38">
        <f>IF(VLOOKUP(R$2&amp;Balance_Sheet[[#This Row],[Aop]],Data[],1)=R$2&amp;Balance_Sheet[[#This Row],[Aop]],VLOOKUP(R$2&amp;Balance_Sheet[[#This Row],[Aop]],Data[],R$1)/Jedinica,"")</f>
        <v>0</v>
      </c>
      <c r="S74" s="38">
        <f>IF(VLOOKUP(S$2&amp;Balance_Sheet[[#This Row],[Aop]],Data[],1)=S$2&amp;Balance_Sheet[[#This Row],[Aop]],VLOOKUP(S$2&amp;Balance_Sheet[[#This Row],[Aop]],Data[],S$1)/Jedinica,"")</f>
        <v>0</v>
      </c>
      <c r="T74" s="38">
        <f>IF(VLOOKUP(T$2&amp;Balance_Sheet[[#This Row],[Aop]],Data[],1)=T$2&amp;Balance_Sheet[[#This Row],[Aop]],VLOOKUP(T$2&amp;Balance_Sheet[[#This Row],[Aop]],Data[],T$1)/Jedinica,"")</f>
        <v>19462</v>
      </c>
      <c r="U74" s="38">
        <f>IF(VLOOKUP(U$2&amp;Balance_Sheet[[#This Row],[Aop]],Data[],1)=U$2&amp;Balance_Sheet[[#This Row],[Aop]],VLOOKUP(U$2&amp;Balance_Sheet[[#This Row],[Aop]],Data[],U$1)/Jedinica,"")</f>
        <v>0</v>
      </c>
      <c r="V74" s="38">
        <f>IF(VLOOKUP(V$2&amp;Balance_Sheet[[#This Row],[Aop]],Data[],1)=V$2&amp;Balance_Sheet[[#This Row],[Aop]],VLOOKUP(V$2&amp;Balance_Sheet[[#This Row],[Aop]],Data[],V$1)/Jedinica,"")</f>
        <v>0</v>
      </c>
      <c r="W74" s="38">
        <f>IF(VLOOKUP(W$2&amp;Balance_Sheet[[#This Row],[Aop]],Data[],1)=W$2&amp;Balance_Sheet[[#This Row],[Aop]],VLOOKUP(W$2&amp;Balance_Sheet[[#This Row],[Aop]],Data[],W$1)/Jedinica,"")</f>
        <v>383992</v>
      </c>
      <c r="X74" s="38">
        <f>IF(VLOOKUP(X$2&amp;Balance_Sheet[[#This Row],[Aop]],Data[],1)=X$2&amp;Balance_Sheet[[#This Row],[Aop]],VLOOKUP(X$2&amp;Balance_Sheet[[#This Row],[Aop]],Data[],X$1)/Jedinica,"")</f>
        <v>353528</v>
      </c>
      <c r="Y74" s="38">
        <f>IF(VLOOKUP(Y$2&amp;Balance_Sheet[[#This Row],[Aop]],Data[],1)=Y$2&amp;Balance_Sheet[[#This Row],[Aop]],VLOOKUP(Y$2&amp;Balance_Sheet[[#This Row],[Aop]],Data[],Y$1)/Jedinica,"")</f>
        <v>0</v>
      </c>
      <c r="Z74" s="38">
        <f>IF(VLOOKUP(Z$2&amp;Balance_Sheet[[#This Row],[Aop]],Data[],1)=Z$2&amp;Balance_Sheet[[#This Row],[Aop]],VLOOKUP(Z$2&amp;Balance_Sheet[[#This Row],[Aop]],Data[],Z$1)/Jedinica,"")</f>
        <v>0</v>
      </c>
      <c r="AA74" s="38">
        <f>IF(VLOOKUP(AA$2&amp;Balance_Sheet[[#This Row],[Aop]],Data[],1)=AA$2&amp;Balance_Sheet[[#This Row],[Aop]],VLOOKUP(AA$2&amp;Balance_Sheet[[#This Row],[Aop]],Data[],AA$1)/Jedinica,"")</f>
        <v>0</v>
      </c>
      <c r="AB74" s="38">
        <f>IF(VLOOKUP(AB$2&amp;Balance_Sheet[[#This Row],[Aop]],Data[],1)=AB$2&amp;Balance_Sheet[[#This Row],[Aop]],VLOOKUP(AB$2&amp;Balance_Sheet[[#This Row],[Aop]],Data[],AB$1)/Jedinica,"")</f>
        <v>19462</v>
      </c>
      <c r="AC74" s="38">
        <f>IF(VLOOKUP(AC$2&amp;Balance_Sheet[[#This Row],[Aop]],Data[],1)=AC$2&amp;Balance_Sheet[[#This Row],[Aop]],VLOOKUP(AC$2&amp;Balance_Sheet[[#This Row],[Aop]],Data[],AC$1)/Jedinica,"")</f>
        <v>0</v>
      </c>
      <c r="AD74" s="38">
        <f>IF(VLOOKUP(AD$2&amp;Balance_Sheet[[#This Row],[Aop]],Data[],1)=AD$2&amp;Balance_Sheet[[#This Row],[Aop]],VLOOKUP(AD$2&amp;Balance_Sheet[[#This Row],[Aop]],Data[],AD$1)/Jedinica,"")</f>
        <v>0</v>
      </c>
      <c r="AE74" s="38">
        <f>IF(VLOOKUP(AE$2&amp;Balance_Sheet[[#This Row],[Aop]],Data[],1)=AE$2&amp;Balance_Sheet[[#This Row],[Aop]],VLOOKUP(AE$2&amp;Balance_Sheet[[#This Row],[Aop]],Data[],AE$1)/Jedinica,"")</f>
        <v>0</v>
      </c>
      <c r="AF74" s="38">
        <f>IF(VLOOKUP(AF$2&amp;Balance_Sheet[[#This Row],[Aop]],Data[],1)=AF$2&amp;Balance_Sheet[[#This Row],[Aop]],VLOOKUP(AF$2&amp;Balance_Sheet[[#This Row],[Aop]],Data[],AF$1)/Jedinica,"")</f>
        <v>27773</v>
      </c>
    </row>
    <row r="75" spans="1:32" ht="12.75" customHeight="1" x14ac:dyDescent="0.2">
      <c r="A75" s="74">
        <v>70</v>
      </c>
      <c r="B75" s="75">
        <v>3</v>
      </c>
      <c r="C75" s="38" t="str">
        <f>VLOOKUP(Balance_Sheet[[#This Row],[No]],AOP_Balance,3,0)</f>
        <v>118</v>
      </c>
      <c r="D75" s="52" t="str">
        <f>VLOOKUP(Balance_Sheet[[#This Row],[No]],AOP_Balance,7,0)</f>
        <v xml:space="preserve">      d) Odložene poreske obaveze</v>
      </c>
      <c r="E75" s="38" t="str">
        <f>IF(VLOOKUP(E$2&amp;Balance_Sheet[[#This Row],[Aop]],Data[],1)=E$2&amp;Balance_Sheet[[#This Row],[Aop]],VLOOKUP(E$2&amp;Balance_Sheet[[#This Row],[Aop]],Data[],E$1)/Jedinica,"")</f>
        <v/>
      </c>
      <c r="F75" s="38" t="str">
        <f>IF(VLOOKUP(F$2&amp;Balance_Sheet[[#This Row],[Aop]],Data[],1)=F$2&amp;Balance_Sheet[[#This Row],[Aop]],VLOOKUP(F$2&amp;Balance_Sheet[[#This Row],[Aop]],Data[],F$1)/Jedinica,"")</f>
        <v/>
      </c>
      <c r="G75" s="38" t="str">
        <f>IF(VLOOKUP(G$2&amp;Balance_Sheet[[#This Row],[Aop]],Data[],1)=G$2&amp;Balance_Sheet[[#This Row],[Aop]],VLOOKUP(G$2&amp;Balance_Sheet[[#This Row],[Aop]],Data[],G$1)/Jedinica,"")</f>
        <v/>
      </c>
      <c r="H75" s="38" t="str">
        <f>IF(VLOOKUP(H$2&amp;Balance_Sheet[[#This Row],[Aop]],Data[],1)=H$2&amp;Balance_Sheet[[#This Row],[Aop]],VLOOKUP(H$2&amp;Balance_Sheet[[#This Row],[Aop]],Data[],H$1)/Jedinica,"")</f>
        <v/>
      </c>
      <c r="I75" s="38" t="str">
        <f>IF(VLOOKUP(I$2&amp;Balance_Sheet[[#This Row],[Aop]],Data[],1)=I$2&amp;Balance_Sheet[[#This Row],[Aop]],VLOOKUP(I$2&amp;Balance_Sheet[[#This Row],[Aop]],Data[],I$1)/Jedinica,"")</f>
        <v/>
      </c>
      <c r="J75" s="38" t="str">
        <f>IF(VLOOKUP(J$2&amp;Balance_Sheet[[#This Row],[Aop]],Data[],1)=J$2&amp;Balance_Sheet[[#This Row],[Aop]],VLOOKUP(J$2&amp;Balance_Sheet[[#This Row],[Aop]],Data[],J$1)/Jedinica,"")</f>
        <v/>
      </c>
      <c r="K75" s="38" t="str">
        <f>IF(VLOOKUP(K$2&amp;Balance_Sheet[[#This Row],[Aop]],Data[],1)=K$2&amp;Balance_Sheet[[#This Row],[Aop]],VLOOKUP(K$2&amp;Balance_Sheet[[#This Row],[Aop]],Data[],K$1)/Jedinica,"")</f>
        <v/>
      </c>
      <c r="L75" s="38" t="str">
        <f>IF(VLOOKUP(L$2&amp;Balance_Sheet[[#This Row],[Aop]],Data[],1)=L$2&amp;Balance_Sheet[[#This Row],[Aop]],VLOOKUP(L$2&amp;Balance_Sheet[[#This Row],[Aop]],Data[],L$1)/Jedinica,"")</f>
        <v/>
      </c>
      <c r="M75" s="38" t="str">
        <f>IF(VLOOKUP(M$2&amp;Balance_Sheet[[#This Row],[Aop]],Data[],1)=M$2&amp;Balance_Sheet[[#This Row],[Aop]],VLOOKUP(M$2&amp;Balance_Sheet[[#This Row],[Aop]],Data[],M$1)/Jedinica,"")</f>
        <v/>
      </c>
      <c r="N75" s="38" t="str">
        <f>IF(VLOOKUP(N$2&amp;Balance_Sheet[[#This Row],[Aop]],Data[],1)=N$2&amp;Balance_Sheet[[#This Row],[Aop]],VLOOKUP(N$2&amp;Balance_Sheet[[#This Row],[Aop]],Data[],N$1)/Jedinica,"")</f>
        <v/>
      </c>
      <c r="O75" s="38" t="str">
        <f>IF(VLOOKUP(O$2&amp;Balance_Sheet[[#This Row],[Aop]],Data[],1)=O$2&amp;Balance_Sheet[[#This Row],[Aop]],VLOOKUP(O$2&amp;Balance_Sheet[[#This Row],[Aop]],Data[],O$1)/Jedinica,"")</f>
        <v/>
      </c>
      <c r="P75" s="38" t="str">
        <f>IF(VLOOKUP(P$2&amp;Balance_Sheet[[#This Row],[Aop]],Data[],1)=P$2&amp;Balance_Sheet[[#This Row],[Aop]],VLOOKUP(P$2&amp;Balance_Sheet[[#This Row],[Aop]],Data[],P$1)/Jedinica,"")</f>
        <v/>
      </c>
      <c r="Q75" s="38" t="str">
        <f>IF(VLOOKUP(Q$2&amp;Balance_Sheet[[#This Row],[Aop]],Data[],1)=Q$2&amp;Balance_Sheet[[#This Row],[Aop]],VLOOKUP(Q$2&amp;Balance_Sheet[[#This Row],[Aop]],Data[],Q$1)/Jedinica,"")</f>
        <v/>
      </c>
      <c r="R75" s="38" t="str">
        <f>IF(VLOOKUP(R$2&amp;Balance_Sheet[[#This Row],[Aop]],Data[],1)=R$2&amp;Balance_Sheet[[#This Row],[Aop]],VLOOKUP(R$2&amp;Balance_Sheet[[#This Row],[Aop]],Data[],R$1)/Jedinica,"")</f>
        <v/>
      </c>
      <c r="S75" s="38" t="str">
        <f>IF(VLOOKUP(S$2&amp;Balance_Sheet[[#This Row],[Aop]],Data[],1)=S$2&amp;Balance_Sheet[[#This Row],[Aop]],VLOOKUP(S$2&amp;Balance_Sheet[[#This Row],[Aop]],Data[],S$1)/Jedinica,"")</f>
        <v/>
      </c>
      <c r="T75" s="38" t="str">
        <f>IF(VLOOKUP(T$2&amp;Balance_Sheet[[#This Row],[Aop]],Data[],1)=T$2&amp;Balance_Sheet[[#This Row],[Aop]],VLOOKUP(T$2&amp;Balance_Sheet[[#This Row],[Aop]],Data[],T$1)/Jedinica,"")</f>
        <v/>
      </c>
      <c r="U75" s="38">
        <f>IF(VLOOKUP(U$2&amp;Balance_Sheet[[#This Row],[Aop]],Data[],1)=U$2&amp;Balance_Sheet[[#This Row],[Aop]],VLOOKUP(U$2&amp;Balance_Sheet[[#This Row],[Aop]],Data[],U$1)/Jedinica,"")</f>
        <v>0</v>
      </c>
      <c r="V75" s="38">
        <f>IF(VLOOKUP(V$2&amp;Balance_Sheet[[#This Row],[Aop]],Data[],1)=V$2&amp;Balance_Sheet[[#This Row],[Aop]],VLOOKUP(V$2&amp;Balance_Sheet[[#This Row],[Aop]],Data[],V$1)/Jedinica,"")</f>
        <v>0</v>
      </c>
      <c r="W75" s="38">
        <f>IF(VLOOKUP(W$2&amp;Balance_Sheet[[#This Row],[Aop]],Data[],1)=W$2&amp;Balance_Sheet[[#This Row],[Aop]],VLOOKUP(W$2&amp;Balance_Sheet[[#This Row],[Aop]],Data[],W$1)/Jedinica,"")</f>
        <v>243873</v>
      </c>
      <c r="X75" s="38">
        <f>IF(VLOOKUP(X$2&amp;Balance_Sheet[[#This Row],[Aop]],Data[],1)=X$2&amp;Balance_Sheet[[#This Row],[Aop]],VLOOKUP(X$2&amp;Balance_Sheet[[#This Row],[Aop]],Data[],X$1)/Jedinica,"")</f>
        <v>243873</v>
      </c>
      <c r="Y75" s="38" t="str">
        <f>IF(VLOOKUP(Y$2&amp;Balance_Sheet[[#This Row],[Aop]],Data[],1)=Y$2&amp;Balance_Sheet[[#This Row],[Aop]],VLOOKUP(Y$2&amp;Balance_Sheet[[#This Row],[Aop]],Data[],Y$1)/Jedinica,"")</f>
        <v/>
      </c>
      <c r="Z75" s="38" t="str">
        <f>IF(VLOOKUP(Z$2&amp;Balance_Sheet[[#This Row],[Aop]],Data[],1)=Z$2&amp;Balance_Sheet[[#This Row],[Aop]],VLOOKUP(Z$2&amp;Balance_Sheet[[#This Row],[Aop]],Data[],Z$1)/Jedinica,"")</f>
        <v/>
      </c>
      <c r="AA75" s="38" t="str">
        <f>IF(VLOOKUP(AA$2&amp;Balance_Sheet[[#This Row],[Aop]],Data[],1)=AA$2&amp;Balance_Sheet[[#This Row],[Aop]],VLOOKUP(AA$2&amp;Balance_Sheet[[#This Row],[Aop]],Data[],AA$1)/Jedinica,"")</f>
        <v/>
      </c>
      <c r="AB75" s="38" t="str">
        <f>IF(VLOOKUP(AB$2&amp;Balance_Sheet[[#This Row],[Aop]],Data[],1)=AB$2&amp;Balance_Sheet[[#This Row],[Aop]],VLOOKUP(AB$2&amp;Balance_Sheet[[#This Row],[Aop]],Data[],AB$1)/Jedinica,"")</f>
        <v/>
      </c>
      <c r="AC75" s="38">
        <f>IF(VLOOKUP(AC$2&amp;Balance_Sheet[[#This Row],[Aop]],Data[],1)=AC$2&amp;Balance_Sheet[[#This Row],[Aop]],VLOOKUP(AC$2&amp;Balance_Sheet[[#This Row],[Aop]],Data[],AC$1)/Jedinica,"")</f>
        <v>0</v>
      </c>
      <c r="AD75" s="38">
        <f>IF(VLOOKUP(AD$2&amp;Balance_Sheet[[#This Row],[Aop]],Data[],1)=AD$2&amp;Balance_Sheet[[#This Row],[Aop]],VLOOKUP(AD$2&amp;Balance_Sheet[[#This Row],[Aop]],Data[],AD$1)/Jedinica,"")</f>
        <v>0</v>
      </c>
      <c r="AE75" s="38">
        <f>IF(VLOOKUP(AE$2&amp;Balance_Sheet[[#This Row],[Aop]],Data[],1)=AE$2&amp;Balance_Sheet[[#This Row],[Aop]],VLOOKUP(AE$2&amp;Balance_Sheet[[#This Row],[Aop]],Data[],AE$1)/Jedinica,"")</f>
        <v>511429</v>
      </c>
      <c r="AF75" s="38">
        <f>IF(VLOOKUP(AF$2&amp;Balance_Sheet[[#This Row],[Aop]],Data[],1)=AF$2&amp;Balance_Sheet[[#This Row],[Aop]],VLOOKUP(AF$2&amp;Balance_Sheet[[#This Row],[Aop]],Data[],AF$1)/Jedinica,"")</f>
        <v>469164</v>
      </c>
    </row>
    <row r="76" spans="1:32" ht="12.75" customHeight="1" x14ac:dyDescent="0.2">
      <c r="A76" s="74">
        <v>71</v>
      </c>
      <c r="B76" s="75">
        <v>3</v>
      </c>
      <c r="C76" s="38" t="str">
        <f>VLOOKUP(Balance_Sheet[[#This Row],[No]],AOP_Balance,3,0)</f>
        <v>119</v>
      </c>
      <c r="D76" s="52" t="str">
        <f>VLOOKUP(Balance_Sheet[[#This Row],[No]],AOP_Balance,7,0)</f>
        <v xml:space="preserve">      đ) Rezervisanja</v>
      </c>
      <c r="E76" s="38">
        <f>IF(VLOOKUP(E$2&amp;Balance_Sheet[[#This Row],[Aop]],Data[],1)=E$2&amp;Balance_Sheet[[#This Row],[Aop]],VLOOKUP(E$2&amp;Balance_Sheet[[#This Row],[Aop]],Data[],E$1)/Jedinica,"")</f>
        <v>0</v>
      </c>
      <c r="F76" s="38">
        <f>IF(VLOOKUP(F$2&amp;Balance_Sheet[[#This Row],[Aop]],Data[],1)=F$2&amp;Balance_Sheet[[#This Row],[Aop]],VLOOKUP(F$2&amp;Balance_Sheet[[#This Row],[Aop]],Data[],F$1)/Jedinica,"")</f>
        <v>0</v>
      </c>
      <c r="G76" s="38">
        <f>IF(VLOOKUP(G$2&amp;Balance_Sheet[[#This Row],[Aop]],Data[],1)=G$2&amp;Balance_Sheet[[#This Row],[Aop]],VLOOKUP(G$2&amp;Balance_Sheet[[#This Row],[Aop]],Data[],G$1)/Jedinica,"")</f>
        <v>803714</v>
      </c>
      <c r="H76" s="38">
        <f>IF(VLOOKUP(H$2&amp;Balance_Sheet[[#This Row],[Aop]],Data[],1)=H$2&amp;Balance_Sheet[[#This Row],[Aop]],VLOOKUP(H$2&amp;Balance_Sheet[[#This Row],[Aop]],Data[],H$1)/Jedinica,"")</f>
        <v>781580</v>
      </c>
      <c r="I76" s="38">
        <f>IF(VLOOKUP(I$2&amp;Balance_Sheet[[#This Row],[Aop]],Data[],1)=I$2&amp;Balance_Sheet[[#This Row],[Aop]],VLOOKUP(I$2&amp;Balance_Sheet[[#This Row],[Aop]],Data[],I$1)/Jedinica,"")</f>
        <v>0</v>
      </c>
      <c r="J76" s="38">
        <f>IF(VLOOKUP(J$2&amp;Balance_Sheet[[#This Row],[Aop]],Data[],1)=J$2&amp;Balance_Sheet[[#This Row],[Aop]],VLOOKUP(J$2&amp;Balance_Sheet[[#This Row],[Aop]],Data[],J$1)/Jedinica,"")</f>
        <v>0</v>
      </c>
      <c r="K76" s="38">
        <f>IF(VLOOKUP(K$2&amp;Balance_Sheet[[#This Row],[Aop]],Data[],1)=K$2&amp;Balance_Sheet[[#This Row],[Aop]],VLOOKUP(K$2&amp;Balance_Sheet[[#This Row],[Aop]],Data[],K$1)/Jedinica,"")</f>
        <v>98796</v>
      </c>
      <c r="L76" s="38">
        <f>IF(VLOOKUP(L$2&amp;Balance_Sheet[[#This Row],[Aop]],Data[],1)=L$2&amp;Balance_Sheet[[#This Row],[Aop]],VLOOKUP(L$2&amp;Balance_Sheet[[#This Row],[Aop]],Data[],L$1)/Jedinica,"")</f>
        <v>378745</v>
      </c>
      <c r="M76" s="38">
        <f>IF(VLOOKUP(M$2&amp;Balance_Sheet[[#This Row],[Aop]],Data[],1)=M$2&amp;Balance_Sheet[[#This Row],[Aop]],VLOOKUP(M$2&amp;Balance_Sheet[[#This Row],[Aop]],Data[],M$1)/Jedinica,"")</f>
        <v>0</v>
      </c>
      <c r="N76" s="38">
        <f>IF(VLOOKUP(N$2&amp;Balance_Sheet[[#This Row],[Aop]],Data[],1)=N$2&amp;Balance_Sheet[[#This Row],[Aop]],VLOOKUP(N$2&amp;Balance_Sheet[[#This Row],[Aop]],Data[],N$1)/Jedinica,"")</f>
        <v>0</v>
      </c>
      <c r="O76" s="38">
        <f>IF(VLOOKUP(O$2&amp;Balance_Sheet[[#This Row],[Aop]],Data[],1)=O$2&amp;Balance_Sheet[[#This Row],[Aop]],VLOOKUP(O$2&amp;Balance_Sheet[[#This Row],[Aop]],Data[],O$1)/Jedinica,"")</f>
        <v>421022</v>
      </c>
      <c r="P76" s="38">
        <f>IF(VLOOKUP(P$2&amp;Balance_Sheet[[#This Row],[Aop]],Data[],1)=P$2&amp;Balance_Sheet[[#This Row],[Aop]],VLOOKUP(P$2&amp;Balance_Sheet[[#This Row],[Aop]],Data[],P$1)/Jedinica,"")</f>
        <v>501553</v>
      </c>
      <c r="Q76" s="38">
        <f>IF(VLOOKUP(Q$2&amp;Balance_Sheet[[#This Row],[Aop]],Data[],1)=Q$2&amp;Balance_Sheet[[#This Row],[Aop]],VLOOKUP(Q$2&amp;Balance_Sheet[[#This Row],[Aop]],Data[],Q$1)/Jedinica,"")</f>
        <v>0</v>
      </c>
      <c r="R76" s="38">
        <f>IF(VLOOKUP(R$2&amp;Balance_Sheet[[#This Row],[Aop]],Data[],1)=R$2&amp;Balance_Sheet[[#This Row],[Aop]],VLOOKUP(R$2&amp;Balance_Sheet[[#This Row],[Aop]],Data[],R$1)/Jedinica,"")</f>
        <v>0</v>
      </c>
      <c r="S76" s="38">
        <f>IF(VLOOKUP(S$2&amp;Balance_Sheet[[#This Row],[Aop]],Data[],1)=S$2&amp;Balance_Sheet[[#This Row],[Aop]],VLOOKUP(S$2&amp;Balance_Sheet[[#This Row],[Aop]],Data[],S$1)/Jedinica,"")</f>
        <v>99314</v>
      </c>
      <c r="T76" s="38">
        <f>IF(VLOOKUP(T$2&amp;Balance_Sheet[[#This Row],[Aop]],Data[],1)=T$2&amp;Balance_Sheet[[#This Row],[Aop]],VLOOKUP(T$2&amp;Balance_Sheet[[#This Row],[Aop]],Data[],T$1)/Jedinica,"")</f>
        <v>88998</v>
      </c>
      <c r="U76" s="38">
        <f>IF(VLOOKUP(U$2&amp;Balance_Sheet[[#This Row],[Aop]],Data[],1)=U$2&amp;Balance_Sheet[[#This Row],[Aop]],VLOOKUP(U$2&amp;Balance_Sheet[[#This Row],[Aop]],Data[],U$1)/Jedinica,"")</f>
        <v>0</v>
      </c>
      <c r="V76" s="38">
        <f>IF(VLOOKUP(V$2&amp;Balance_Sheet[[#This Row],[Aop]],Data[],1)=V$2&amp;Balance_Sheet[[#This Row],[Aop]],VLOOKUP(V$2&amp;Balance_Sheet[[#This Row],[Aop]],Data[],V$1)/Jedinica,"")</f>
        <v>0</v>
      </c>
      <c r="W76" s="38">
        <f>IF(VLOOKUP(W$2&amp;Balance_Sheet[[#This Row],[Aop]],Data[],1)=W$2&amp;Balance_Sheet[[#This Row],[Aop]],VLOOKUP(W$2&amp;Balance_Sheet[[#This Row],[Aop]],Data[],W$1)/Jedinica,"")</f>
        <v>3614914</v>
      </c>
      <c r="X76" s="38">
        <f>IF(VLOOKUP(X$2&amp;Balance_Sheet[[#This Row],[Aop]],Data[],1)=X$2&amp;Balance_Sheet[[#This Row],[Aop]],VLOOKUP(X$2&amp;Balance_Sheet[[#This Row],[Aop]],Data[],X$1)/Jedinica,"")</f>
        <v>2763279</v>
      </c>
      <c r="Y76" s="38">
        <f>IF(VLOOKUP(Y$2&amp;Balance_Sheet[[#This Row],[Aop]],Data[],1)=Y$2&amp;Balance_Sheet[[#This Row],[Aop]],VLOOKUP(Y$2&amp;Balance_Sheet[[#This Row],[Aop]],Data[],Y$1)/Jedinica,"")</f>
        <v>0</v>
      </c>
      <c r="Z76" s="38">
        <f>IF(VLOOKUP(Z$2&amp;Balance_Sheet[[#This Row],[Aop]],Data[],1)=Z$2&amp;Balance_Sheet[[#This Row],[Aop]],VLOOKUP(Z$2&amp;Balance_Sheet[[#This Row],[Aop]],Data[],Z$1)/Jedinica,"")</f>
        <v>0</v>
      </c>
      <c r="AA76" s="38">
        <f>IF(VLOOKUP(AA$2&amp;Balance_Sheet[[#This Row],[Aop]],Data[],1)=AA$2&amp;Balance_Sheet[[#This Row],[Aop]],VLOOKUP(AA$2&amp;Balance_Sheet[[#This Row],[Aop]],Data[],AA$1)/Jedinica,"")</f>
        <v>99314</v>
      </c>
      <c r="AB76" s="38">
        <f>IF(VLOOKUP(AB$2&amp;Balance_Sheet[[#This Row],[Aop]],Data[],1)=AB$2&amp;Balance_Sheet[[#This Row],[Aop]],VLOOKUP(AB$2&amp;Balance_Sheet[[#This Row],[Aop]],Data[],AB$1)/Jedinica,"")</f>
        <v>88998</v>
      </c>
      <c r="AC76" s="38">
        <f>IF(VLOOKUP(AC$2&amp;Balance_Sheet[[#This Row],[Aop]],Data[],1)=AC$2&amp;Balance_Sheet[[#This Row],[Aop]],VLOOKUP(AC$2&amp;Balance_Sheet[[#This Row],[Aop]],Data[],AC$1)/Jedinica,"")</f>
        <v>0</v>
      </c>
      <c r="AD76" s="38">
        <f>IF(VLOOKUP(AD$2&amp;Balance_Sheet[[#This Row],[Aop]],Data[],1)=AD$2&amp;Balance_Sheet[[#This Row],[Aop]],VLOOKUP(AD$2&amp;Balance_Sheet[[#This Row],[Aop]],Data[],AD$1)/Jedinica,"")</f>
        <v>0</v>
      </c>
      <c r="AE76" s="38">
        <f>IF(VLOOKUP(AE$2&amp;Balance_Sheet[[#This Row],[Aop]],Data[],1)=AE$2&amp;Balance_Sheet[[#This Row],[Aop]],VLOOKUP(AE$2&amp;Balance_Sheet[[#This Row],[Aop]],Data[],AE$1)/Jedinica,"")</f>
        <v>6510922</v>
      </c>
      <c r="AF76" s="38">
        <f>IF(VLOOKUP(AF$2&amp;Balance_Sheet[[#This Row],[Aop]],Data[],1)=AF$2&amp;Balance_Sheet[[#This Row],[Aop]],VLOOKUP(AF$2&amp;Balance_Sheet[[#This Row],[Aop]],Data[],AF$1)/Jedinica,"")</f>
        <v>6883611</v>
      </c>
    </row>
    <row r="77" spans="1:32" ht="12.75" customHeight="1" x14ac:dyDescent="0.2">
      <c r="A77" s="74">
        <v>72</v>
      </c>
      <c r="B77" s="75">
        <v>3</v>
      </c>
      <c r="C77" s="38" t="str">
        <f>VLOOKUP(Balance_Sheet[[#This Row],[No]],AOP_Balance,3,0)</f>
        <v>120</v>
      </c>
      <c r="D77" s="52" t="str">
        <f>VLOOKUP(Balance_Sheet[[#This Row],[No]],AOP_Balance,7,0)</f>
        <v xml:space="preserve">      e) PVR u domaćoj valuti</v>
      </c>
      <c r="E77" s="38">
        <f>IF(VLOOKUP(E$2&amp;Balance_Sheet[[#This Row],[Aop]],Data[],1)=E$2&amp;Balance_Sheet[[#This Row],[Aop]],VLOOKUP(E$2&amp;Balance_Sheet[[#This Row],[Aop]],Data[],E$1)/Jedinica,"")</f>
        <v>0</v>
      </c>
      <c r="F77" s="38">
        <f>IF(VLOOKUP(F$2&amp;Balance_Sheet[[#This Row],[Aop]],Data[],1)=F$2&amp;Balance_Sheet[[#This Row],[Aop]],VLOOKUP(F$2&amp;Balance_Sheet[[#This Row],[Aop]],Data[],F$1)/Jedinica,"")</f>
        <v>0</v>
      </c>
      <c r="G77" s="38">
        <f>IF(VLOOKUP(G$2&amp;Balance_Sheet[[#This Row],[Aop]],Data[],1)=G$2&amp;Balance_Sheet[[#This Row],[Aop]],VLOOKUP(G$2&amp;Balance_Sheet[[#This Row],[Aop]],Data[],G$1)/Jedinica,"")</f>
        <v>1556331</v>
      </c>
      <c r="H77" s="38">
        <f>IF(VLOOKUP(H$2&amp;Balance_Sheet[[#This Row],[Aop]],Data[],1)=H$2&amp;Balance_Sheet[[#This Row],[Aop]],VLOOKUP(H$2&amp;Balance_Sheet[[#This Row],[Aop]],Data[],H$1)/Jedinica,"")</f>
        <v>1342084</v>
      </c>
      <c r="I77" s="38">
        <f>IF(VLOOKUP(I$2&amp;Balance_Sheet[[#This Row],[Aop]],Data[],1)=I$2&amp;Balance_Sheet[[#This Row],[Aop]],VLOOKUP(I$2&amp;Balance_Sheet[[#This Row],[Aop]],Data[],I$1)/Jedinica,"")</f>
        <v>0</v>
      </c>
      <c r="J77" s="38">
        <f>IF(VLOOKUP(J$2&amp;Balance_Sheet[[#This Row],[Aop]],Data[],1)=J$2&amp;Balance_Sheet[[#This Row],[Aop]],VLOOKUP(J$2&amp;Balance_Sheet[[#This Row],[Aop]],Data[],J$1)/Jedinica,"")</f>
        <v>0</v>
      </c>
      <c r="K77" s="38">
        <f>IF(VLOOKUP(K$2&amp;Balance_Sheet[[#This Row],[Aop]],Data[],1)=K$2&amp;Balance_Sheet[[#This Row],[Aop]],VLOOKUP(K$2&amp;Balance_Sheet[[#This Row],[Aop]],Data[],K$1)/Jedinica,"")</f>
        <v>1865760</v>
      </c>
      <c r="L77" s="38">
        <f>IF(VLOOKUP(L$2&amp;Balance_Sheet[[#This Row],[Aop]],Data[],1)=L$2&amp;Balance_Sheet[[#This Row],[Aop]],VLOOKUP(L$2&amp;Balance_Sheet[[#This Row],[Aop]],Data[],L$1)/Jedinica,"")</f>
        <v>2332294</v>
      </c>
      <c r="M77" s="38">
        <f>IF(VLOOKUP(M$2&amp;Balance_Sheet[[#This Row],[Aop]],Data[],1)=M$2&amp;Balance_Sheet[[#This Row],[Aop]],VLOOKUP(M$2&amp;Balance_Sheet[[#This Row],[Aop]],Data[],M$1)/Jedinica,"")</f>
        <v>0</v>
      </c>
      <c r="N77" s="38">
        <f>IF(VLOOKUP(N$2&amp;Balance_Sheet[[#This Row],[Aop]],Data[],1)=N$2&amp;Balance_Sheet[[#This Row],[Aop]],VLOOKUP(N$2&amp;Balance_Sheet[[#This Row],[Aop]],Data[],N$1)/Jedinica,"")</f>
        <v>0</v>
      </c>
      <c r="O77" s="38">
        <f>IF(VLOOKUP(O$2&amp;Balance_Sheet[[#This Row],[Aop]],Data[],1)=O$2&amp;Balance_Sheet[[#This Row],[Aop]],VLOOKUP(O$2&amp;Balance_Sheet[[#This Row],[Aop]],Data[],O$1)/Jedinica,"")</f>
        <v>1462688</v>
      </c>
      <c r="P77" s="38">
        <f>IF(VLOOKUP(P$2&amp;Balance_Sheet[[#This Row],[Aop]],Data[],1)=P$2&amp;Balance_Sheet[[#This Row],[Aop]],VLOOKUP(P$2&amp;Balance_Sheet[[#This Row],[Aop]],Data[],P$1)/Jedinica,"")</f>
        <v>1384560</v>
      </c>
      <c r="Q77" s="38">
        <f>IF(VLOOKUP(Q$2&amp;Balance_Sheet[[#This Row],[Aop]],Data[],1)=Q$2&amp;Balance_Sheet[[#This Row],[Aop]],VLOOKUP(Q$2&amp;Balance_Sheet[[#This Row],[Aop]],Data[],Q$1)/Jedinica,"")</f>
        <v>0</v>
      </c>
      <c r="R77" s="38">
        <f>IF(VLOOKUP(R$2&amp;Balance_Sheet[[#This Row],[Aop]],Data[],1)=R$2&amp;Balance_Sheet[[#This Row],[Aop]],VLOOKUP(R$2&amp;Balance_Sheet[[#This Row],[Aop]],Data[],R$1)/Jedinica,"")</f>
        <v>0</v>
      </c>
      <c r="S77" s="38">
        <f>IF(VLOOKUP(S$2&amp;Balance_Sheet[[#This Row],[Aop]],Data[],1)=S$2&amp;Balance_Sheet[[#This Row],[Aop]],VLOOKUP(S$2&amp;Balance_Sheet[[#This Row],[Aop]],Data[],S$1)/Jedinica,"")</f>
        <v>1050156</v>
      </c>
      <c r="T77" s="38">
        <f>IF(VLOOKUP(T$2&amp;Balance_Sheet[[#This Row],[Aop]],Data[],1)=T$2&amp;Balance_Sheet[[#This Row],[Aop]],VLOOKUP(T$2&amp;Balance_Sheet[[#This Row],[Aop]],Data[],T$1)/Jedinica,"")</f>
        <v>859945</v>
      </c>
      <c r="U77" s="38">
        <f>IF(VLOOKUP(U$2&amp;Balance_Sheet[[#This Row],[Aop]],Data[],1)=U$2&amp;Balance_Sheet[[#This Row],[Aop]],VLOOKUP(U$2&amp;Balance_Sheet[[#This Row],[Aop]],Data[],U$1)/Jedinica,"")</f>
        <v>0</v>
      </c>
      <c r="V77" s="38">
        <f>IF(VLOOKUP(V$2&amp;Balance_Sheet[[#This Row],[Aop]],Data[],1)=V$2&amp;Balance_Sheet[[#This Row],[Aop]],VLOOKUP(V$2&amp;Balance_Sheet[[#This Row],[Aop]],Data[],V$1)/Jedinica,"")</f>
        <v>0</v>
      </c>
      <c r="W77" s="38">
        <f>IF(VLOOKUP(W$2&amp;Balance_Sheet[[#This Row],[Aop]],Data[],1)=W$2&amp;Balance_Sheet[[#This Row],[Aop]],VLOOKUP(W$2&amp;Balance_Sheet[[#This Row],[Aop]],Data[],W$1)/Jedinica,"")</f>
        <v>1058765</v>
      </c>
      <c r="X77" s="38">
        <f>IF(VLOOKUP(X$2&amp;Balance_Sheet[[#This Row],[Aop]],Data[],1)=X$2&amp;Balance_Sheet[[#This Row],[Aop]],VLOOKUP(X$2&amp;Balance_Sheet[[#This Row],[Aop]],Data[],X$1)/Jedinica,"")</f>
        <v>632646</v>
      </c>
      <c r="Y77" s="38">
        <f>IF(VLOOKUP(Y$2&amp;Balance_Sheet[[#This Row],[Aop]],Data[],1)=Y$2&amp;Balance_Sheet[[#This Row],[Aop]],VLOOKUP(Y$2&amp;Balance_Sheet[[#This Row],[Aop]],Data[],Y$1)/Jedinica,"")</f>
        <v>0</v>
      </c>
      <c r="Z77" s="38">
        <f>IF(VLOOKUP(Z$2&amp;Balance_Sheet[[#This Row],[Aop]],Data[],1)=Z$2&amp;Balance_Sheet[[#This Row],[Aop]],VLOOKUP(Z$2&amp;Balance_Sheet[[#This Row],[Aop]],Data[],Z$1)/Jedinica,"")</f>
        <v>0</v>
      </c>
      <c r="AA77" s="38">
        <f>IF(VLOOKUP(AA$2&amp;Balance_Sheet[[#This Row],[Aop]],Data[],1)=AA$2&amp;Balance_Sheet[[#This Row],[Aop]],VLOOKUP(AA$2&amp;Balance_Sheet[[#This Row],[Aop]],Data[],AA$1)/Jedinica,"")</f>
        <v>1050156</v>
      </c>
      <c r="AB77" s="38">
        <f>IF(VLOOKUP(AB$2&amp;Balance_Sheet[[#This Row],[Aop]],Data[],1)=AB$2&amp;Balance_Sheet[[#This Row],[Aop]],VLOOKUP(AB$2&amp;Balance_Sheet[[#This Row],[Aop]],Data[],AB$1)/Jedinica,"")</f>
        <v>859945</v>
      </c>
      <c r="AC77" s="38">
        <f>IF(VLOOKUP(AC$2&amp;Balance_Sheet[[#This Row],[Aop]],Data[],1)=AC$2&amp;Balance_Sheet[[#This Row],[Aop]],VLOOKUP(AC$2&amp;Balance_Sheet[[#This Row],[Aop]],Data[],AC$1)/Jedinica,"")</f>
        <v>0</v>
      </c>
      <c r="AD77" s="38">
        <f>IF(VLOOKUP(AD$2&amp;Balance_Sheet[[#This Row],[Aop]],Data[],1)=AD$2&amp;Balance_Sheet[[#This Row],[Aop]],VLOOKUP(AD$2&amp;Balance_Sheet[[#This Row],[Aop]],Data[],AD$1)/Jedinica,"")</f>
        <v>0</v>
      </c>
      <c r="AE77" s="38">
        <f>IF(VLOOKUP(AE$2&amp;Balance_Sheet[[#This Row],[Aop]],Data[],1)=AE$2&amp;Balance_Sheet[[#This Row],[Aop]],VLOOKUP(AE$2&amp;Balance_Sheet[[#This Row],[Aop]],Data[],AE$1)/Jedinica,"")</f>
        <v>7126000</v>
      </c>
      <c r="AF77" s="38">
        <f>IF(VLOOKUP(AF$2&amp;Balance_Sheet[[#This Row],[Aop]],Data[],1)=AF$2&amp;Balance_Sheet[[#This Row],[Aop]],VLOOKUP(AF$2&amp;Balance_Sheet[[#This Row],[Aop]],Data[],AF$1)/Jedinica,"")</f>
        <v>7108063</v>
      </c>
    </row>
    <row r="78" spans="1:32" ht="25.5" customHeight="1" x14ac:dyDescent="0.2">
      <c r="A78" s="74">
        <v>73</v>
      </c>
      <c r="B78" s="75">
        <v>3</v>
      </c>
      <c r="C78" s="38" t="str">
        <f>VLOOKUP(Balance_Sheet[[#This Row],[No]],AOP_Balance,3,0)</f>
        <v>121</v>
      </c>
      <c r="D78" s="52" t="str">
        <f>VLOOKUP(Balance_Sheet[[#This Row],[No]],AOP_Balance,7,0)</f>
        <v xml:space="preserve">      ž) Obaveze po osnovu komisionih poslova, sredstava namijenjenih prodaji, sredstava poslovanja koje se obustavlja, subordiniranih obaveza i tekuća dospijeća obaveza</v>
      </c>
      <c r="E78" s="38">
        <f>IF(VLOOKUP(E$2&amp;Balance_Sheet[[#This Row],[Aop]],Data[],1)=E$2&amp;Balance_Sheet[[#This Row],[Aop]],VLOOKUP(E$2&amp;Balance_Sheet[[#This Row],[Aop]],Data[],E$1)/Jedinica,"")</f>
        <v>0</v>
      </c>
      <c r="F78" s="38">
        <f>IF(VLOOKUP(F$2&amp;Balance_Sheet[[#This Row],[Aop]],Data[],1)=F$2&amp;Balance_Sheet[[#This Row],[Aop]],VLOOKUP(F$2&amp;Balance_Sheet[[#This Row],[Aop]],Data[],F$1)/Jedinica,"")</f>
        <v>0</v>
      </c>
      <c r="G78" s="38">
        <f>IF(VLOOKUP(G$2&amp;Balance_Sheet[[#This Row],[Aop]],Data[],1)=G$2&amp;Balance_Sheet[[#This Row],[Aop]],VLOOKUP(G$2&amp;Balance_Sheet[[#This Row],[Aop]],Data[],G$1)/Jedinica,"")</f>
        <v>31784063</v>
      </c>
      <c r="H78" s="38">
        <f>IF(VLOOKUP(H$2&amp;Balance_Sheet[[#This Row],[Aop]],Data[],1)=H$2&amp;Balance_Sheet[[#This Row],[Aop]],VLOOKUP(H$2&amp;Balance_Sheet[[#This Row],[Aop]],Data[],H$1)/Jedinica,"")</f>
        <v>23955761</v>
      </c>
      <c r="I78" s="38">
        <f>IF(VLOOKUP(I$2&amp;Balance_Sheet[[#This Row],[Aop]],Data[],1)=I$2&amp;Balance_Sheet[[#This Row],[Aop]],VLOOKUP(I$2&amp;Balance_Sheet[[#This Row],[Aop]],Data[],I$1)/Jedinica,"")</f>
        <v>0</v>
      </c>
      <c r="J78" s="38">
        <f>IF(VLOOKUP(J$2&amp;Balance_Sheet[[#This Row],[Aop]],Data[],1)=J$2&amp;Balance_Sheet[[#This Row],[Aop]],VLOOKUP(J$2&amp;Balance_Sheet[[#This Row],[Aop]],Data[],J$1)/Jedinica,"")</f>
        <v>0</v>
      </c>
      <c r="K78" s="38">
        <f>IF(VLOOKUP(K$2&amp;Balance_Sheet[[#This Row],[Aop]],Data[],1)=K$2&amp;Balance_Sheet[[#This Row],[Aop]],VLOOKUP(K$2&amp;Balance_Sheet[[#This Row],[Aop]],Data[],K$1)/Jedinica,"")</f>
        <v>5000000</v>
      </c>
      <c r="L78" s="38">
        <f>IF(VLOOKUP(L$2&amp;Balance_Sheet[[#This Row],[Aop]],Data[],1)=L$2&amp;Balance_Sheet[[#This Row],[Aop]],VLOOKUP(L$2&amp;Balance_Sheet[[#This Row],[Aop]],Data[],L$1)/Jedinica,"")</f>
        <v>5000000</v>
      </c>
      <c r="M78" s="38" t="str">
        <f>IF(VLOOKUP(M$2&amp;Balance_Sheet[[#This Row],[Aop]],Data[],1)=M$2&amp;Balance_Sheet[[#This Row],[Aop]],VLOOKUP(M$2&amp;Balance_Sheet[[#This Row],[Aop]],Data[],M$1)/Jedinica,"")</f>
        <v/>
      </c>
      <c r="N78" s="38" t="str">
        <f>IF(VLOOKUP(N$2&amp;Balance_Sheet[[#This Row],[Aop]],Data[],1)=N$2&amp;Balance_Sheet[[#This Row],[Aop]],VLOOKUP(N$2&amp;Balance_Sheet[[#This Row],[Aop]],Data[],N$1)/Jedinica,"")</f>
        <v/>
      </c>
      <c r="O78" s="38" t="str">
        <f>IF(VLOOKUP(O$2&amp;Balance_Sheet[[#This Row],[Aop]],Data[],1)=O$2&amp;Balance_Sheet[[#This Row],[Aop]],VLOOKUP(O$2&amp;Balance_Sheet[[#This Row],[Aop]],Data[],O$1)/Jedinica,"")</f>
        <v/>
      </c>
      <c r="P78" s="38" t="str">
        <f>IF(VLOOKUP(P$2&amp;Balance_Sheet[[#This Row],[Aop]],Data[],1)=P$2&amp;Balance_Sheet[[#This Row],[Aop]],VLOOKUP(P$2&amp;Balance_Sheet[[#This Row],[Aop]],Data[],P$1)/Jedinica,"")</f>
        <v/>
      </c>
      <c r="Q78" s="38" t="str">
        <f>IF(VLOOKUP(Q$2&amp;Balance_Sheet[[#This Row],[Aop]],Data[],1)=Q$2&amp;Balance_Sheet[[#This Row],[Aop]],VLOOKUP(Q$2&amp;Balance_Sheet[[#This Row],[Aop]],Data[],Q$1)/Jedinica,"")</f>
        <v/>
      </c>
      <c r="R78" s="38" t="str">
        <f>IF(VLOOKUP(R$2&amp;Balance_Sheet[[#This Row],[Aop]],Data[],1)=R$2&amp;Balance_Sheet[[#This Row],[Aop]],VLOOKUP(R$2&amp;Balance_Sheet[[#This Row],[Aop]],Data[],R$1)/Jedinica,"")</f>
        <v/>
      </c>
      <c r="S78" s="38" t="str">
        <f>IF(VLOOKUP(S$2&amp;Balance_Sheet[[#This Row],[Aop]],Data[],1)=S$2&amp;Balance_Sheet[[#This Row],[Aop]],VLOOKUP(S$2&amp;Balance_Sheet[[#This Row],[Aop]],Data[],S$1)/Jedinica,"")</f>
        <v/>
      </c>
      <c r="T78" s="38" t="str">
        <f>IF(VLOOKUP(T$2&amp;Balance_Sheet[[#This Row],[Aop]],Data[],1)=T$2&amp;Balance_Sheet[[#This Row],[Aop]],VLOOKUP(T$2&amp;Balance_Sheet[[#This Row],[Aop]],Data[],T$1)/Jedinica,"")</f>
        <v/>
      </c>
      <c r="U78" s="38" t="str">
        <f>IF(VLOOKUP(U$2&amp;Balance_Sheet[[#This Row],[Aop]],Data[],1)=U$2&amp;Balance_Sheet[[#This Row],[Aop]],VLOOKUP(U$2&amp;Balance_Sheet[[#This Row],[Aop]],Data[],U$1)/Jedinica,"")</f>
        <v/>
      </c>
      <c r="V78" s="38" t="str">
        <f>IF(VLOOKUP(V$2&amp;Balance_Sheet[[#This Row],[Aop]],Data[],1)=V$2&amp;Balance_Sheet[[#This Row],[Aop]],VLOOKUP(V$2&amp;Balance_Sheet[[#This Row],[Aop]],Data[],V$1)/Jedinica,"")</f>
        <v/>
      </c>
      <c r="W78" s="38" t="str">
        <f>IF(VLOOKUP(W$2&amp;Balance_Sheet[[#This Row],[Aop]],Data[],1)=W$2&amp;Balance_Sheet[[#This Row],[Aop]],VLOOKUP(W$2&amp;Balance_Sheet[[#This Row],[Aop]],Data[],W$1)/Jedinica,"")</f>
        <v/>
      </c>
      <c r="X78" s="38" t="str">
        <f>IF(VLOOKUP(X$2&amp;Balance_Sheet[[#This Row],[Aop]],Data[],1)=X$2&amp;Balance_Sheet[[#This Row],[Aop]],VLOOKUP(X$2&amp;Balance_Sheet[[#This Row],[Aop]],Data[],X$1)/Jedinica,"")</f>
        <v/>
      </c>
      <c r="Y78" s="38" t="str">
        <f>IF(VLOOKUP(Y$2&amp;Balance_Sheet[[#This Row],[Aop]],Data[],1)=Y$2&amp;Balance_Sheet[[#This Row],[Aop]],VLOOKUP(Y$2&amp;Balance_Sheet[[#This Row],[Aop]],Data[],Y$1)/Jedinica,"")</f>
        <v/>
      </c>
      <c r="Z78" s="38" t="str">
        <f>IF(VLOOKUP(Z$2&amp;Balance_Sheet[[#This Row],[Aop]],Data[],1)=Z$2&amp;Balance_Sheet[[#This Row],[Aop]],VLOOKUP(Z$2&amp;Balance_Sheet[[#This Row],[Aop]],Data[],Z$1)/Jedinica,"")</f>
        <v/>
      </c>
      <c r="AA78" s="38" t="str">
        <f>IF(VLOOKUP(AA$2&amp;Balance_Sheet[[#This Row],[Aop]],Data[],1)=AA$2&amp;Balance_Sheet[[#This Row],[Aop]],VLOOKUP(AA$2&amp;Balance_Sheet[[#This Row],[Aop]],Data[],AA$1)/Jedinica,"")</f>
        <v/>
      </c>
      <c r="AB78" s="38" t="str">
        <f>IF(VLOOKUP(AB$2&amp;Balance_Sheet[[#This Row],[Aop]],Data[],1)=AB$2&amp;Balance_Sheet[[#This Row],[Aop]],VLOOKUP(AB$2&amp;Balance_Sheet[[#This Row],[Aop]],Data[],AB$1)/Jedinica,"")</f>
        <v/>
      </c>
      <c r="AC78" s="38">
        <f>IF(VLOOKUP(AC$2&amp;Balance_Sheet[[#This Row],[Aop]],Data[],1)=AC$2&amp;Balance_Sheet[[#This Row],[Aop]],VLOOKUP(AC$2&amp;Balance_Sheet[[#This Row],[Aop]],Data[],AC$1)/Jedinica,"")</f>
        <v>0</v>
      </c>
      <c r="AD78" s="38">
        <f>IF(VLOOKUP(AD$2&amp;Balance_Sheet[[#This Row],[Aop]],Data[],1)=AD$2&amp;Balance_Sheet[[#This Row],[Aop]],VLOOKUP(AD$2&amp;Balance_Sheet[[#This Row],[Aop]],Data[],AD$1)/Jedinica,"")</f>
        <v>0</v>
      </c>
      <c r="AE78" s="38">
        <f>IF(VLOOKUP(AE$2&amp;Balance_Sheet[[#This Row],[Aop]],Data[],1)=AE$2&amp;Balance_Sheet[[#This Row],[Aop]],VLOOKUP(AE$2&amp;Balance_Sheet[[#This Row],[Aop]],Data[],AE$1)/Jedinica,"")</f>
        <v>17811182</v>
      </c>
      <c r="AF78" s="38">
        <f>IF(VLOOKUP(AF$2&amp;Balance_Sheet[[#This Row],[Aop]],Data[],1)=AF$2&amp;Balance_Sheet[[#This Row],[Aop]],VLOOKUP(AF$2&amp;Balance_Sheet[[#This Row],[Aop]],Data[],AF$1)/Jedinica,"")</f>
        <v>18230273</v>
      </c>
    </row>
    <row r="79" spans="1:32" ht="12.75" customHeight="1" x14ac:dyDescent="0.2">
      <c r="A79" s="74">
        <v>74</v>
      </c>
      <c r="B79" s="75">
        <v>3</v>
      </c>
      <c r="C79" s="38" t="str">
        <f>VLOOKUP(Balance_Sheet[[#This Row],[No]],AOP_Balance,3,0)</f>
        <v>122</v>
      </c>
      <c r="D79" s="52" t="str">
        <f>VLOOKUP(Balance_Sheet[[#This Row],[No]],AOP_Balance,7,0)</f>
        <v xml:space="preserve">      z) Ostale obaveze u stranoj valuti</v>
      </c>
      <c r="E79" s="38">
        <f>IF(VLOOKUP(E$2&amp;Balance_Sheet[[#This Row],[Aop]],Data[],1)=E$2&amp;Balance_Sheet[[#This Row],[Aop]],VLOOKUP(E$2&amp;Balance_Sheet[[#This Row],[Aop]],Data[],E$1)/Jedinica,"")</f>
        <v>0</v>
      </c>
      <c r="F79" s="38">
        <f>IF(VLOOKUP(F$2&amp;Balance_Sheet[[#This Row],[Aop]],Data[],1)=F$2&amp;Balance_Sheet[[#This Row],[Aop]],VLOOKUP(F$2&amp;Balance_Sheet[[#This Row],[Aop]],Data[],F$1)/Jedinica,"")</f>
        <v>0</v>
      </c>
      <c r="G79" s="38">
        <f>IF(VLOOKUP(G$2&amp;Balance_Sheet[[#This Row],[Aop]],Data[],1)=G$2&amp;Balance_Sheet[[#This Row],[Aop]],VLOOKUP(G$2&amp;Balance_Sheet[[#This Row],[Aop]],Data[],G$1)/Jedinica,"")</f>
        <v>19429</v>
      </c>
      <c r="H79" s="38">
        <f>IF(VLOOKUP(H$2&amp;Balance_Sheet[[#This Row],[Aop]],Data[],1)=H$2&amp;Balance_Sheet[[#This Row],[Aop]],VLOOKUP(H$2&amp;Balance_Sheet[[#This Row],[Aop]],Data[],H$1)/Jedinica,"")</f>
        <v>18109</v>
      </c>
      <c r="I79" s="38">
        <f>IF(VLOOKUP(I$2&amp;Balance_Sheet[[#This Row],[Aop]],Data[],1)=I$2&amp;Balance_Sheet[[#This Row],[Aop]],VLOOKUP(I$2&amp;Balance_Sheet[[#This Row],[Aop]],Data[],I$1)/Jedinica,"")</f>
        <v>0</v>
      </c>
      <c r="J79" s="38">
        <f>IF(VLOOKUP(J$2&amp;Balance_Sheet[[#This Row],[Aop]],Data[],1)=J$2&amp;Balance_Sheet[[#This Row],[Aop]],VLOOKUP(J$2&amp;Balance_Sheet[[#This Row],[Aop]],Data[],J$1)/Jedinica,"")</f>
        <v>0</v>
      </c>
      <c r="K79" s="38">
        <f>IF(VLOOKUP(K$2&amp;Balance_Sheet[[#This Row],[Aop]],Data[],1)=K$2&amp;Balance_Sheet[[#This Row],[Aop]],VLOOKUP(K$2&amp;Balance_Sheet[[#This Row],[Aop]],Data[],K$1)/Jedinica,"")</f>
        <v>1322601</v>
      </c>
      <c r="L79" s="38">
        <f>IF(VLOOKUP(L$2&amp;Balance_Sheet[[#This Row],[Aop]],Data[],1)=L$2&amp;Balance_Sheet[[#This Row],[Aop]],VLOOKUP(L$2&amp;Balance_Sheet[[#This Row],[Aop]],Data[],L$1)/Jedinica,"")</f>
        <v>1337321</v>
      </c>
      <c r="M79" s="38">
        <f>IF(VLOOKUP(M$2&amp;Balance_Sheet[[#This Row],[Aop]],Data[],1)=M$2&amp;Balance_Sheet[[#This Row],[Aop]],VLOOKUP(M$2&amp;Balance_Sheet[[#This Row],[Aop]],Data[],M$1)/Jedinica,"")</f>
        <v>0</v>
      </c>
      <c r="N79" s="38">
        <f>IF(VLOOKUP(N$2&amp;Balance_Sheet[[#This Row],[Aop]],Data[],1)=N$2&amp;Balance_Sheet[[#This Row],[Aop]],VLOOKUP(N$2&amp;Balance_Sheet[[#This Row],[Aop]],Data[],N$1)/Jedinica,"")</f>
        <v>0</v>
      </c>
      <c r="O79" s="38">
        <f>IF(VLOOKUP(O$2&amp;Balance_Sheet[[#This Row],[Aop]],Data[],1)=O$2&amp;Balance_Sheet[[#This Row],[Aop]],VLOOKUP(O$2&amp;Balance_Sheet[[#This Row],[Aop]],Data[],O$1)/Jedinica,"")</f>
        <v>1137295</v>
      </c>
      <c r="P79" s="38">
        <f>IF(VLOOKUP(P$2&amp;Balance_Sheet[[#This Row],[Aop]],Data[],1)=P$2&amp;Balance_Sheet[[#This Row],[Aop]],VLOOKUP(P$2&amp;Balance_Sheet[[#This Row],[Aop]],Data[],P$1)/Jedinica,"")</f>
        <v>13842</v>
      </c>
      <c r="Q79" s="38">
        <f>IF(VLOOKUP(Q$2&amp;Balance_Sheet[[#This Row],[Aop]],Data[],1)=Q$2&amp;Balance_Sheet[[#This Row],[Aop]],VLOOKUP(Q$2&amp;Balance_Sheet[[#This Row],[Aop]],Data[],Q$1)/Jedinica,"")</f>
        <v>0</v>
      </c>
      <c r="R79" s="38">
        <f>IF(VLOOKUP(R$2&amp;Balance_Sheet[[#This Row],[Aop]],Data[],1)=R$2&amp;Balance_Sheet[[#This Row],[Aop]],VLOOKUP(R$2&amp;Balance_Sheet[[#This Row],[Aop]],Data[],R$1)/Jedinica,"")</f>
        <v>0</v>
      </c>
      <c r="S79" s="38">
        <f>IF(VLOOKUP(S$2&amp;Balance_Sheet[[#This Row],[Aop]],Data[],1)=S$2&amp;Balance_Sheet[[#This Row],[Aop]],VLOOKUP(S$2&amp;Balance_Sheet[[#This Row],[Aop]],Data[],S$1)/Jedinica,"")</f>
        <v>17299</v>
      </c>
      <c r="T79" s="38">
        <f>IF(VLOOKUP(T$2&amp;Balance_Sheet[[#This Row],[Aop]],Data[],1)=T$2&amp;Balance_Sheet[[#This Row],[Aop]],VLOOKUP(T$2&amp;Balance_Sheet[[#This Row],[Aop]],Data[],T$1)/Jedinica,"")</f>
        <v>14007</v>
      </c>
      <c r="U79" s="38">
        <f>IF(VLOOKUP(U$2&amp;Balance_Sheet[[#This Row],[Aop]],Data[],1)=U$2&amp;Balance_Sheet[[#This Row],[Aop]],VLOOKUP(U$2&amp;Balance_Sheet[[#This Row],[Aop]],Data[],U$1)/Jedinica,"")</f>
        <v>0</v>
      </c>
      <c r="V79" s="38">
        <f>IF(VLOOKUP(V$2&amp;Balance_Sheet[[#This Row],[Aop]],Data[],1)=V$2&amp;Balance_Sheet[[#This Row],[Aop]],VLOOKUP(V$2&amp;Balance_Sheet[[#This Row],[Aop]],Data[],V$1)/Jedinica,"")</f>
        <v>0</v>
      </c>
      <c r="W79" s="38">
        <f>IF(VLOOKUP(W$2&amp;Balance_Sheet[[#This Row],[Aop]],Data[],1)=W$2&amp;Balance_Sheet[[#This Row],[Aop]],VLOOKUP(W$2&amp;Balance_Sheet[[#This Row],[Aop]],Data[],W$1)/Jedinica,"")</f>
        <v>3836371</v>
      </c>
      <c r="X79" s="38">
        <f>IF(VLOOKUP(X$2&amp;Balance_Sheet[[#This Row],[Aop]],Data[],1)=X$2&amp;Balance_Sheet[[#This Row],[Aop]],VLOOKUP(X$2&amp;Balance_Sheet[[#This Row],[Aop]],Data[],X$1)/Jedinica,"")</f>
        <v>83658</v>
      </c>
      <c r="Y79" s="38">
        <f>IF(VLOOKUP(Y$2&amp;Balance_Sheet[[#This Row],[Aop]],Data[],1)=Y$2&amp;Balance_Sheet[[#This Row],[Aop]],VLOOKUP(Y$2&amp;Balance_Sheet[[#This Row],[Aop]],Data[],Y$1)/Jedinica,"")</f>
        <v>0</v>
      </c>
      <c r="Z79" s="38">
        <f>IF(VLOOKUP(Z$2&amp;Balance_Sheet[[#This Row],[Aop]],Data[],1)=Z$2&amp;Balance_Sheet[[#This Row],[Aop]],VLOOKUP(Z$2&amp;Balance_Sheet[[#This Row],[Aop]],Data[],Z$1)/Jedinica,"")</f>
        <v>0</v>
      </c>
      <c r="AA79" s="38">
        <f>IF(VLOOKUP(AA$2&amp;Balance_Sheet[[#This Row],[Aop]],Data[],1)=AA$2&amp;Balance_Sheet[[#This Row],[Aop]],VLOOKUP(AA$2&amp;Balance_Sheet[[#This Row],[Aop]],Data[],AA$1)/Jedinica,"")</f>
        <v>17299</v>
      </c>
      <c r="AB79" s="38">
        <f>IF(VLOOKUP(AB$2&amp;Balance_Sheet[[#This Row],[Aop]],Data[],1)=AB$2&amp;Balance_Sheet[[#This Row],[Aop]],VLOOKUP(AB$2&amp;Balance_Sheet[[#This Row],[Aop]],Data[],AB$1)/Jedinica,"")</f>
        <v>14007</v>
      </c>
      <c r="AC79" s="38">
        <f>IF(VLOOKUP(AC$2&amp;Balance_Sheet[[#This Row],[Aop]],Data[],1)=AC$2&amp;Balance_Sheet[[#This Row],[Aop]],VLOOKUP(AC$2&amp;Balance_Sheet[[#This Row],[Aop]],Data[],AC$1)/Jedinica,"")</f>
        <v>0</v>
      </c>
      <c r="AD79" s="38">
        <f>IF(VLOOKUP(AD$2&amp;Balance_Sheet[[#This Row],[Aop]],Data[],1)=AD$2&amp;Balance_Sheet[[#This Row],[Aop]],VLOOKUP(AD$2&amp;Balance_Sheet[[#This Row],[Aop]],Data[],AD$1)/Jedinica,"")</f>
        <v>0</v>
      </c>
      <c r="AE79" s="38">
        <f>IF(VLOOKUP(AE$2&amp;Balance_Sheet[[#This Row],[Aop]],Data[],1)=AE$2&amp;Balance_Sheet[[#This Row],[Aop]],VLOOKUP(AE$2&amp;Balance_Sheet[[#This Row],[Aop]],Data[],AE$1)/Jedinica,"")</f>
        <v>1062673</v>
      </c>
      <c r="AF79" s="38">
        <f>IF(VLOOKUP(AF$2&amp;Balance_Sheet[[#This Row],[Aop]],Data[],1)=AF$2&amp;Balance_Sheet[[#This Row],[Aop]],VLOOKUP(AF$2&amp;Balance_Sheet[[#This Row],[Aop]],Data[],AF$1)/Jedinica,"")</f>
        <v>914485</v>
      </c>
    </row>
    <row r="80" spans="1:32" ht="12.75" customHeight="1" x14ac:dyDescent="0.2">
      <c r="A80" s="74">
        <v>75</v>
      </c>
      <c r="B80" s="75">
        <v>3</v>
      </c>
      <c r="C80" s="38" t="str">
        <f>VLOOKUP(Balance_Sheet[[#This Row],[No]],AOP_Balance,3,0)</f>
        <v>123</v>
      </c>
      <c r="D80" s="52" t="str">
        <f>VLOOKUP(Balance_Sheet[[#This Row],[No]],AOP_Balance,7,0)</f>
        <v xml:space="preserve">      i) PVR u stranoj valuti</v>
      </c>
      <c r="E80" s="38">
        <f>IF(VLOOKUP(E$2&amp;Balance_Sheet[[#This Row],[Aop]],Data[],1)=E$2&amp;Balance_Sheet[[#This Row],[Aop]],VLOOKUP(E$2&amp;Balance_Sheet[[#This Row],[Aop]],Data[],E$1)/Jedinica,"")</f>
        <v>0</v>
      </c>
      <c r="F80" s="38">
        <f>IF(VLOOKUP(F$2&amp;Balance_Sheet[[#This Row],[Aop]],Data[],1)=F$2&amp;Balance_Sheet[[#This Row],[Aop]],VLOOKUP(F$2&amp;Balance_Sheet[[#This Row],[Aop]],Data[],F$1)/Jedinica,"")</f>
        <v>0</v>
      </c>
      <c r="G80" s="38">
        <f>IF(VLOOKUP(G$2&amp;Balance_Sheet[[#This Row],[Aop]],Data[],1)=G$2&amp;Balance_Sheet[[#This Row],[Aop]],VLOOKUP(G$2&amp;Balance_Sheet[[#This Row],[Aop]],Data[],G$1)/Jedinica,"")</f>
        <v>1265843</v>
      </c>
      <c r="H80" s="38">
        <f>IF(VLOOKUP(H$2&amp;Balance_Sheet[[#This Row],[Aop]],Data[],1)=H$2&amp;Balance_Sheet[[#This Row],[Aop]],VLOOKUP(H$2&amp;Balance_Sheet[[#This Row],[Aop]],Data[],H$1)/Jedinica,"")</f>
        <v>1070222</v>
      </c>
      <c r="I80" s="38">
        <f>IF(VLOOKUP(I$2&amp;Balance_Sheet[[#This Row],[Aop]],Data[],1)=I$2&amp;Balance_Sheet[[#This Row],[Aop]],VLOOKUP(I$2&amp;Balance_Sheet[[#This Row],[Aop]],Data[],I$1)/Jedinica,"")</f>
        <v>0</v>
      </c>
      <c r="J80" s="38">
        <f>IF(VLOOKUP(J$2&amp;Balance_Sheet[[#This Row],[Aop]],Data[],1)=J$2&amp;Balance_Sheet[[#This Row],[Aop]],VLOOKUP(J$2&amp;Balance_Sheet[[#This Row],[Aop]],Data[],J$1)/Jedinica,"")</f>
        <v>0</v>
      </c>
      <c r="K80" s="38">
        <f>IF(VLOOKUP(K$2&amp;Balance_Sheet[[#This Row],[Aop]],Data[],1)=K$2&amp;Balance_Sheet[[#This Row],[Aop]],VLOOKUP(K$2&amp;Balance_Sheet[[#This Row],[Aop]],Data[],K$1)/Jedinica,"")</f>
        <v>1128036</v>
      </c>
      <c r="L80" s="38">
        <f>IF(VLOOKUP(L$2&amp;Balance_Sheet[[#This Row],[Aop]],Data[],1)=L$2&amp;Balance_Sheet[[#This Row],[Aop]],VLOOKUP(L$2&amp;Balance_Sheet[[#This Row],[Aop]],Data[],L$1)/Jedinica,"")</f>
        <v>991985</v>
      </c>
      <c r="M80" s="38">
        <f>IF(VLOOKUP(M$2&amp;Balance_Sheet[[#This Row],[Aop]],Data[],1)=M$2&amp;Balance_Sheet[[#This Row],[Aop]],VLOOKUP(M$2&amp;Balance_Sheet[[#This Row],[Aop]],Data[],M$1)/Jedinica,"")</f>
        <v>0</v>
      </c>
      <c r="N80" s="38">
        <f>IF(VLOOKUP(N$2&amp;Balance_Sheet[[#This Row],[Aop]],Data[],1)=N$2&amp;Balance_Sheet[[#This Row],[Aop]],VLOOKUP(N$2&amp;Balance_Sheet[[#This Row],[Aop]],Data[],N$1)/Jedinica,"")</f>
        <v>0</v>
      </c>
      <c r="O80" s="38">
        <f>IF(VLOOKUP(O$2&amp;Balance_Sheet[[#This Row],[Aop]],Data[],1)=O$2&amp;Balance_Sheet[[#This Row],[Aop]],VLOOKUP(O$2&amp;Balance_Sheet[[#This Row],[Aop]],Data[],O$1)/Jedinica,"")</f>
        <v>424973</v>
      </c>
      <c r="P80" s="38">
        <f>IF(VLOOKUP(P$2&amp;Balance_Sheet[[#This Row],[Aop]],Data[],1)=P$2&amp;Balance_Sheet[[#This Row],[Aop]],VLOOKUP(P$2&amp;Balance_Sheet[[#This Row],[Aop]],Data[],P$1)/Jedinica,"")</f>
        <v>493048</v>
      </c>
      <c r="Q80" s="38">
        <f>IF(VLOOKUP(Q$2&amp;Balance_Sheet[[#This Row],[Aop]],Data[],1)=Q$2&amp;Balance_Sheet[[#This Row],[Aop]],VLOOKUP(Q$2&amp;Balance_Sheet[[#This Row],[Aop]],Data[],Q$1)/Jedinica,"")</f>
        <v>0</v>
      </c>
      <c r="R80" s="38">
        <f>IF(VLOOKUP(R$2&amp;Balance_Sheet[[#This Row],[Aop]],Data[],1)=R$2&amp;Balance_Sheet[[#This Row],[Aop]],VLOOKUP(R$2&amp;Balance_Sheet[[#This Row],[Aop]],Data[],R$1)/Jedinica,"")</f>
        <v>0</v>
      </c>
      <c r="S80" s="38">
        <f>IF(VLOOKUP(S$2&amp;Balance_Sheet[[#This Row],[Aop]],Data[],1)=S$2&amp;Balance_Sheet[[#This Row],[Aop]],VLOOKUP(S$2&amp;Balance_Sheet[[#This Row],[Aop]],Data[],S$1)/Jedinica,"")</f>
        <v>289368</v>
      </c>
      <c r="T80" s="38">
        <f>IF(VLOOKUP(T$2&amp;Balance_Sheet[[#This Row],[Aop]],Data[],1)=T$2&amp;Balance_Sheet[[#This Row],[Aop]],VLOOKUP(T$2&amp;Balance_Sheet[[#This Row],[Aop]],Data[],T$1)/Jedinica,"")</f>
        <v>156168</v>
      </c>
      <c r="U80" s="38">
        <f>IF(VLOOKUP(U$2&amp;Balance_Sheet[[#This Row],[Aop]],Data[],1)=U$2&amp;Balance_Sheet[[#This Row],[Aop]],VLOOKUP(U$2&amp;Balance_Sheet[[#This Row],[Aop]],Data[],U$1)/Jedinica,"")</f>
        <v>0</v>
      </c>
      <c r="V80" s="38">
        <f>IF(VLOOKUP(V$2&amp;Balance_Sheet[[#This Row],[Aop]],Data[],1)=V$2&amp;Balance_Sheet[[#This Row],[Aop]],VLOOKUP(V$2&amp;Balance_Sheet[[#This Row],[Aop]],Data[],V$1)/Jedinica,"")</f>
        <v>0</v>
      </c>
      <c r="W80" s="38">
        <f>IF(VLOOKUP(W$2&amp;Balance_Sheet[[#This Row],[Aop]],Data[],1)=W$2&amp;Balance_Sheet[[#This Row],[Aop]],VLOOKUP(W$2&amp;Balance_Sheet[[#This Row],[Aop]],Data[],W$1)/Jedinica,"")</f>
        <v>3158546</v>
      </c>
      <c r="X80" s="38">
        <f>IF(VLOOKUP(X$2&amp;Balance_Sheet[[#This Row],[Aop]],Data[],1)=X$2&amp;Balance_Sheet[[#This Row],[Aop]],VLOOKUP(X$2&amp;Balance_Sheet[[#This Row],[Aop]],Data[],X$1)/Jedinica,"")</f>
        <v>2301125</v>
      </c>
      <c r="Y80" s="38">
        <f>IF(VLOOKUP(Y$2&amp;Balance_Sheet[[#This Row],[Aop]],Data[],1)=Y$2&amp;Balance_Sheet[[#This Row],[Aop]],VLOOKUP(Y$2&amp;Balance_Sheet[[#This Row],[Aop]],Data[],Y$1)/Jedinica,"")</f>
        <v>0</v>
      </c>
      <c r="Z80" s="38">
        <f>IF(VLOOKUP(Z$2&amp;Balance_Sheet[[#This Row],[Aop]],Data[],1)=Z$2&amp;Balance_Sheet[[#This Row],[Aop]],VLOOKUP(Z$2&amp;Balance_Sheet[[#This Row],[Aop]],Data[],Z$1)/Jedinica,"")</f>
        <v>0</v>
      </c>
      <c r="AA80" s="38">
        <f>IF(VLOOKUP(AA$2&amp;Balance_Sheet[[#This Row],[Aop]],Data[],1)=AA$2&amp;Balance_Sheet[[#This Row],[Aop]],VLOOKUP(AA$2&amp;Balance_Sheet[[#This Row],[Aop]],Data[],AA$1)/Jedinica,"")</f>
        <v>289368</v>
      </c>
      <c r="AB80" s="38">
        <f>IF(VLOOKUP(AB$2&amp;Balance_Sheet[[#This Row],[Aop]],Data[],1)=AB$2&amp;Balance_Sheet[[#This Row],[Aop]],VLOOKUP(AB$2&amp;Balance_Sheet[[#This Row],[Aop]],Data[],AB$1)/Jedinica,"")</f>
        <v>156168</v>
      </c>
      <c r="AC80" s="38">
        <f>IF(VLOOKUP(AC$2&amp;Balance_Sheet[[#This Row],[Aop]],Data[],1)=AC$2&amp;Balance_Sheet[[#This Row],[Aop]],VLOOKUP(AC$2&amp;Balance_Sheet[[#This Row],[Aop]],Data[],AC$1)/Jedinica,"")</f>
        <v>0</v>
      </c>
      <c r="AD80" s="38">
        <f>IF(VLOOKUP(AD$2&amp;Balance_Sheet[[#This Row],[Aop]],Data[],1)=AD$2&amp;Balance_Sheet[[#This Row],[Aop]],VLOOKUP(AD$2&amp;Balance_Sheet[[#This Row],[Aop]],Data[],AD$1)/Jedinica,"")</f>
        <v>0</v>
      </c>
      <c r="AE80" s="38">
        <f>IF(VLOOKUP(AE$2&amp;Balance_Sheet[[#This Row],[Aop]],Data[],1)=AE$2&amp;Balance_Sheet[[#This Row],[Aop]],VLOOKUP(AE$2&amp;Balance_Sheet[[#This Row],[Aop]],Data[],AE$1)/Jedinica,"")</f>
        <v>7721159</v>
      </c>
      <c r="AF80" s="38">
        <f>IF(VLOOKUP(AF$2&amp;Balance_Sheet[[#This Row],[Aop]],Data[],1)=AF$2&amp;Balance_Sheet[[#This Row],[Aop]],VLOOKUP(AF$2&amp;Balance_Sheet[[#This Row],[Aop]],Data[],AF$1)/Jedinica,"")</f>
        <v>8402816</v>
      </c>
    </row>
    <row r="81" spans="1:32" ht="25.5" customHeight="1" x14ac:dyDescent="0.2">
      <c r="A81" s="74">
        <v>76</v>
      </c>
      <c r="B81" s="75">
        <v>3</v>
      </c>
      <c r="C81" s="38" t="str">
        <f>VLOOKUP(Balance_Sheet[[#This Row],[No]],AOP_Balance,3,0)</f>
        <v>124</v>
      </c>
      <c r="D81" s="52" t="str">
        <f>VLOOKUP(Balance_Sheet[[#This Row],[No]],AOP_Balance,7,0)</f>
        <v xml:space="preserve">      j) Obaveze po osnovu komisionih poslova, dospjelih i subordiniranih obaveza i tekuća dospijeća u stranoj valuti</v>
      </c>
      <c r="E81" s="38">
        <f>IF(VLOOKUP(E$2&amp;Balance_Sheet[[#This Row],[Aop]],Data[],1)=E$2&amp;Balance_Sheet[[#This Row],[Aop]],VLOOKUP(E$2&amp;Balance_Sheet[[#This Row],[Aop]],Data[],E$1)/Jedinica,"")</f>
        <v>0</v>
      </c>
      <c r="F81" s="38">
        <f>IF(VLOOKUP(F$2&amp;Balance_Sheet[[#This Row],[Aop]],Data[],1)=F$2&amp;Balance_Sheet[[#This Row],[Aop]],VLOOKUP(F$2&amp;Balance_Sheet[[#This Row],[Aop]],Data[],F$1)/Jedinica,"")</f>
        <v>0</v>
      </c>
      <c r="G81" s="38">
        <f>IF(VLOOKUP(G$2&amp;Balance_Sheet[[#This Row],[Aop]],Data[],1)=G$2&amp;Balance_Sheet[[#This Row],[Aop]],VLOOKUP(G$2&amp;Balance_Sheet[[#This Row],[Aop]],Data[],G$1)/Jedinica,"")</f>
        <v>1331877</v>
      </c>
      <c r="H81" s="38">
        <f>IF(VLOOKUP(H$2&amp;Balance_Sheet[[#This Row],[Aop]],Data[],1)=H$2&amp;Balance_Sheet[[#This Row],[Aop]],VLOOKUP(H$2&amp;Balance_Sheet[[#This Row],[Aop]],Data[],H$1)/Jedinica,"")</f>
        <v>3442045</v>
      </c>
      <c r="I81" s="38" t="str">
        <f>IF(VLOOKUP(I$2&amp;Balance_Sheet[[#This Row],[Aop]],Data[],1)=I$2&amp;Balance_Sheet[[#This Row],[Aop]],VLOOKUP(I$2&amp;Balance_Sheet[[#This Row],[Aop]],Data[],I$1)/Jedinica,"")</f>
        <v/>
      </c>
      <c r="J81" s="38" t="str">
        <f>IF(VLOOKUP(J$2&amp;Balance_Sheet[[#This Row],[Aop]],Data[],1)=J$2&amp;Balance_Sheet[[#This Row],[Aop]],VLOOKUP(J$2&amp;Balance_Sheet[[#This Row],[Aop]],Data[],J$1)/Jedinica,"")</f>
        <v/>
      </c>
      <c r="K81" s="38" t="str">
        <f>IF(VLOOKUP(K$2&amp;Balance_Sheet[[#This Row],[Aop]],Data[],1)=K$2&amp;Balance_Sheet[[#This Row],[Aop]],VLOOKUP(K$2&amp;Balance_Sheet[[#This Row],[Aop]],Data[],K$1)/Jedinica,"")</f>
        <v/>
      </c>
      <c r="L81" s="38" t="str">
        <f>IF(VLOOKUP(L$2&amp;Balance_Sheet[[#This Row],[Aop]],Data[],1)=L$2&amp;Balance_Sheet[[#This Row],[Aop]],VLOOKUP(L$2&amp;Balance_Sheet[[#This Row],[Aop]],Data[],L$1)/Jedinica,"")</f>
        <v/>
      </c>
      <c r="M81" s="38" t="str">
        <f>IF(VLOOKUP(M$2&amp;Balance_Sheet[[#This Row],[Aop]],Data[],1)=M$2&amp;Balance_Sheet[[#This Row],[Aop]],VLOOKUP(M$2&amp;Balance_Sheet[[#This Row],[Aop]],Data[],M$1)/Jedinica,"")</f>
        <v/>
      </c>
      <c r="N81" s="38" t="str">
        <f>IF(VLOOKUP(N$2&amp;Balance_Sheet[[#This Row],[Aop]],Data[],1)=N$2&amp;Balance_Sheet[[#This Row],[Aop]],VLOOKUP(N$2&amp;Balance_Sheet[[#This Row],[Aop]],Data[],N$1)/Jedinica,"")</f>
        <v/>
      </c>
      <c r="O81" s="38" t="str">
        <f>IF(VLOOKUP(O$2&amp;Balance_Sheet[[#This Row],[Aop]],Data[],1)=O$2&amp;Balance_Sheet[[#This Row],[Aop]],VLOOKUP(O$2&amp;Balance_Sheet[[#This Row],[Aop]],Data[],O$1)/Jedinica,"")</f>
        <v/>
      </c>
      <c r="P81" s="38" t="str">
        <f>IF(VLOOKUP(P$2&amp;Balance_Sheet[[#This Row],[Aop]],Data[],1)=P$2&amp;Balance_Sheet[[#This Row],[Aop]],VLOOKUP(P$2&amp;Balance_Sheet[[#This Row],[Aop]],Data[],P$1)/Jedinica,"")</f>
        <v/>
      </c>
      <c r="Q81" s="38" t="str">
        <f>IF(VLOOKUP(Q$2&amp;Balance_Sheet[[#This Row],[Aop]],Data[],1)=Q$2&amp;Balance_Sheet[[#This Row],[Aop]],VLOOKUP(Q$2&amp;Balance_Sheet[[#This Row],[Aop]],Data[],Q$1)/Jedinica,"")</f>
        <v/>
      </c>
      <c r="R81" s="38" t="str">
        <f>IF(VLOOKUP(R$2&amp;Balance_Sheet[[#This Row],[Aop]],Data[],1)=R$2&amp;Balance_Sheet[[#This Row],[Aop]],VLOOKUP(R$2&amp;Balance_Sheet[[#This Row],[Aop]],Data[],R$1)/Jedinica,"")</f>
        <v/>
      </c>
      <c r="S81" s="38" t="str">
        <f>IF(VLOOKUP(S$2&amp;Balance_Sheet[[#This Row],[Aop]],Data[],1)=S$2&amp;Balance_Sheet[[#This Row],[Aop]],VLOOKUP(S$2&amp;Balance_Sheet[[#This Row],[Aop]],Data[],S$1)/Jedinica,"")</f>
        <v/>
      </c>
      <c r="T81" s="38" t="str">
        <f>IF(VLOOKUP(T$2&amp;Balance_Sheet[[#This Row],[Aop]],Data[],1)=T$2&amp;Balance_Sheet[[#This Row],[Aop]],VLOOKUP(T$2&amp;Balance_Sheet[[#This Row],[Aop]],Data[],T$1)/Jedinica,"")</f>
        <v/>
      </c>
      <c r="U81" s="38" t="str">
        <f>IF(VLOOKUP(U$2&amp;Balance_Sheet[[#This Row],[Aop]],Data[],1)=U$2&amp;Balance_Sheet[[#This Row],[Aop]],VLOOKUP(U$2&amp;Balance_Sheet[[#This Row],[Aop]],Data[],U$1)/Jedinica,"")</f>
        <v/>
      </c>
      <c r="V81" s="38" t="str">
        <f>IF(VLOOKUP(V$2&amp;Balance_Sheet[[#This Row],[Aop]],Data[],1)=V$2&amp;Balance_Sheet[[#This Row],[Aop]],VLOOKUP(V$2&amp;Balance_Sheet[[#This Row],[Aop]],Data[],V$1)/Jedinica,"")</f>
        <v/>
      </c>
      <c r="W81" s="38" t="str">
        <f>IF(VLOOKUP(W$2&amp;Balance_Sheet[[#This Row],[Aop]],Data[],1)=W$2&amp;Balance_Sheet[[#This Row],[Aop]],VLOOKUP(W$2&amp;Balance_Sheet[[#This Row],[Aop]],Data[],W$1)/Jedinica,"")</f>
        <v/>
      </c>
      <c r="X81" s="38" t="str">
        <f>IF(VLOOKUP(X$2&amp;Balance_Sheet[[#This Row],[Aop]],Data[],1)=X$2&amp;Balance_Sheet[[#This Row],[Aop]],VLOOKUP(X$2&amp;Balance_Sheet[[#This Row],[Aop]],Data[],X$1)/Jedinica,"")</f>
        <v/>
      </c>
      <c r="Y81" s="38" t="str">
        <f>IF(VLOOKUP(Y$2&amp;Balance_Sheet[[#This Row],[Aop]],Data[],1)=Y$2&amp;Balance_Sheet[[#This Row],[Aop]],VLOOKUP(Y$2&amp;Balance_Sheet[[#This Row],[Aop]],Data[],Y$1)/Jedinica,"")</f>
        <v/>
      </c>
      <c r="Z81" s="38" t="str">
        <f>IF(VLOOKUP(Z$2&amp;Balance_Sheet[[#This Row],[Aop]],Data[],1)=Z$2&amp;Balance_Sheet[[#This Row],[Aop]],VLOOKUP(Z$2&amp;Balance_Sheet[[#This Row],[Aop]],Data[],Z$1)/Jedinica,"")</f>
        <v/>
      </c>
      <c r="AA81" s="38" t="str">
        <f>IF(VLOOKUP(AA$2&amp;Balance_Sheet[[#This Row],[Aop]],Data[],1)=AA$2&amp;Balance_Sheet[[#This Row],[Aop]],VLOOKUP(AA$2&amp;Balance_Sheet[[#This Row],[Aop]],Data[],AA$1)/Jedinica,"")</f>
        <v/>
      </c>
      <c r="AB81" s="38" t="str">
        <f>IF(VLOOKUP(AB$2&amp;Balance_Sheet[[#This Row],[Aop]],Data[],1)=AB$2&amp;Balance_Sheet[[#This Row],[Aop]],VLOOKUP(AB$2&amp;Balance_Sheet[[#This Row],[Aop]],Data[],AB$1)/Jedinica,"")</f>
        <v/>
      </c>
      <c r="AC81" s="38">
        <f>IF(VLOOKUP(AC$2&amp;Balance_Sheet[[#This Row],[Aop]],Data[],1)=AC$2&amp;Balance_Sheet[[#This Row],[Aop]],VLOOKUP(AC$2&amp;Balance_Sheet[[#This Row],[Aop]],Data[],AC$1)/Jedinica,"")</f>
        <v>0</v>
      </c>
      <c r="AD81" s="38">
        <f>IF(VLOOKUP(AD$2&amp;Balance_Sheet[[#This Row],[Aop]],Data[],1)=AD$2&amp;Balance_Sheet[[#This Row],[Aop]],VLOOKUP(AD$2&amp;Balance_Sheet[[#This Row],[Aop]],Data[],AD$1)/Jedinica,"")</f>
        <v>0</v>
      </c>
      <c r="AE81" s="38">
        <f>IF(VLOOKUP(AE$2&amp;Balance_Sheet[[#This Row],[Aop]],Data[],1)=AE$2&amp;Balance_Sheet[[#This Row],[Aop]],VLOOKUP(AE$2&amp;Balance_Sheet[[#This Row],[Aop]],Data[],AE$1)/Jedinica,"")</f>
        <v>11096563</v>
      </c>
      <c r="AF81" s="38">
        <f>IF(VLOOKUP(AF$2&amp;Balance_Sheet[[#This Row],[Aop]],Data[],1)=AF$2&amp;Balance_Sheet[[#This Row],[Aop]],VLOOKUP(AF$2&amp;Balance_Sheet[[#This Row],[Aop]],Data[],AF$1)/Jedinica,"")</f>
        <v>9408069</v>
      </c>
    </row>
    <row r="82" spans="1:32" ht="12.75" customHeight="1" x14ac:dyDescent="0.2">
      <c r="A82" s="74">
        <v>77</v>
      </c>
      <c r="B82" s="75">
        <v>1</v>
      </c>
      <c r="C82" s="38" t="str">
        <f>VLOOKUP(Balance_Sheet[[#This Row],[No]],AOP_Balance,3,0)</f>
        <v>125</v>
      </c>
      <c r="D82" s="52" t="str">
        <f>VLOOKUP(Balance_Sheet[[#This Row],[No]],AOP_Balance,7,0)</f>
        <v xml:space="preserve">  B. KAPITAL (126+132+138+142-148)</v>
      </c>
      <c r="E82" s="38">
        <f>IF(VLOOKUP(E$2&amp;Balance_Sheet[[#This Row],[Aop]],Data[],1)=E$2&amp;Balance_Sheet[[#This Row],[Aop]],VLOOKUP(E$2&amp;Balance_Sheet[[#This Row],[Aop]],Data[],E$1)/Jedinica,"")</f>
        <v>0</v>
      </c>
      <c r="F82" s="38">
        <f>IF(VLOOKUP(F$2&amp;Balance_Sheet[[#This Row],[Aop]],Data[],1)=F$2&amp;Balance_Sheet[[#This Row],[Aop]],VLOOKUP(F$2&amp;Balance_Sheet[[#This Row],[Aop]],Data[],F$1)/Jedinica,"")</f>
        <v>0</v>
      </c>
      <c r="G82" s="38">
        <f>IF(VLOOKUP(G$2&amp;Balance_Sheet[[#This Row],[Aop]],Data[],1)=G$2&amp;Balance_Sheet[[#This Row],[Aop]],VLOOKUP(G$2&amp;Balance_Sheet[[#This Row],[Aop]],Data[],G$1)/Jedinica,"")</f>
        <v>34405092</v>
      </c>
      <c r="H82" s="38">
        <f>IF(VLOOKUP(H$2&amp;Balance_Sheet[[#This Row],[Aop]],Data[],1)=H$2&amp;Balance_Sheet[[#This Row],[Aop]],VLOOKUP(H$2&amp;Balance_Sheet[[#This Row],[Aop]],Data[],H$1)/Jedinica,"")</f>
        <v>35076221</v>
      </c>
      <c r="I82" s="38">
        <f>IF(VLOOKUP(I$2&amp;Balance_Sheet[[#This Row],[Aop]],Data[],1)=I$2&amp;Balance_Sheet[[#This Row],[Aop]],VLOOKUP(I$2&amp;Balance_Sheet[[#This Row],[Aop]],Data[],I$1)/Jedinica,"")</f>
        <v>0</v>
      </c>
      <c r="J82" s="38">
        <f>IF(VLOOKUP(J$2&amp;Balance_Sheet[[#This Row],[Aop]],Data[],1)=J$2&amp;Balance_Sheet[[#This Row],[Aop]],VLOOKUP(J$2&amp;Balance_Sheet[[#This Row],[Aop]],Data[],J$1)/Jedinica,"")</f>
        <v>0</v>
      </c>
      <c r="K82" s="38">
        <f>IF(VLOOKUP(K$2&amp;Balance_Sheet[[#This Row],[Aop]],Data[],1)=K$2&amp;Balance_Sheet[[#This Row],[Aop]],VLOOKUP(K$2&amp;Balance_Sheet[[#This Row],[Aop]],Data[],K$1)/Jedinica,"")</f>
        <v>38706359</v>
      </c>
      <c r="L82" s="38">
        <f>IF(VLOOKUP(L$2&amp;Balance_Sheet[[#This Row],[Aop]],Data[],1)=L$2&amp;Balance_Sheet[[#This Row],[Aop]],VLOOKUP(L$2&amp;Balance_Sheet[[#This Row],[Aop]],Data[],L$1)/Jedinica,"")</f>
        <v>9100954</v>
      </c>
      <c r="M82" s="38">
        <f>IF(VLOOKUP(M$2&amp;Balance_Sheet[[#This Row],[Aop]],Data[],1)=M$2&amp;Balance_Sheet[[#This Row],[Aop]],VLOOKUP(M$2&amp;Balance_Sheet[[#This Row],[Aop]],Data[],M$1)/Jedinica,"")</f>
        <v>0</v>
      </c>
      <c r="N82" s="38">
        <f>IF(VLOOKUP(N$2&amp;Balance_Sheet[[#This Row],[Aop]],Data[],1)=N$2&amp;Balance_Sheet[[#This Row],[Aop]],VLOOKUP(N$2&amp;Balance_Sheet[[#This Row],[Aop]],Data[],N$1)/Jedinica,"")</f>
        <v>0</v>
      </c>
      <c r="O82" s="38">
        <f>IF(VLOOKUP(O$2&amp;Balance_Sheet[[#This Row],[Aop]],Data[],1)=O$2&amp;Balance_Sheet[[#This Row],[Aop]],VLOOKUP(O$2&amp;Balance_Sheet[[#This Row],[Aop]],Data[],O$1)/Jedinica,"")</f>
        <v>64900271</v>
      </c>
      <c r="P82" s="38">
        <f>IF(VLOOKUP(P$2&amp;Balance_Sheet[[#This Row],[Aop]],Data[],1)=P$2&amp;Balance_Sheet[[#This Row],[Aop]],VLOOKUP(P$2&amp;Balance_Sheet[[#This Row],[Aop]],Data[],P$1)/Jedinica,"")</f>
        <v>64231089</v>
      </c>
      <c r="Q82" s="38">
        <f>IF(VLOOKUP(Q$2&amp;Balance_Sheet[[#This Row],[Aop]],Data[],1)=Q$2&amp;Balance_Sheet[[#This Row],[Aop]],VLOOKUP(Q$2&amp;Balance_Sheet[[#This Row],[Aop]],Data[],Q$1)/Jedinica,"")</f>
        <v>0</v>
      </c>
      <c r="R82" s="38">
        <f>IF(VLOOKUP(R$2&amp;Balance_Sheet[[#This Row],[Aop]],Data[],1)=R$2&amp;Balance_Sheet[[#This Row],[Aop]],VLOOKUP(R$2&amp;Balance_Sheet[[#This Row],[Aop]],Data[],R$1)/Jedinica,"")</f>
        <v>0</v>
      </c>
      <c r="S82" s="38">
        <f>IF(VLOOKUP(S$2&amp;Balance_Sheet[[#This Row],[Aop]],Data[],1)=S$2&amp;Balance_Sheet[[#This Row],[Aop]],VLOOKUP(S$2&amp;Balance_Sheet[[#This Row],[Aop]],Data[],S$1)/Jedinica,"")</f>
        <v>20529862</v>
      </c>
      <c r="T82" s="38">
        <f>IF(VLOOKUP(T$2&amp;Balance_Sheet[[#This Row],[Aop]],Data[],1)=T$2&amp;Balance_Sheet[[#This Row],[Aop]],VLOOKUP(T$2&amp;Balance_Sheet[[#This Row],[Aop]],Data[],T$1)/Jedinica,"")</f>
        <v>20387370</v>
      </c>
      <c r="U82" s="38">
        <f>IF(VLOOKUP(U$2&amp;Balance_Sheet[[#This Row],[Aop]],Data[],1)=U$2&amp;Balance_Sheet[[#This Row],[Aop]],VLOOKUP(U$2&amp;Balance_Sheet[[#This Row],[Aop]],Data[],U$1)/Jedinica,"")</f>
        <v>0</v>
      </c>
      <c r="V82" s="38">
        <f>IF(VLOOKUP(V$2&amp;Balance_Sheet[[#This Row],[Aop]],Data[],1)=V$2&amp;Balance_Sheet[[#This Row],[Aop]],VLOOKUP(V$2&amp;Balance_Sheet[[#This Row],[Aop]],Data[],V$1)/Jedinica,"")</f>
        <v>0</v>
      </c>
      <c r="W82" s="38">
        <f>IF(VLOOKUP(W$2&amp;Balance_Sheet[[#This Row],[Aop]],Data[],1)=W$2&amp;Balance_Sheet[[#This Row],[Aop]],VLOOKUP(W$2&amp;Balance_Sheet[[#This Row],[Aop]],Data[],W$1)/Jedinica,"")</f>
        <v>140783601</v>
      </c>
      <c r="X82" s="38">
        <f>IF(VLOOKUP(X$2&amp;Balance_Sheet[[#This Row],[Aop]],Data[],1)=X$2&amp;Balance_Sheet[[#This Row],[Aop]],VLOOKUP(X$2&amp;Balance_Sheet[[#This Row],[Aop]],Data[],X$1)/Jedinica,"")</f>
        <v>112839290</v>
      </c>
      <c r="Y82" s="38">
        <f>IF(VLOOKUP(Y$2&amp;Balance_Sheet[[#This Row],[Aop]],Data[],1)=Y$2&amp;Balance_Sheet[[#This Row],[Aop]],VLOOKUP(Y$2&amp;Balance_Sheet[[#This Row],[Aop]],Data[],Y$1)/Jedinica,"")</f>
        <v>0</v>
      </c>
      <c r="Z82" s="38">
        <f>IF(VLOOKUP(Z$2&amp;Balance_Sheet[[#This Row],[Aop]],Data[],1)=Z$2&amp;Balance_Sheet[[#This Row],[Aop]],VLOOKUP(Z$2&amp;Balance_Sheet[[#This Row],[Aop]],Data[],Z$1)/Jedinica,"")</f>
        <v>0</v>
      </c>
      <c r="AA82" s="38">
        <f>IF(VLOOKUP(AA$2&amp;Balance_Sheet[[#This Row],[Aop]],Data[],1)=AA$2&amp;Balance_Sheet[[#This Row],[Aop]],VLOOKUP(AA$2&amp;Balance_Sheet[[#This Row],[Aop]],Data[],AA$1)/Jedinica,"")</f>
        <v>20529862</v>
      </c>
      <c r="AB82" s="38">
        <f>IF(VLOOKUP(AB$2&amp;Balance_Sheet[[#This Row],[Aop]],Data[],1)=AB$2&amp;Balance_Sheet[[#This Row],[Aop]],VLOOKUP(AB$2&amp;Balance_Sheet[[#This Row],[Aop]],Data[],AB$1)/Jedinica,"")</f>
        <v>20387370</v>
      </c>
      <c r="AC82" s="38">
        <f>IF(VLOOKUP(AC$2&amp;Balance_Sheet[[#This Row],[Aop]],Data[],1)=AC$2&amp;Balance_Sheet[[#This Row],[Aop]],VLOOKUP(AC$2&amp;Balance_Sheet[[#This Row],[Aop]],Data[],AC$1)/Jedinica,"")</f>
        <v>0</v>
      </c>
      <c r="AD82" s="38">
        <f>IF(VLOOKUP(AD$2&amp;Balance_Sheet[[#This Row],[Aop]],Data[],1)=AD$2&amp;Balance_Sheet[[#This Row],[Aop]],VLOOKUP(AD$2&amp;Balance_Sheet[[#This Row],[Aop]],Data[],AD$1)/Jedinica,"")</f>
        <v>0</v>
      </c>
      <c r="AE82" s="38">
        <f>IF(VLOOKUP(AE$2&amp;Balance_Sheet[[#This Row],[Aop]],Data[],1)=AE$2&amp;Balance_Sheet[[#This Row],[Aop]],VLOOKUP(AE$2&amp;Balance_Sheet[[#This Row],[Aop]],Data[],AE$1)/Jedinica,"")</f>
        <v>114443505</v>
      </c>
      <c r="AF82" s="38">
        <f>IF(VLOOKUP(AF$2&amp;Balance_Sheet[[#This Row],[Aop]],Data[],1)=AF$2&amp;Balance_Sheet[[#This Row],[Aop]],VLOOKUP(AF$2&amp;Balance_Sheet[[#This Row],[Aop]],Data[],AF$1)/Jedinica,"")</f>
        <v>106957315</v>
      </c>
    </row>
    <row r="83" spans="1:32" ht="12.75" customHeight="1" x14ac:dyDescent="0.2">
      <c r="A83" s="74">
        <v>78</v>
      </c>
      <c r="B83" s="75">
        <v>2</v>
      </c>
      <c r="C83" s="38" t="str">
        <f>VLOOKUP(Balance_Sheet[[#This Row],[No]],AOP_Balance,3,0)</f>
        <v>126</v>
      </c>
      <c r="D83" s="52" t="str">
        <f>VLOOKUP(Balance_Sheet[[#This Row],[No]],AOP_Balance,7,0)</f>
        <v xml:space="preserve">    1. Osnovni kapital (127+128+129-130-131)</v>
      </c>
      <c r="E83" s="38">
        <f>IF(VLOOKUP(E$2&amp;Balance_Sheet[[#This Row],[Aop]],Data[],1)=E$2&amp;Balance_Sheet[[#This Row],[Aop]],VLOOKUP(E$2&amp;Balance_Sheet[[#This Row],[Aop]],Data[],E$1)/Jedinica,"")</f>
        <v>0</v>
      </c>
      <c r="F83" s="38">
        <f>IF(VLOOKUP(F$2&amp;Balance_Sheet[[#This Row],[Aop]],Data[],1)=F$2&amp;Balance_Sheet[[#This Row],[Aop]],VLOOKUP(F$2&amp;Balance_Sheet[[#This Row],[Aop]],Data[],F$1)/Jedinica,"")</f>
        <v>0</v>
      </c>
      <c r="G83" s="38">
        <f>IF(VLOOKUP(G$2&amp;Balance_Sheet[[#This Row],[Aop]],Data[],1)=G$2&amp;Balance_Sheet[[#This Row],[Aop]],VLOOKUP(G$2&amp;Balance_Sheet[[#This Row],[Aop]],Data[],G$1)/Jedinica,"")</f>
        <v>30548000</v>
      </c>
      <c r="H83" s="38">
        <f>IF(VLOOKUP(H$2&amp;Balance_Sheet[[#This Row],[Aop]],Data[],1)=H$2&amp;Balance_Sheet[[#This Row],[Aop]],VLOOKUP(H$2&amp;Balance_Sheet[[#This Row],[Aop]],Data[],H$1)/Jedinica,"")</f>
        <v>30548000</v>
      </c>
      <c r="I83" s="38">
        <f>IF(VLOOKUP(I$2&amp;Balance_Sheet[[#This Row],[Aop]],Data[],1)=I$2&amp;Balance_Sheet[[#This Row],[Aop]],VLOOKUP(I$2&amp;Balance_Sheet[[#This Row],[Aop]],Data[],I$1)/Jedinica,"")</f>
        <v>0</v>
      </c>
      <c r="J83" s="38">
        <f>IF(VLOOKUP(J$2&amp;Balance_Sheet[[#This Row],[Aop]],Data[],1)=J$2&amp;Balance_Sheet[[#This Row],[Aop]],VLOOKUP(J$2&amp;Balance_Sheet[[#This Row],[Aop]],Data[],J$1)/Jedinica,"")</f>
        <v>0</v>
      </c>
      <c r="K83" s="38">
        <f>IF(VLOOKUP(K$2&amp;Balance_Sheet[[#This Row],[Aop]],Data[],1)=K$2&amp;Balance_Sheet[[#This Row],[Aop]],VLOOKUP(K$2&amp;Balance_Sheet[[#This Row],[Aop]],Data[],K$1)/Jedinica,"")</f>
        <v>35018810</v>
      </c>
      <c r="L83" s="38">
        <f>IF(VLOOKUP(L$2&amp;Balance_Sheet[[#This Row],[Aop]],Data[],1)=L$2&amp;Balance_Sheet[[#This Row],[Aop]],VLOOKUP(L$2&amp;Balance_Sheet[[#This Row],[Aop]],Data[],L$1)/Jedinica,"")</f>
        <v>35000000</v>
      </c>
      <c r="M83" s="38">
        <f>IF(VLOOKUP(M$2&amp;Balance_Sheet[[#This Row],[Aop]],Data[],1)=M$2&amp;Balance_Sheet[[#This Row],[Aop]],VLOOKUP(M$2&amp;Balance_Sheet[[#This Row],[Aop]],Data[],M$1)/Jedinica,"")</f>
        <v>0</v>
      </c>
      <c r="N83" s="38">
        <f>IF(VLOOKUP(N$2&amp;Balance_Sheet[[#This Row],[Aop]],Data[],1)=N$2&amp;Balance_Sheet[[#This Row],[Aop]],VLOOKUP(N$2&amp;Balance_Sheet[[#This Row],[Aop]],Data[],N$1)/Jedinica,"")</f>
        <v>0</v>
      </c>
      <c r="O83" s="38">
        <f>IF(VLOOKUP(O$2&amp;Balance_Sheet[[#This Row],[Aop]],Data[],1)=O$2&amp;Balance_Sheet[[#This Row],[Aop]],VLOOKUP(O$2&amp;Balance_Sheet[[#This Row],[Aop]],Data[],O$1)/Jedinica,"")</f>
        <v>60000000</v>
      </c>
      <c r="P83" s="38">
        <f>IF(VLOOKUP(P$2&amp;Balance_Sheet[[#This Row],[Aop]],Data[],1)=P$2&amp;Balance_Sheet[[#This Row],[Aop]],VLOOKUP(P$2&amp;Balance_Sheet[[#This Row],[Aop]],Data[],P$1)/Jedinica,"")</f>
        <v>60000000</v>
      </c>
      <c r="Q83" s="38">
        <f>IF(VLOOKUP(Q$2&amp;Balance_Sheet[[#This Row],[Aop]],Data[],1)=Q$2&amp;Balance_Sheet[[#This Row],[Aop]],VLOOKUP(Q$2&amp;Balance_Sheet[[#This Row],[Aop]],Data[],Q$1)/Jedinica,"")</f>
        <v>0</v>
      </c>
      <c r="R83" s="38">
        <f>IF(VLOOKUP(R$2&amp;Balance_Sheet[[#This Row],[Aop]],Data[],1)=R$2&amp;Balance_Sheet[[#This Row],[Aop]],VLOOKUP(R$2&amp;Balance_Sheet[[#This Row],[Aop]],Data[],R$1)/Jedinica,"")</f>
        <v>0</v>
      </c>
      <c r="S83" s="38">
        <f>IF(VLOOKUP(S$2&amp;Balance_Sheet[[#This Row],[Aop]],Data[],1)=S$2&amp;Balance_Sheet[[#This Row],[Aop]],VLOOKUP(S$2&amp;Balance_Sheet[[#This Row],[Aop]],Data[],S$1)/Jedinica,"")</f>
        <v>26000000</v>
      </c>
      <c r="T83" s="38">
        <f>IF(VLOOKUP(T$2&amp;Balance_Sheet[[#This Row],[Aop]],Data[],1)=T$2&amp;Balance_Sheet[[#This Row],[Aop]],VLOOKUP(T$2&amp;Balance_Sheet[[#This Row],[Aop]],Data[],T$1)/Jedinica,"")</f>
        <v>26000000</v>
      </c>
      <c r="U83" s="38">
        <f>IF(VLOOKUP(U$2&amp;Balance_Sheet[[#This Row],[Aop]],Data[],1)=U$2&amp;Balance_Sheet[[#This Row],[Aop]],VLOOKUP(U$2&amp;Balance_Sheet[[#This Row],[Aop]],Data[],U$1)/Jedinica,"")</f>
        <v>0</v>
      </c>
      <c r="V83" s="38">
        <f>IF(VLOOKUP(V$2&amp;Balance_Sheet[[#This Row],[Aop]],Data[],1)=V$2&amp;Balance_Sheet[[#This Row],[Aop]],VLOOKUP(V$2&amp;Balance_Sheet[[#This Row],[Aop]],Data[],V$1)/Jedinica,"")</f>
        <v>0</v>
      </c>
      <c r="W83" s="38">
        <f>IF(VLOOKUP(W$2&amp;Balance_Sheet[[#This Row],[Aop]],Data[],1)=W$2&amp;Balance_Sheet[[#This Row],[Aop]],VLOOKUP(W$2&amp;Balance_Sheet[[#This Row],[Aop]],Data[],W$1)/Jedinica,"")</f>
        <v>97427649</v>
      </c>
      <c r="X83" s="38">
        <f>IF(VLOOKUP(X$2&amp;Balance_Sheet[[#This Row],[Aop]],Data[],1)=X$2&amp;Balance_Sheet[[#This Row],[Aop]],VLOOKUP(X$2&amp;Balance_Sheet[[#This Row],[Aop]],Data[],X$1)/Jedinica,"")</f>
        <v>82427349</v>
      </c>
      <c r="Y83" s="38">
        <f>IF(VLOOKUP(Y$2&amp;Balance_Sheet[[#This Row],[Aop]],Data[],1)=Y$2&amp;Balance_Sheet[[#This Row],[Aop]],VLOOKUP(Y$2&amp;Balance_Sheet[[#This Row],[Aop]],Data[],Y$1)/Jedinica,"")</f>
        <v>0</v>
      </c>
      <c r="Z83" s="38">
        <f>IF(VLOOKUP(Z$2&amp;Balance_Sheet[[#This Row],[Aop]],Data[],1)=Z$2&amp;Balance_Sheet[[#This Row],[Aop]],VLOOKUP(Z$2&amp;Balance_Sheet[[#This Row],[Aop]],Data[],Z$1)/Jedinica,"")</f>
        <v>0</v>
      </c>
      <c r="AA83" s="38">
        <f>IF(VLOOKUP(AA$2&amp;Balance_Sheet[[#This Row],[Aop]],Data[],1)=AA$2&amp;Balance_Sheet[[#This Row],[Aop]],VLOOKUP(AA$2&amp;Balance_Sheet[[#This Row],[Aop]],Data[],AA$1)/Jedinica,"")</f>
        <v>26000000</v>
      </c>
      <c r="AB83" s="38">
        <f>IF(VLOOKUP(AB$2&amp;Balance_Sheet[[#This Row],[Aop]],Data[],1)=AB$2&amp;Balance_Sheet[[#This Row],[Aop]],VLOOKUP(AB$2&amp;Balance_Sheet[[#This Row],[Aop]],Data[],AB$1)/Jedinica,"")</f>
        <v>26000000</v>
      </c>
      <c r="AC83" s="38">
        <f>IF(VLOOKUP(AC$2&amp;Balance_Sheet[[#This Row],[Aop]],Data[],1)=AC$2&amp;Balance_Sheet[[#This Row],[Aop]],VLOOKUP(AC$2&amp;Balance_Sheet[[#This Row],[Aop]],Data[],AC$1)/Jedinica,"")</f>
        <v>0</v>
      </c>
      <c r="AD83" s="38">
        <f>IF(VLOOKUP(AD$2&amp;Balance_Sheet[[#This Row],[Aop]],Data[],1)=AD$2&amp;Balance_Sheet[[#This Row],[Aop]],VLOOKUP(AD$2&amp;Balance_Sheet[[#This Row],[Aop]],Data[],AD$1)/Jedinica,"")</f>
        <v>0</v>
      </c>
      <c r="AE83" s="38">
        <f>IF(VLOOKUP(AE$2&amp;Balance_Sheet[[#This Row],[Aop]],Data[],1)=AE$2&amp;Balance_Sheet[[#This Row],[Aop]],VLOOKUP(AE$2&amp;Balance_Sheet[[#This Row],[Aop]],Data[],AE$1)/Jedinica,"")</f>
        <v>62159780</v>
      </c>
      <c r="AF83" s="38">
        <f>IF(VLOOKUP(AF$2&amp;Balance_Sheet[[#This Row],[Aop]],Data[],1)=AF$2&amp;Balance_Sheet[[#This Row],[Aop]],VLOOKUP(AF$2&amp;Balance_Sheet[[#This Row],[Aop]],Data[],AF$1)/Jedinica,"")</f>
        <v>62159780</v>
      </c>
    </row>
    <row r="84" spans="1:32" ht="12.75" customHeight="1" x14ac:dyDescent="0.2">
      <c r="A84" s="74">
        <v>79</v>
      </c>
      <c r="B84" s="75">
        <v>3</v>
      </c>
      <c r="C84" s="38" t="str">
        <f>VLOOKUP(Balance_Sheet[[#This Row],[No]],AOP_Balance,3,0)</f>
        <v>127</v>
      </c>
      <c r="D84" s="52" t="str">
        <f>VLOOKUP(Balance_Sheet[[#This Row],[No]],AOP_Balance,7,0)</f>
        <v xml:space="preserve">      a) Akcijski kapital</v>
      </c>
      <c r="E84" s="38">
        <f>IF(VLOOKUP(E$2&amp;Balance_Sheet[[#This Row],[Aop]],Data[],1)=E$2&amp;Balance_Sheet[[#This Row],[Aop]],VLOOKUP(E$2&amp;Balance_Sheet[[#This Row],[Aop]],Data[],E$1)/Jedinica,"")</f>
        <v>0</v>
      </c>
      <c r="F84" s="38">
        <f>IF(VLOOKUP(F$2&amp;Balance_Sheet[[#This Row],[Aop]],Data[],1)=F$2&amp;Balance_Sheet[[#This Row],[Aop]],VLOOKUP(F$2&amp;Balance_Sheet[[#This Row],[Aop]],Data[],F$1)/Jedinica,"")</f>
        <v>0</v>
      </c>
      <c r="G84" s="38">
        <f>IF(VLOOKUP(G$2&amp;Balance_Sheet[[#This Row],[Aop]],Data[],1)=G$2&amp;Balance_Sheet[[#This Row],[Aop]],VLOOKUP(G$2&amp;Balance_Sheet[[#This Row],[Aop]],Data[],G$1)/Jedinica,"")</f>
        <v>30548000</v>
      </c>
      <c r="H84" s="38">
        <f>IF(VLOOKUP(H$2&amp;Balance_Sheet[[#This Row],[Aop]],Data[],1)=H$2&amp;Balance_Sheet[[#This Row],[Aop]],VLOOKUP(H$2&amp;Balance_Sheet[[#This Row],[Aop]],Data[],H$1)/Jedinica,"")</f>
        <v>30548000</v>
      </c>
      <c r="I84" s="38">
        <f>IF(VLOOKUP(I$2&amp;Balance_Sheet[[#This Row],[Aop]],Data[],1)=I$2&amp;Balance_Sheet[[#This Row],[Aop]],VLOOKUP(I$2&amp;Balance_Sheet[[#This Row],[Aop]],Data[],I$1)/Jedinica,"")</f>
        <v>0</v>
      </c>
      <c r="J84" s="38">
        <f>IF(VLOOKUP(J$2&amp;Balance_Sheet[[#This Row],[Aop]],Data[],1)=J$2&amp;Balance_Sheet[[#This Row],[Aop]],VLOOKUP(J$2&amp;Balance_Sheet[[#This Row],[Aop]],Data[],J$1)/Jedinica,"")</f>
        <v>0</v>
      </c>
      <c r="K84" s="38">
        <f>IF(VLOOKUP(K$2&amp;Balance_Sheet[[#This Row],[Aop]],Data[],1)=K$2&amp;Balance_Sheet[[#This Row],[Aop]],VLOOKUP(K$2&amp;Balance_Sheet[[#This Row],[Aop]],Data[],K$1)/Jedinica,"")</f>
        <v>35018810</v>
      </c>
      <c r="L84" s="38">
        <f>IF(VLOOKUP(L$2&amp;Balance_Sheet[[#This Row],[Aop]],Data[],1)=L$2&amp;Balance_Sheet[[#This Row],[Aop]],VLOOKUP(L$2&amp;Balance_Sheet[[#This Row],[Aop]],Data[],L$1)/Jedinica,"")</f>
        <v>35000000</v>
      </c>
      <c r="M84" s="38">
        <f>IF(VLOOKUP(M$2&amp;Balance_Sheet[[#This Row],[Aop]],Data[],1)=M$2&amp;Balance_Sheet[[#This Row],[Aop]],VLOOKUP(M$2&amp;Balance_Sheet[[#This Row],[Aop]],Data[],M$1)/Jedinica,"")</f>
        <v>0</v>
      </c>
      <c r="N84" s="38">
        <f>IF(VLOOKUP(N$2&amp;Balance_Sheet[[#This Row],[Aop]],Data[],1)=N$2&amp;Balance_Sheet[[#This Row],[Aop]],VLOOKUP(N$2&amp;Balance_Sheet[[#This Row],[Aop]],Data[],N$1)/Jedinica,"")</f>
        <v>0</v>
      </c>
      <c r="O84" s="38">
        <f>IF(VLOOKUP(O$2&amp;Balance_Sheet[[#This Row],[Aop]],Data[],1)=O$2&amp;Balance_Sheet[[#This Row],[Aop]],VLOOKUP(O$2&amp;Balance_Sheet[[#This Row],[Aop]],Data[],O$1)/Jedinica,"")</f>
        <v>60000000</v>
      </c>
      <c r="P84" s="38">
        <f>IF(VLOOKUP(P$2&amp;Balance_Sheet[[#This Row],[Aop]],Data[],1)=P$2&amp;Balance_Sheet[[#This Row],[Aop]],VLOOKUP(P$2&amp;Balance_Sheet[[#This Row],[Aop]],Data[],P$1)/Jedinica,"")</f>
        <v>60000000</v>
      </c>
      <c r="Q84" s="38">
        <f>IF(VLOOKUP(Q$2&amp;Balance_Sheet[[#This Row],[Aop]],Data[],1)=Q$2&amp;Balance_Sheet[[#This Row],[Aop]],VLOOKUP(Q$2&amp;Balance_Sheet[[#This Row],[Aop]],Data[],Q$1)/Jedinica,"")</f>
        <v>0</v>
      </c>
      <c r="R84" s="38">
        <f>IF(VLOOKUP(R$2&amp;Balance_Sheet[[#This Row],[Aop]],Data[],1)=R$2&amp;Balance_Sheet[[#This Row],[Aop]],VLOOKUP(R$2&amp;Balance_Sheet[[#This Row],[Aop]],Data[],R$1)/Jedinica,"")</f>
        <v>0</v>
      </c>
      <c r="S84" s="38">
        <f>IF(VLOOKUP(S$2&amp;Balance_Sheet[[#This Row],[Aop]],Data[],1)=S$2&amp;Balance_Sheet[[#This Row],[Aop]],VLOOKUP(S$2&amp;Balance_Sheet[[#This Row],[Aop]],Data[],S$1)/Jedinica,"")</f>
        <v>26000000</v>
      </c>
      <c r="T84" s="38">
        <f>IF(VLOOKUP(T$2&amp;Balance_Sheet[[#This Row],[Aop]],Data[],1)=T$2&amp;Balance_Sheet[[#This Row],[Aop]],VLOOKUP(T$2&amp;Balance_Sheet[[#This Row],[Aop]],Data[],T$1)/Jedinica,"")</f>
        <v>26000000</v>
      </c>
      <c r="U84" s="38">
        <f>IF(VLOOKUP(U$2&amp;Balance_Sheet[[#This Row],[Aop]],Data[],1)=U$2&amp;Balance_Sheet[[#This Row],[Aop]],VLOOKUP(U$2&amp;Balance_Sheet[[#This Row],[Aop]],Data[],U$1)/Jedinica,"")</f>
        <v>0</v>
      </c>
      <c r="V84" s="38">
        <f>IF(VLOOKUP(V$2&amp;Balance_Sheet[[#This Row],[Aop]],Data[],1)=V$2&amp;Balance_Sheet[[#This Row],[Aop]],VLOOKUP(V$2&amp;Balance_Sheet[[#This Row],[Aop]],Data[],V$1)/Jedinica,"")</f>
        <v>0</v>
      </c>
      <c r="W84" s="38">
        <f>IF(VLOOKUP(W$2&amp;Balance_Sheet[[#This Row],[Aop]],Data[],1)=W$2&amp;Balance_Sheet[[#This Row],[Aop]],VLOOKUP(W$2&amp;Balance_Sheet[[#This Row],[Aop]],Data[],W$1)/Jedinica,"")</f>
        <v>97055000</v>
      </c>
      <c r="X84" s="38">
        <f>IF(VLOOKUP(X$2&amp;Balance_Sheet[[#This Row],[Aop]],Data[],1)=X$2&amp;Balance_Sheet[[#This Row],[Aop]],VLOOKUP(X$2&amp;Balance_Sheet[[#This Row],[Aop]],Data[],X$1)/Jedinica,"")</f>
        <v>82054700</v>
      </c>
      <c r="Y84" s="38">
        <f>IF(VLOOKUP(Y$2&amp;Balance_Sheet[[#This Row],[Aop]],Data[],1)=Y$2&amp;Balance_Sheet[[#This Row],[Aop]],VLOOKUP(Y$2&amp;Balance_Sheet[[#This Row],[Aop]],Data[],Y$1)/Jedinica,"")</f>
        <v>0</v>
      </c>
      <c r="Z84" s="38">
        <f>IF(VLOOKUP(Z$2&amp;Balance_Sheet[[#This Row],[Aop]],Data[],1)=Z$2&amp;Balance_Sheet[[#This Row],[Aop]],VLOOKUP(Z$2&amp;Balance_Sheet[[#This Row],[Aop]],Data[],Z$1)/Jedinica,"")</f>
        <v>0</v>
      </c>
      <c r="AA84" s="38">
        <f>IF(VLOOKUP(AA$2&amp;Balance_Sheet[[#This Row],[Aop]],Data[],1)=AA$2&amp;Balance_Sheet[[#This Row],[Aop]],VLOOKUP(AA$2&amp;Balance_Sheet[[#This Row],[Aop]],Data[],AA$1)/Jedinica,"")</f>
        <v>26000000</v>
      </c>
      <c r="AB84" s="38">
        <f>IF(VLOOKUP(AB$2&amp;Balance_Sheet[[#This Row],[Aop]],Data[],1)=AB$2&amp;Balance_Sheet[[#This Row],[Aop]],VLOOKUP(AB$2&amp;Balance_Sheet[[#This Row],[Aop]],Data[],AB$1)/Jedinica,"")</f>
        <v>26000000</v>
      </c>
      <c r="AC84" s="38">
        <f>IF(VLOOKUP(AC$2&amp;Balance_Sheet[[#This Row],[Aop]],Data[],1)=AC$2&amp;Balance_Sheet[[#This Row],[Aop]],VLOOKUP(AC$2&amp;Balance_Sheet[[#This Row],[Aop]],Data[],AC$1)/Jedinica,"")</f>
        <v>0</v>
      </c>
      <c r="AD84" s="38">
        <f>IF(VLOOKUP(AD$2&amp;Balance_Sheet[[#This Row],[Aop]],Data[],1)=AD$2&amp;Balance_Sheet[[#This Row],[Aop]],VLOOKUP(AD$2&amp;Balance_Sheet[[#This Row],[Aop]],Data[],AD$1)/Jedinica,"")</f>
        <v>0</v>
      </c>
      <c r="AE84" s="38">
        <f>IF(VLOOKUP(AE$2&amp;Balance_Sheet[[#This Row],[Aop]],Data[],1)=AE$2&amp;Balance_Sheet[[#This Row],[Aop]],VLOOKUP(AE$2&amp;Balance_Sheet[[#This Row],[Aop]],Data[],AE$1)/Jedinica,"")</f>
        <v>62003000</v>
      </c>
      <c r="AF84" s="38">
        <f>IF(VLOOKUP(AF$2&amp;Balance_Sheet[[#This Row],[Aop]],Data[],1)=AF$2&amp;Balance_Sheet[[#This Row],[Aop]],VLOOKUP(AF$2&amp;Balance_Sheet[[#This Row],[Aop]],Data[],AF$1)/Jedinica,"")</f>
        <v>62003000</v>
      </c>
    </row>
    <row r="85" spans="1:32" ht="12.75" customHeight="1" x14ac:dyDescent="0.2">
      <c r="A85" s="74">
        <v>80</v>
      </c>
      <c r="B85" s="75">
        <v>3</v>
      </c>
      <c r="C85" s="38" t="str">
        <f>VLOOKUP(Balance_Sheet[[#This Row],[No]],AOP_Balance,3,0)</f>
        <v>128</v>
      </c>
      <c r="D85" s="52" t="str">
        <f>VLOOKUP(Balance_Sheet[[#This Row],[No]],AOP_Balance,7,0)</f>
        <v xml:space="preserve">      b) Ostali oblici kapitala</v>
      </c>
      <c r="E85" s="38" t="str">
        <f>IF(VLOOKUP(E$2&amp;Balance_Sheet[[#This Row],[Aop]],Data[],1)=E$2&amp;Balance_Sheet[[#This Row],[Aop]],VLOOKUP(E$2&amp;Balance_Sheet[[#This Row],[Aop]],Data[],E$1)/Jedinica,"")</f>
        <v/>
      </c>
      <c r="F85" s="38" t="str">
        <f>IF(VLOOKUP(F$2&amp;Balance_Sheet[[#This Row],[Aop]],Data[],1)=F$2&amp;Balance_Sheet[[#This Row],[Aop]],VLOOKUP(F$2&amp;Balance_Sheet[[#This Row],[Aop]],Data[],F$1)/Jedinica,"")</f>
        <v/>
      </c>
      <c r="G85" s="38" t="str">
        <f>IF(VLOOKUP(G$2&amp;Balance_Sheet[[#This Row],[Aop]],Data[],1)=G$2&amp;Balance_Sheet[[#This Row],[Aop]],VLOOKUP(G$2&amp;Balance_Sheet[[#This Row],[Aop]],Data[],G$1)/Jedinica,"")</f>
        <v/>
      </c>
      <c r="H85" s="38" t="str">
        <f>IF(VLOOKUP(H$2&amp;Balance_Sheet[[#This Row],[Aop]],Data[],1)=H$2&amp;Balance_Sheet[[#This Row],[Aop]],VLOOKUP(H$2&amp;Balance_Sheet[[#This Row],[Aop]],Data[],H$1)/Jedinica,"")</f>
        <v/>
      </c>
      <c r="I85" s="38" t="str">
        <f>IF(VLOOKUP(I$2&amp;Balance_Sheet[[#This Row],[Aop]],Data[],1)=I$2&amp;Balance_Sheet[[#This Row],[Aop]],VLOOKUP(I$2&amp;Balance_Sheet[[#This Row],[Aop]],Data[],I$1)/Jedinica,"")</f>
        <v/>
      </c>
      <c r="J85" s="38" t="str">
        <f>IF(VLOOKUP(J$2&amp;Balance_Sheet[[#This Row],[Aop]],Data[],1)=J$2&amp;Balance_Sheet[[#This Row],[Aop]],VLOOKUP(J$2&amp;Balance_Sheet[[#This Row],[Aop]],Data[],J$1)/Jedinica,"")</f>
        <v/>
      </c>
      <c r="K85" s="38" t="str">
        <f>IF(VLOOKUP(K$2&amp;Balance_Sheet[[#This Row],[Aop]],Data[],1)=K$2&amp;Balance_Sheet[[#This Row],[Aop]],VLOOKUP(K$2&amp;Balance_Sheet[[#This Row],[Aop]],Data[],K$1)/Jedinica,"")</f>
        <v/>
      </c>
      <c r="L85" s="38" t="str">
        <f>IF(VLOOKUP(L$2&amp;Balance_Sheet[[#This Row],[Aop]],Data[],1)=L$2&amp;Balance_Sheet[[#This Row],[Aop]],VLOOKUP(L$2&amp;Balance_Sheet[[#This Row],[Aop]],Data[],L$1)/Jedinica,"")</f>
        <v/>
      </c>
      <c r="M85" s="38" t="str">
        <f>IF(VLOOKUP(M$2&amp;Balance_Sheet[[#This Row],[Aop]],Data[],1)=M$2&amp;Balance_Sheet[[#This Row],[Aop]],VLOOKUP(M$2&amp;Balance_Sheet[[#This Row],[Aop]],Data[],M$1)/Jedinica,"")</f>
        <v/>
      </c>
      <c r="N85" s="38" t="str">
        <f>IF(VLOOKUP(N$2&amp;Balance_Sheet[[#This Row],[Aop]],Data[],1)=N$2&amp;Balance_Sheet[[#This Row],[Aop]],VLOOKUP(N$2&amp;Balance_Sheet[[#This Row],[Aop]],Data[],N$1)/Jedinica,"")</f>
        <v/>
      </c>
      <c r="O85" s="38" t="str">
        <f>IF(VLOOKUP(O$2&amp;Balance_Sheet[[#This Row],[Aop]],Data[],1)=O$2&amp;Balance_Sheet[[#This Row],[Aop]],VLOOKUP(O$2&amp;Balance_Sheet[[#This Row],[Aop]],Data[],O$1)/Jedinica,"")</f>
        <v/>
      </c>
      <c r="P85" s="38" t="str">
        <f>IF(VLOOKUP(P$2&amp;Balance_Sheet[[#This Row],[Aop]],Data[],1)=P$2&amp;Balance_Sheet[[#This Row],[Aop]],VLOOKUP(P$2&amp;Balance_Sheet[[#This Row],[Aop]],Data[],P$1)/Jedinica,"")</f>
        <v/>
      </c>
      <c r="Q85" s="38" t="str">
        <f>IF(VLOOKUP(Q$2&amp;Balance_Sheet[[#This Row],[Aop]],Data[],1)=Q$2&amp;Balance_Sheet[[#This Row],[Aop]],VLOOKUP(Q$2&amp;Balance_Sheet[[#This Row],[Aop]],Data[],Q$1)/Jedinica,"")</f>
        <v/>
      </c>
      <c r="R85" s="38" t="str">
        <f>IF(VLOOKUP(R$2&amp;Balance_Sheet[[#This Row],[Aop]],Data[],1)=R$2&amp;Balance_Sheet[[#This Row],[Aop]],VLOOKUP(R$2&amp;Balance_Sheet[[#This Row],[Aop]],Data[],R$1)/Jedinica,"")</f>
        <v/>
      </c>
      <c r="S85" s="38" t="str">
        <f>IF(VLOOKUP(S$2&amp;Balance_Sheet[[#This Row],[Aop]],Data[],1)=S$2&amp;Balance_Sheet[[#This Row],[Aop]],VLOOKUP(S$2&amp;Balance_Sheet[[#This Row],[Aop]],Data[],S$1)/Jedinica,"")</f>
        <v/>
      </c>
      <c r="T85" s="38" t="str">
        <f>IF(VLOOKUP(T$2&amp;Balance_Sheet[[#This Row],[Aop]],Data[],1)=T$2&amp;Balance_Sheet[[#This Row],[Aop]],VLOOKUP(T$2&amp;Balance_Sheet[[#This Row],[Aop]],Data[],T$1)/Jedinica,"")</f>
        <v/>
      </c>
      <c r="U85" s="38" t="str">
        <f>IF(VLOOKUP(U$2&amp;Balance_Sheet[[#This Row],[Aop]],Data[],1)=U$2&amp;Balance_Sheet[[#This Row],[Aop]],VLOOKUP(U$2&amp;Balance_Sheet[[#This Row],[Aop]],Data[],U$1)/Jedinica,"")</f>
        <v/>
      </c>
      <c r="V85" s="38" t="str">
        <f>IF(VLOOKUP(V$2&amp;Balance_Sheet[[#This Row],[Aop]],Data[],1)=V$2&amp;Balance_Sheet[[#This Row],[Aop]],VLOOKUP(V$2&amp;Balance_Sheet[[#This Row],[Aop]],Data[],V$1)/Jedinica,"")</f>
        <v/>
      </c>
      <c r="W85" s="38" t="str">
        <f>IF(VLOOKUP(W$2&amp;Balance_Sheet[[#This Row],[Aop]],Data[],1)=W$2&amp;Balance_Sheet[[#This Row],[Aop]],VLOOKUP(W$2&amp;Balance_Sheet[[#This Row],[Aop]],Data[],W$1)/Jedinica,"")</f>
        <v/>
      </c>
      <c r="X85" s="38" t="str">
        <f>IF(VLOOKUP(X$2&amp;Balance_Sheet[[#This Row],[Aop]],Data[],1)=X$2&amp;Balance_Sheet[[#This Row],[Aop]],VLOOKUP(X$2&amp;Balance_Sheet[[#This Row],[Aop]],Data[],X$1)/Jedinica,"")</f>
        <v/>
      </c>
      <c r="Y85" s="38" t="str">
        <f>IF(VLOOKUP(Y$2&amp;Balance_Sheet[[#This Row],[Aop]],Data[],1)=Y$2&amp;Balance_Sheet[[#This Row],[Aop]],VLOOKUP(Y$2&amp;Balance_Sheet[[#This Row],[Aop]],Data[],Y$1)/Jedinica,"")</f>
        <v/>
      </c>
      <c r="Z85" s="38" t="str">
        <f>IF(VLOOKUP(Z$2&amp;Balance_Sheet[[#This Row],[Aop]],Data[],1)=Z$2&amp;Balance_Sheet[[#This Row],[Aop]],VLOOKUP(Z$2&amp;Balance_Sheet[[#This Row],[Aop]],Data[],Z$1)/Jedinica,"")</f>
        <v/>
      </c>
      <c r="AA85" s="38" t="str">
        <f>IF(VLOOKUP(AA$2&amp;Balance_Sheet[[#This Row],[Aop]],Data[],1)=AA$2&amp;Balance_Sheet[[#This Row],[Aop]],VLOOKUP(AA$2&amp;Balance_Sheet[[#This Row],[Aop]],Data[],AA$1)/Jedinica,"")</f>
        <v/>
      </c>
      <c r="AB85" s="38" t="str">
        <f>IF(VLOOKUP(AB$2&amp;Balance_Sheet[[#This Row],[Aop]],Data[],1)=AB$2&amp;Balance_Sheet[[#This Row],[Aop]],VLOOKUP(AB$2&amp;Balance_Sheet[[#This Row],[Aop]],Data[],AB$1)/Jedinica,"")</f>
        <v/>
      </c>
      <c r="AC85" s="38" t="str">
        <f>IF(VLOOKUP(AC$2&amp;Balance_Sheet[[#This Row],[Aop]],Data[],1)=AC$2&amp;Balance_Sheet[[#This Row],[Aop]],VLOOKUP(AC$2&amp;Balance_Sheet[[#This Row],[Aop]],Data[],AC$1)/Jedinica,"")</f>
        <v/>
      </c>
      <c r="AD85" s="38" t="str">
        <f>IF(VLOOKUP(AD$2&amp;Balance_Sheet[[#This Row],[Aop]],Data[],1)=AD$2&amp;Balance_Sheet[[#This Row],[Aop]],VLOOKUP(AD$2&amp;Balance_Sheet[[#This Row],[Aop]],Data[],AD$1)/Jedinica,"")</f>
        <v/>
      </c>
      <c r="AE85" s="38" t="str">
        <f>IF(VLOOKUP(AE$2&amp;Balance_Sheet[[#This Row],[Aop]],Data[],1)=AE$2&amp;Balance_Sheet[[#This Row],[Aop]],VLOOKUP(AE$2&amp;Balance_Sheet[[#This Row],[Aop]],Data[],AE$1)/Jedinica,"")</f>
        <v/>
      </c>
      <c r="AF85" s="38" t="str">
        <f>IF(VLOOKUP(AF$2&amp;Balance_Sheet[[#This Row],[Aop]],Data[],1)=AF$2&amp;Balance_Sheet[[#This Row],[Aop]],VLOOKUP(AF$2&amp;Balance_Sheet[[#This Row],[Aop]],Data[],AF$1)/Jedinica,"")</f>
        <v/>
      </c>
    </row>
    <row r="86" spans="1:32" ht="12.75" customHeight="1" x14ac:dyDescent="0.2">
      <c r="A86" s="74">
        <v>81</v>
      </c>
      <c r="B86" s="75">
        <v>3</v>
      </c>
      <c r="C86" s="38" t="str">
        <f>VLOOKUP(Balance_Sheet[[#This Row],[No]],AOP_Balance,3,0)</f>
        <v>129</v>
      </c>
      <c r="D86" s="52" t="str">
        <f>VLOOKUP(Balance_Sheet[[#This Row],[No]],AOP_Balance,7,0)</f>
        <v xml:space="preserve">      v) Emisiona premija</v>
      </c>
      <c r="E86" s="38" t="str">
        <f>IF(VLOOKUP(E$2&amp;Balance_Sheet[[#This Row],[Aop]],Data[],1)=E$2&amp;Balance_Sheet[[#This Row],[Aop]],VLOOKUP(E$2&amp;Balance_Sheet[[#This Row],[Aop]],Data[],E$1)/Jedinica,"")</f>
        <v/>
      </c>
      <c r="F86" s="38" t="str">
        <f>IF(VLOOKUP(F$2&amp;Balance_Sheet[[#This Row],[Aop]],Data[],1)=F$2&amp;Balance_Sheet[[#This Row],[Aop]],VLOOKUP(F$2&amp;Balance_Sheet[[#This Row],[Aop]],Data[],F$1)/Jedinica,"")</f>
        <v/>
      </c>
      <c r="G86" s="38" t="str">
        <f>IF(VLOOKUP(G$2&amp;Balance_Sheet[[#This Row],[Aop]],Data[],1)=G$2&amp;Balance_Sheet[[#This Row],[Aop]],VLOOKUP(G$2&amp;Balance_Sheet[[#This Row],[Aop]],Data[],G$1)/Jedinica,"")</f>
        <v/>
      </c>
      <c r="H86" s="38" t="str">
        <f>IF(VLOOKUP(H$2&amp;Balance_Sheet[[#This Row],[Aop]],Data[],1)=H$2&amp;Balance_Sheet[[#This Row],[Aop]],VLOOKUP(H$2&amp;Balance_Sheet[[#This Row],[Aop]],Data[],H$1)/Jedinica,"")</f>
        <v/>
      </c>
      <c r="I86" s="38" t="str">
        <f>IF(VLOOKUP(I$2&amp;Balance_Sheet[[#This Row],[Aop]],Data[],1)=I$2&amp;Balance_Sheet[[#This Row],[Aop]],VLOOKUP(I$2&amp;Balance_Sheet[[#This Row],[Aop]],Data[],I$1)/Jedinica,"")</f>
        <v/>
      </c>
      <c r="J86" s="38" t="str">
        <f>IF(VLOOKUP(J$2&amp;Balance_Sheet[[#This Row],[Aop]],Data[],1)=J$2&amp;Balance_Sheet[[#This Row],[Aop]],VLOOKUP(J$2&amp;Balance_Sheet[[#This Row],[Aop]],Data[],J$1)/Jedinica,"")</f>
        <v/>
      </c>
      <c r="K86" s="38" t="str">
        <f>IF(VLOOKUP(K$2&amp;Balance_Sheet[[#This Row],[Aop]],Data[],1)=K$2&amp;Balance_Sheet[[#This Row],[Aop]],VLOOKUP(K$2&amp;Balance_Sheet[[#This Row],[Aop]],Data[],K$1)/Jedinica,"")</f>
        <v/>
      </c>
      <c r="L86" s="38" t="str">
        <f>IF(VLOOKUP(L$2&amp;Balance_Sheet[[#This Row],[Aop]],Data[],1)=L$2&amp;Balance_Sheet[[#This Row],[Aop]],VLOOKUP(L$2&amp;Balance_Sheet[[#This Row],[Aop]],Data[],L$1)/Jedinica,"")</f>
        <v/>
      </c>
      <c r="M86" s="38" t="str">
        <f>IF(VLOOKUP(M$2&amp;Balance_Sheet[[#This Row],[Aop]],Data[],1)=M$2&amp;Balance_Sheet[[#This Row],[Aop]],VLOOKUP(M$2&amp;Balance_Sheet[[#This Row],[Aop]],Data[],M$1)/Jedinica,"")</f>
        <v/>
      </c>
      <c r="N86" s="38" t="str">
        <f>IF(VLOOKUP(N$2&amp;Balance_Sheet[[#This Row],[Aop]],Data[],1)=N$2&amp;Balance_Sheet[[#This Row],[Aop]],VLOOKUP(N$2&amp;Balance_Sheet[[#This Row],[Aop]],Data[],N$1)/Jedinica,"")</f>
        <v/>
      </c>
      <c r="O86" s="38" t="str">
        <f>IF(VLOOKUP(O$2&amp;Balance_Sheet[[#This Row],[Aop]],Data[],1)=O$2&amp;Balance_Sheet[[#This Row],[Aop]],VLOOKUP(O$2&amp;Balance_Sheet[[#This Row],[Aop]],Data[],O$1)/Jedinica,"")</f>
        <v/>
      </c>
      <c r="P86" s="38" t="str">
        <f>IF(VLOOKUP(P$2&amp;Balance_Sheet[[#This Row],[Aop]],Data[],1)=P$2&amp;Balance_Sheet[[#This Row],[Aop]],VLOOKUP(P$2&amp;Balance_Sheet[[#This Row],[Aop]],Data[],P$1)/Jedinica,"")</f>
        <v/>
      </c>
      <c r="Q86" s="38" t="str">
        <f>IF(VLOOKUP(Q$2&amp;Balance_Sheet[[#This Row],[Aop]],Data[],1)=Q$2&amp;Balance_Sheet[[#This Row],[Aop]],VLOOKUP(Q$2&amp;Balance_Sheet[[#This Row],[Aop]],Data[],Q$1)/Jedinica,"")</f>
        <v/>
      </c>
      <c r="R86" s="38" t="str">
        <f>IF(VLOOKUP(R$2&amp;Balance_Sheet[[#This Row],[Aop]],Data[],1)=R$2&amp;Balance_Sheet[[#This Row],[Aop]],VLOOKUP(R$2&amp;Balance_Sheet[[#This Row],[Aop]],Data[],R$1)/Jedinica,"")</f>
        <v/>
      </c>
      <c r="S86" s="38" t="str">
        <f>IF(VLOOKUP(S$2&amp;Balance_Sheet[[#This Row],[Aop]],Data[],1)=S$2&amp;Balance_Sheet[[#This Row],[Aop]],VLOOKUP(S$2&amp;Balance_Sheet[[#This Row],[Aop]],Data[],S$1)/Jedinica,"")</f>
        <v/>
      </c>
      <c r="T86" s="38" t="str">
        <f>IF(VLOOKUP(T$2&amp;Balance_Sheet[[#This Row],[Aop]],Data[],1)=T$2&amp;Balance_Sheet[[#This Row],[Aop]],VLOOKUP(T$2&amp;Balance_Sheet[[#This Row],[Aop]],Data[],T$1)/Jedinica,"")</f>
        <v/>
      </c>
      <c r="U86" s="38">
        <f>IF(VLOOKUP(U$2&amp;Balance_Sheet[[#This Row],[Aop]],Data[],1)=U$2&amp;Balance_Sheet[[#This Row],[Aop]],VLOOKUP(U$2&amp;Balance_Sheet[[#This Row],[Aop]],Data[],U$1)/Jedinica,"")</f>
        <v>0</v>
      </c>
      <c r="V86" s="38">
        <f>IF(VLOOKUP(V$2&amp;Balance_Sheet[[#This Row],[Aop]],Data[],1)=V$2&amp;Balance_Sheet[[#This Row],[Aop]],VLOOKUP(V$2&amp;Balance_Sheet[[#This Row],[Aop]],Data[],V$1)/Jedinica,"")</f>
        <v>0</v>
      </c>
      <c r="W86" s="38">
        <f>IF(VLOOKUP(W$2&amp;Balance_Sheet[[#This Row],[Aop]],Data[],1)=W$2&amp;Balance_Sheet[[#This Row],[Aop]],VLOOKUP(W$2&amp;Balance_Sheet[[#This Row],[Aop]],Data[],W$1)/Jedinica,"")</f>
        <v>372649</v>
      </c>
      <c r="X86" s="38">
        <f>IF(VLOOKUP(X$2&amp;Balance_Sheet[[#This Row],[Aop]],Data[],1)=X$2&amp;Balance_Sheet[[#This Row],[Aop]],VLOOKUP(X$2&amp;Balance_Sheet[[#This Row],[Aop]],Data[],X$1)/Jedinica,"")</f>
        <v>372649</v>
      </c>
      <c r="Y86" s="38" t="str">
        <f>IF(VLOOKUP(Y$2&amp;Balance_Sheet[[#This Row],[Aop]],Data[],1)=Y$2&amp;Balance_Sheet[[#This Row],[Aop]],VLOOKUP(Y$2&amp;Balance_Sheet[[#This Row],[Aop]],Data[],Y$1)/Jedinica,"")</f>
        <v/>
      </c>
      <c r="Z86" s="38" t="str">
        <f>IF(VLOOKUP(Z$2&amp;Balance_Sheet[[#This Row],[Aop]],Data[],1)=Z$2&amp;Balance_Sheet[[#This Row],[Aop]],VLOOKUP(Z$2&amp;Balance_Sheet[[#This Row],[Aop]],Data[],Z$1)/Jedinica,"")</f>
        <v/>
      </c>
      <c r="AA86" s="38" t="str">
        <f>IF(VLOOKUP(AA$2&amp;Balance_Sheet[[#This Row],[Aop]],Data[],1)=AA$2&amp;Balance_Sheet[[#This Row],[Aop]],VLOOKUP(AA$2&amp;Balance_Sheet[[#This Row],[Aop]],Data[],AA$1)/Jedinica,"")</f>
        <v/>
      </c>
      <c r="AB86" s="38" t="str">
        <f>IF(VLOOKUP(AB$2&amp;Balance_Sheet[[#This Row],[Aop]],Data[],1)=AB$2&amp;Balance_Sheet[[#This Row],[Aop]],VLOOKUP(AB$2&amp;Balance_Sheet[[#This Row],[Aop]],Data[],AB$1)/Jedinica,"")</f>
        <v/>
      </c>
      <c r="AC86" s="38">
        <f>IF(VLOOKUP(AC$2&amp;Balance_Sheet[[#This Row],[Aop]],Data[],1)=AC$2&amp;Balance_Sheet[[#This Row],[Aop]],VLOOKUP(AC$2&amp;Balance_Sheet[[#This Row],[Aop]],Data[],AC$1)/Jedinica,"")</f>
        <v>0</v>
      </c>
      <c r="AD86" s="38">
        <f>IF(VLOOKUP(AD$2&amp;Balance_Sheet[[#This Row],[Aop]],Data[],1)=AD$2&amp;Balance_Sheet[[#This Row],[Aop]],VLOOKUP(AD$2&amp;Balance_Sheet[[#This Row],[Aop]],Data[],AD$1)/Jedinica,"")</f>
        <v>0</v>
      </c>
      <c r="AE86" s="38">
        <f>IF(VLOOKUP(AE$2&amp;Balance_Sheet[[#This Row],[Aop]],Data[],1)=AE$2&amp;Balance_Sheet[[#This Row],[Aop]],VLOOKUP(AE$2&amp;Balance_Sheet[[#This Row],[Aop]],Data[],AE$1)/Jedinica,"")</f>
        <v>156780</v>
      </c>
      <c r="AF86" s="38">
        <f>IF(VLOOKUP(AF$2&amp;Balance_Sheet[[#This Row],[Aop]],Data[],1)=AF$2&amp;Balance_Sheet[[#This Row],[Aop]],VLOOKUP(AF$2&amp;Balance_Sheet[[#This Row],[Aop]],Data[],AF$1)/Jedinica,"")</f>
        <v>156780</v>
      </c>
    </row>
    <row r="87" spans="1:32" ht="12.75" customHeight="1" x14ac:dyDescent="0.2">
      <c r="A87" s="74">
        <v>82</v>
      </c>
      <c r="B87" s="75">
        <v>3</v>
      </c>
      <c r="C87" s="38" t="str">
        <f>VLOOKUP(Balance_Sheet[[#This Row],[No]],AOP_Balance,3,0)</f>
        <v>130</v>
      </c>
      <c r="D87" s="52" t="str">
        <f>VLOOKUP(Balance_Sheet[[#This Row],[No]],AOP_Balance,7,0)</f>
        <v xml:space="preserve">      g) Upisani a neuplaćeni akcijski kapital</v>
      </c>
      <c r="E87" s="38" t="str">
        <f>IF(VLOOKUP(E$2&amp;Balance_Sheet[[#This Row],[Aop]],Data[],1)=E$2&amp;Balance_Sheet[[#This Row],[Aop]],VLOOKUP(E$2&amp;Balance_Sheet[[#This Row],[Aop]],Data[],E$1)/Jedinica,"")</f>
        <v/>
      </c>
      <c r="F87" s="38" t="str">
        <f>IF(VLOOKUP(F$2&amp;Balance_Sheet[[#This Row],[Aop]],Data[],1)=F$2&amp;Balance_Sheet[[#This Row],[Aop]],VLOOKUP(F$2&amp;Balance_Sheet[[#This Row],[Aop]],Data[],F$1)/Jedinica,"")</f>
        <v/>
      </c>
      <c r="G87" s="38" t="str">
        <f>IF(VLOOKUP(G$2&amp;Balance_Sheet[[#This Row],[Aop]],Data[],1)=G$2&amp;Balance_Sheet[[#This Row],[Aop]],VLOOKUP(G$2&amp;Balance_Sheet[[#This Row],[Aop]],Data[],G$1)/Jedinica,"")</f>
        <v/>
      </c>
      <c r="H87" s="38" t="str">
        <f>IF(VLOOKUP(H$2&amp;Balance_Sheet[[#This Row],[Aop]],Data[],1)=H$2&amp;Balance_Sheet[[#This Row],[Aop]],VLOOKUP(H$2&amp;Balance_Sheet[[#This Row],[Aop]],Data[],H$1)/Jedinica,"")</f>
        <v/>
      </c>
      <c r="I87" s="38" t="str">
        <f>IF(VLOOKUP(I$2&amp;Balance_Sheet[[#This Row],[Aop]],Data[],1)=I$2&amp;Balance_Sheet[[#This Row],[Aop]],VLOOKUP(I$2&amp;Balance_Sheet[[#This Row],[Aop]],Data[],I$1)/Jedinica,"")</f>
        <v/>
      </c>
      <c r="J87" s="38" t="str">
        <f>IF(VLOOKUP(J$2&amp;Balance_Sheet[[#This Row],[Aop]],Data[],1)=J$2&amp;Balance_Sheet[[#This Row],[Aop]],VLOOKUP(J$2&amp;Balance_Sheet[[#This Row],[Aop]],Data[],J$1)/Jedinica,"")</f>
        <v/>
      </c>
      <c r="K87" s="38" t="str">
        <f>IF(VLOOKUP(K$2&amp;Balance_Sheet[[#This Row],[Aop]],Data[],1)=K$2&amp;Balance_Sheet[[#This Row],[Aop]],VLOOKUP(K$2&amp;Balance_Sheet[[#This Row],[Aop]],Data[],K$1)/Jedinica,"")</f>
        <v/>
      </c>
      <c r="L87" s="38" t="str">
        <f>IF(VLOOKUP(L$2&amp;Balance_Sheet[[#This Row],[Aop]],Data[],1)=L$2&amp;Balance_Sheet[[#This Row],[Aop]],VLOOKUP(L$2&amp;Balance_Sheet[[#This Row],[Aop]],Data[],L$1)/Jedinica,"")</f>
        <v/>
      </c>
      <c r="M87" s="38" t="str">
        <f>IF(VLOOKUP(M$2&amp;Balance_Sheet[[#This Row],[Aop]],Data[],1)=M$2&amp;Balance_Sheet[[#This Row],[Aop]],VLOOKUP(M$2&amp;Balance_Sheet[[#This Row],[Aop]],Data[],M$1)/Jedinica,"")</f>
        <v/>
      </c>
      <c r="N87" s="38" t="str">
        <f>IF(VLOOKUP(N$2&amp;Balance_Sheet[[#This Row],[Aop]],Data[],1)=N$2&amp;Balance_Sheet[[#This Row],[Aop]],VLOOKUP(N$2&amp;Balance_Sheet[[#This Row],[Aop]],Data[],N$1)/Jedinica,"")</f>
        <v/>
      </c>
      <c r="O87" s="38" t="str">
        <f>IF(VLOOKUP(O$2&amp;Balance_Sheet[[#This Row],[Aop]],Data[],1)=O$2&amp;Balance_Sheet[[#This Row],[Aop]],VLOOKUP(O$2&amp;Balance_Sheet[[#This Row],[Aop]],Data[],O$1)/Jedinica,"")</f>
        <v/>
      </c>
      <c r="P87" s="38" t="str">
        <f>IF(VLOOKUP(P$2&amp;Balance_Sheet[[#This Row],[Aop]],Data[],1)=P$2&amp;Balance_Sheet[[#This Row],[Aop]],VLOOKUP(P$2&amp;Balance_Sheet[[#This Row],[Aop]],Data[],P$1)/Jedinica,"")</f>
        <v/>
      </c>
      <c r="Q87" s="38" t="str">
        <f>IF(VLOOKUP(Q$2&amp;Balance_Sheet[[#This Row],[Aop]],Data[],1)=Q$2&amp;Balance_Sheet[[#This Row],[Aop]],VLOOKUP(Q$2&amp;Balance_Sheet[[#This Row],[Aop]],Data[],Q$1)/Jedinica,"")</f>
        <v/>
      </c>
      <c r="R87" s="38" t="str">
        <f>IF(VLOOKUP(R$2&amp;Balance_Sheet[[#This Row],[Aop]],Data[],1)=R$2&amp;Balance_Sheet[[#This Row],[Aop]],VLOOKUP(R$2&amp;Balance_Sheet[[#This Row],[Aop]],Data[],R$1)/Jedinica,"")</f>
        <v/>
      </c>
      <c r="S87" s="38" t="str">
        <f>IF(VLOOKUP(S$2&amp;Balance_Sheet[[#This Row],[Aop]],Data[],1)=S$2&amp;Balance_Sheet[[#This Row],[Aop]],VLOOKUP(S$2&amp;Balance_Sheet[[#This Row],[Aop]],Data[],S$1)/Jedinica,"")</f>
        <v/>
      </c>
      <c r="T87" s="38" t="str">
        <f>IF(VLOOKUP(T$2&amp;Balance_Sheet[[#This Row],[Aop]],Data[],1)=T$2&amp;Balance_Sheet[[#This Row],[Aop]],VLOOKUP(T$2&amp;Balance_Sheet[[#This Row],[Aop]],Data[],T$1)/Jedinica,"")</f>
        <v/>
      </c>
      <c r="U87" s="38" t="str">
        <f>IF(VLOOKUP(U$2&amp;Balance_Sheet[[#This Row],[Aop]],Data[],1)=U$2&amp;Balance_Sheet[[#This Row],[Aop]],VLOOKUP(U$2&amp;Balance_Sheet[[#This Row],[Aop]],Data[],U$1)/Jedinica,"")</f>
        <v/>
      </c>
      <c r="V87" s="38" t="str">
        <f>IF(VLOOKUP(V$2&amp;Balance_Sheet[[#This Row],[Aop]],Data[],1)=V$2&amp;Balance_Sheet[[#This Row],[Aop]],VLOOKUP(V$2&amp;Balance_Sheet[[#This Row],[Aop]],Data[],V$1)/Jedinica,"")</f>
        <v/>
      </c>
      <c r="W87" s="38" t="str">
        <f>IF(VLOOKUP(W$2&amp;Balance_Sheet[[#This Row],[Aop]],Data[],1)=W$2&amp;Balance_Sheet[[#This Row],[Aop]],VLOOKUP(W$2&amp;Balance_Sheet[[#This Row],[Aop]],Data[],W$1)/Jedinica,"")</f>
        <v/>
      </c>
      <c r="X87" s="38" t="str">
        <f>IF(VLOOKUP(X$2&amp;Balance_Sheet[[#This Row],[Aop]],Data[],1)=X$2&amp;Balance_Sheet[[#This Row],[Aop]],VLOOKUP(X$2&amp;Balance_Sheet[[#This Row],[Aop]],Data[],X$1)/Jedinica,"")</f>
        <v/>
      </c>
      <c r="Y87" s="38" t="str">
        <f>IF(VLOOKUP(Y$2&amp;Balance_Sheet[[#This Row],[Aop]],Data[],1)=Y$2&amp;Balance_Sheet[[#This Row],[Aop]],VLOOKUP(Y$2&amp;Balance_Sheet[[#This Row],[Aop]],Data[],Y$1)/Jedinica,"")</f>
        <v/>
      </c>
      <c r="Z87" s="38" t="str">
        <f>IF(VLOOKUP(Z$2&amp;Balance_Sheet[[#This Row],[Aop]],Data[],1)=Z$2&amp;Balance_Sheet[[#This Row],[Aop]],VLOOKUP(Z$2&amp;Balance_Sheet[[#This Row],[Aop]],Data[],Z$1)/Jedinica,"")</f>
        <v/>
      </c>
      <c r="AA87" s="38" t="str">
        <f>IF(VLOOKUP(AA$2&amp;Balance_Sheet[[#This Row],[Aop]],Data[],1)=AA$2&amp;Balance_Sheet[[#This Row],[Aop]],VLOOKUP(AA$2&amp;Balance_Sheet[[#This Row],[Aop]],Data[],AA$1)/Jedinica,"")</f>
        <v/>
      </c>
      <c r="AB87" s="38" t="str">
        <f>IF(VLOOKUP(AB$2&amp;Balance_Sheet[[#This Row],[Aop]],Data[],1)=AB$2&amp;Balance_Sheet[[#This Row],[Aop]],VLOOKUP(AB$2&amp;Balance_Sheet[[#This Row],[Aop]],Data[],AB$1)/Jedinica,"")</f>
        <v/>
      </c>
      <c r="AC87" s="38" t="str">
        <f>IF(VLOOKUP(AC$2&amp;Balance_Sheet[[#This Row],[Aop]],Data[],1)=AC$2&amp;Balance_Sheet[[#This Row],[Aop]],VLOOKUP(AC$2&amp;Balance_Sheet[[#This Row],[Aop]],Data[],AC$1)/Jedinica,"")</f>
        <v/>
      </c>
      <c r="AD87" s="38" t="str">
        <f>IF(VLOOKUP(AD$2&amp;Balance_Sheet[[#This Row],[Aop]],Data[],1)=AD$2&amp;Balance_Sheet[[#This Row],[Aop]],VLOOKUP(AD$2&amp;Balance_Sheet[[#This Row],[Aop]],Data[],AD$1)/Jedinica,"")</f>
        <v/>
      </c>
      <c r="AE87" s="38" t="str">
        <f>IF(VLOOKUP(AE$2&amp;Balance_Sheet[[#This Row],[Aop]],Data[],1)=AE$2&amp;Balance_Sheet[[#This Row],[Aop]],VLOOKUP(AE$2&amp;Balance_Sheet[[#This Row],[Aop]],Data[],AE$1)/Jedinica,"")</f>
        <v/>
      </c>
      <c r="AF87" s="38" t="str">
        <f>IF(VLOOKUP(AF$2&amp;Balance_Sheet[[#This Row],[Aop]],Data[],1)=AF$2&amp;Balance_Sheet[[#This Row],[Aop]],VLOOKUP(AF$2&amp;Balance_Sheet[[#This Row],[Aop]],Data[],AF$1)/Jedinica,"")</f>
        <v/>
      </c>
    </row>
    <row r="88" spans="1:32" ht="12.75" customHeight="1" x14ac:dyDescent="0.2">
      <c r="A88" s="74">
        <v>83</v>
      </c>
      <c r="B88" s="75">
        <v>3</v>
      </c>
      <c r="C88" s="38" t="str">
        <f>VLOOKUP(Balance_Sheet[[#This Row],[No]],AOP_Balance,3,0)</f>
        <v>131</v>
      </c>
      <c r="D88" s="52" t="str">
        <f>VLOOKUP(Balance_Sheet[[#This Row],[No]],AOP_Balance,7,0)</f>
        <v xml:space="preserve">      d) Otkupljene sopstvene akcije</v>
      </c>
      <c r="E88" s="38" t="str">
        <f>IF(VLOOKUP(E$2&amp;Balance_Sheet[[#This Row],[Aop]],Data[],1)=E$2&amp;Balance_Sheet[[#This Row],[Aop]],VLOOKUP(E$2&amp;Balance_Sheet[[#This Row],[Aop]],Data[],E$1)/Jedinica,"")</f>
        <v/>
      </c>
      <c r="F88" s="38" t="str">
        <f>IF(VLOOKUP(F$2&amp;Balance_Sheet[[#This Row],[Aop]],Data[],1)=F$2&amp;Balance_Sheet[[#This Row],[Aop]],VLOOKUP(F$2&amp;Balance_Sheet[[#This Row],[Aop]],Data[],F$1)/Jedinica,"")</f>
        <v/>
      </c>
      <c r="G88" s="38" t="str">
        <f>IF(VLOOKUP(G$2&amp;Balance_Sheet[[#This Row],[Aop]],Data[],1)=G$2&amp;Balance_Sheet[[#This Row],[Aop]],VLOOKUP(G$2&amp;Balance_Sheet[[#This Row],[Aop]],Data[],G$1)/Jedinica,"")</f>
        <v/>
      </c>
      <c r="H88" s="38" t="str">
        <f>IF(VLOOKUP(H$2&amp;Balance_Sheet[[#This Row],[Aop]],Data[],1)=H$2&amp;Balance_Sheet[[#This Row],[Aop]],VLOOKUP(H$2&amp;Balance_Sheet[[#This Row],[Aop]],Data[],H$1)/Jedinica,"")</f>
        <v/>
      </c>
      <c r="I88" s="38" t="str">
        <f>IF(VLOOKUP(I$2&amp;Balance_Sheet[[#This Row],[Aop]],Data[],1)=I$2&amp;Balance_Sheet[[#This Row],[Aop]],VLOOKUP(I$2&amp;Balance_Sheet[[#This Row],[Aop]],Data[],I$1)/Jedinica,"")</f>
        <v/>
      </c>
      <c r="J88" s="38" t="str">
        <f>IF(VLOOKUP(J$2&amp;Balance_Sheet[[#This Row],[Aop]],Data[],1)=J$2&amp;Balance_Sheet[[#This Row],[Aop]],VLOOKUP(J$2&amp;Balance_Sheet[[#This Row],[Aop]],Data[],J$1)/Jedinica,"")</f>
        <v/>
      </c>
      <c r="K88" s="38" t="str">
        <f>IF(VLOOKUP(K$2&amp;Balance_Sheet[[#This Row],[Aop]],Data[],1)=K$2&amp;Balance_Sheet[[#This Row],[Aop]],VLOOKUP(K$2&amp;Balance_Sheet[[#This Row],[Aop]],Data[],K$1)/Jedinica,"")</f>
        <v/>
      </c>
      <c r="L88" s="38" t="str">
        <f>IF(VLOOKUP(L$2&amp;Balance_Sheet[[#This Row],[Aop]],Data[],1)=L$2&amp;Balance_Sheet[[#This Row],[Aop]],VLOOKUP(L$2&amp;Balance_Sheet[[#This Row],[Aop]],Data[],L$1)/Jedinica,"")</f>
        <v/>
      </c>
      <c r="M88" s="38" t="str">
        <f>IF(VLOOKUP(M$2&amp;Balance_Sheet[[#This Row],[Aop]],Data[],1)=M$2&amp;Balance_Sheet[[#This Row],[Aop]],VLOOKUP(M$2&amp;Balance_Sheet[[#This Row],[Aop]],Data[],M$1)/Jedinica,"")</f>
        <v/>
      </c>
      <c r="N88" s="38" t="str">
        <f>IF(VLOOKUP(N$2&amp;Balance_Sheet[[#This Row],[Aop]],Data[],1)=N$2&amp;Balance_Sheet[[#This Row],[Aop]],VLOOKUP(N$2&amp;Balance_Sheet[[#This Row],[Aop]],Data[],N$1)/Jedinica,"")</f>
        <v/>
      </c>
      <c r="O88" s="38" t="str">
        <f>IF(VLOOKUP(O$2&amp;Balance_Sheet[[#This Row],[Aop]],Data[],1)=O$2&amp;Balance_Sheet[[#This Row],[Aop]],VLOOKUP(O$2&amp;Balance_Sheet[[#This Row],[Aop]],Data[],O$1)/Jedinica,"")</f>
        <v/>
      </c>
      <c r="P88" s="38" t="str">
        <f>IF(VLOOKUP(P$2&amp;Balance_Sheet[[#This Row],[Aop]],Data[],1)=P$2&amp;Balance_Sheet[[#This Row],[Aop]],VLOOKUP(P$2&amp;Balance_Sheet[[#This Row],[Aop]],Data[],P$1)/Jedinica,"")</f>
        <v/>
      </c>
      <c r="Q88" s="38" t="str">
        <f>IF(VLOOKUP(Q$2&amp;Balance_Sheet[[#This Row],[Aop]],Data[],1)=Q$2&amp;Balance_Sheet[[#This Row],[Aop]],VLOOKUP(Q$2&amp;Balance_Sheet[[#This Row],[Aop]],Data[],Q$1)/Jedinica,"")</f>
        <v/>
      </c>
      <c r="R88" s="38" t="str">
        <f>IF(VLOOKUP(R$2&amp;Balance_Sheet[[#This Row],[Aop]],Data[],1)=R$2&amp;Balance_Sheet[[#This Row],[Aop]],VLOOKUP(R$2&amp;Balance_Sheet[[#This Row],[Aop]],Data[],R$1)/Jedinica,"")</f>
        <v/>
      </c>
      <c r="S88" s="38" t="str">
        <f>IF(VLOOKUP(S$2&amp;Balance_Sheet[[#This Row],[Aop]],Data[],1)=S$2&amp;Balance_Sheet[[#This Row],[Aop]],VLOOKUP(S$2&amp;Balance_Sheet[[#This Row],[Aop]],Data[],S$1)/Jedinica,"")</f>
        <v/>
      </c>
      <c r="T88" s="38" t="str">
        <f>IF(VLOOKUP(T$2&amp;Balance_Sheet[[#This Row],[Aop]],Data[],1)=T$2&amp;Balance_Sheet[[#This Row],[Aop]],VLOOKUP(T$2&amp;Balance_Sheet[[#This Row],[Aop]],Data[],T$1)/Jedinica,"")</f>
        <v/>
      </c>
      <c r="U88" s="38" t="str">
        <f>IF(VLOOKUP(U$2&amp;Balance_Sheet[[#This Row],[Aop]],Data[],1)=U$2&amp;Balance_Sheet[[#This Row],[Aop]],VLOOKUP(U$2&amp;Balance_Sheet[[#This Row],[Aop]],Data[],U$1)/Jedinica,"")</f>
        <v/>
      </c>
      <c r="V88" s="38" t="str">
        <f>IF(VLOOKUP(V$2&amp;Balance_Sheet[[#This Row],[Aop]],Data[],1)=V$2&amp;Balance_Sheet[[#This Row],[Aop]],VLOOKUP(V$2&amp;Balance_Sheet[[#This Row],[Aop]],Data[],V$1)/Jedinica,"")</f>
        <v/>
      </c>
      <c r="W88" s="38" t="str">
        <f>IF(VLOOKUP(W$2&amp;Balance_Sheet[[#This Row],[Aop]],Data[],1)=W$2&amp;Balance_Sheet[[#This Row],[Aop]],VLOOKUP(W$2&amp;Balance_Sheet[[#This Row],[Aop]],Data[],W$1)/Jedinica,"")</f>
        <v/>
      </c>
      <c r="X88" s="38" t="str">
        <f>IF(VLOOKUP(X$2&amp;Balance_Sheet[[#This Row],[Aop]],Data[],1)=X$2&amp;Balance_Sheet[[#This Row],[Aop]],VLOOKUP(X$2&amp;Balance_Sheet[[#This Row],[Aop]],Data[],X$1)/Jedinica,"")</f>
        <v/>
      </c>
      <c r="Y88" s="38" t="str">
        <f>IF(VLOOKUP(Y$2&amp;Balance_Sheet[[#This Row],[Aop]],Data[],1)=Y$2&amp;Balance_Sheet[[#This Row],[Aop]],VLOOKUP(Y$2&amp;Balance_Sheet[[#This Row],[Aop]],Data[],Y$1)/Jedinica,"")</f>
        <v/>
      </c>
      <c r="Z88" s="38" t="str">
        <f>IF(VLOOKUP(Z$2&amp;Balance_Sheet[[#This Row],[Aop]],Data[],1)=Z$2&amp;Balance_Sheet[[#This Row],[Aop]],VLOOKUP(Z$2&amp;Balance_Sheet[[#This Row],[Aop]],Data[],Z$1)/Jedinica,"")</f>
        <v/>
      </c>
      <c r="AA88" s="38" t="str">
        <f>IF(VLOOKUP(AA$2&amp;Balance_Sheet[[#This Row],[Aop]],Data[],1)=AA$2&amp;Balance_Sheet[[#This Row],[Aop]],VLOOKUP(AA$2&amp;Balance_Sheet[[#This Row],[Aop]],Data[],AA$1)/Jedinica,"")</f>
        <v/>
      </c>
      <c r="AB88" s="38" t="str">
        <f>IF(VLOOKUP(AB$2&amp;Balance_Sheet[[#This Row],[Aop]],Data[],1)=AB$2&amp;Balance_Sheet[[#This Row],[Aop]],VLOOKUP(AB$2&amp;Balance_Sheet[[#This Row],[Aop]],Data[],AB$1)/Jedinica,"")</f>
        <v/>
      </c>
      <c r="AC88" s="38" t="str">
        <f>IF(VLOOKUP(AC$2&amp;Balance_Sheet[[#This Row],[Aop]],Data[],1)=AC$2&amp;Balance_Sheet[[#This Row],[Aop]],VLOOKUP(AC$2&amp;Balance_Sheet[[#This Row],[Aop]],Data[],AC$1)/Jedinica,"")</f>
        <v/>
      </c>
      <c r="AD88" s="38" t="str">
        <f>IF(VLOOKUP(AD$2&amp;Balance_Sheet[[#This Row],[Aop]],Data[],1)=AD$2&amp;Balance_Sheet[[#This Row],[Aop]],VLOOKUP(AD$2&amp;Balance_Sheet[[#This Row],[Aop]],Data[],AD$1)/Jedinica,"")</f>
        <v/>
      </c>
      <c r="AE88" s="38" t="str">
        <f>IF(VLOOKUP(AE$2&amp;Balance_Sheet[[#This Row],[Aop]],Data[],1)=AE$2&amp;Balance_Sheet[[#This Row],[Aop]],VLOOKUP(AE$2&amp;Balance_Sheet[[#This Row],[Aop]],Data[],AE$1)/Jedinica,"")</f>
        <v/>
      </c>
      <c r="AF88" s="38" t="str">
        <f>IF(VLOOKUP(AF$2&amp;Balance_Sheet[[#This Row],[Aop]],Data[],1)=AF$2&amp;Balance_Sheet[[#This Row],[Aop]],VLOOKUP(AF$2&amp;Balance_Sheet[[#This Row],[Aop]],Data[],AF$1)/Jedinica,"")</f>
        <v/>
      </c>
    </row>
    <row r="89" spans="1:32" ht="12.75" customHeight="1" x14ac:dyDescent="0.2">
      <c r="A89" s="74">
        <v>84</v>
      </c>
      <c r="B89" s="75">
        <v>2</v>
      </c>
      <c r="C89" s="38" t="str">
        <f>VLOOKUP(Balance_Sheet[[#This Row],[No]],AOP_Balance,3,0)</f>
        <v>132</v>
      </c>
      <c r="D89" s="52" t="str">
        <f>VLOOKUP(Balance_Sheet[[#This Row],[No]],AOP_Balance,7,0)</f>
        <v xml:space="preserve">    2. Rezerve iz dobiti i prenesene rezerve (133 do 137)</v>
      </c>
      <c r="E89" s="38">
        <f>IF(VLOOKUP(E$2&amp;Balance_Sheet[[#This Row],[Aop]],Data[],1)=E$2&amp;Balance_Sheet[[#This Row],[Aop]],VLOOKUP(E$2&amp;Balance_Sheet[[#This Row],[Aop]],Data[],E$1)/Jedinica,"")</f>
        <v>0</v>
      </c>
      <c r="F89" s="38">
        <f>IF(VLOOKUP(F$2&amp;Balance_Sheet[[#This Row],[Aop]],Data[],1)=F$2&amp;Balance_Sheet[[#This Row],[Aop]],VLOOKUP(F$2&amp;Balance_Sheet[[#This Row],[Aop]],Data[],F$1)/Jedinica,"")</f>
        <v>0</v>
      </c>
      <c r="G89" s="38">
        <f>IF(VLOOKUP(G$2&amp;Balance_Sheet[[#This Row],[Aop]],Data[],1)=G$2&amp;Balance_Sheet[[#This Row],[Aop]],VLOOKUP(G$2&amp;Balance_Sheet[[#This Row],[Aop]],Data[],G$1)/Jedinica,"")</f>
        <v>3331484</v>
      </c>
      <c r="H89" s="38">
        <f>IF(VLOOKUP(H$2&amp;Balance_Sheet[[#This Row],[Aop]],Data[],1)=H$2&amp;Balance_Sheet[[#This Row],[Aop]],VLOOKUP(H$2&amp;Balance_Sheet[[#This Row],[Aop]],Data[],H$1)/Jedinica,"")</f>
        <v>2959287</v>
      </c>
      <c r="I89" s="38">
        <f>IF(VLOOKUP(I$2&amp;Balance_Sheet[[#This Row],[Aop]],Data[],1)=I$2&amp;Balance_Sheet[[#This Row],[Aop]],VLOOKUP(I$2&amp;Balance_Sheet[[#This Row],[Aop]],Data[],I$1)/Jedinica,"")</f>
        <v>0</v>
      </c>
      <c r="J89" s="38">
        <f>IF(VLOOKUP(J$2&amp;Balance_Sheet[[#This Row],[Aop]],Data[],1)=J$2&amp;Balance_Sheet[[#This Row],[Aop]],VLOOKUP(J$2&amp;Balance_Sheet[[#This Row],[Aop]],Data[],J$1)/Jedinica,"")</f>
        <v>0</v>
      </c>
      <c r="K89" s="38">
        <f>IF(VLOOKUP(K$2&amp;Balance_Sheet[[#This Row],[Aop]],Data[],1)=K$2&amp;Balance_Sheet[[#This Row],[Aop]],VLOOKUP(K$2&amp;Balance_Sheet[[#This Row],[Aop]],Data[],K$1)/Jedinica,"")</f>
        <v>2324575</v>
      </c>
      <c r="L89" s="38">
        <f>IF(VLOOKUP(L$2&amp;Balance_Sheet[[#This Row],[Aop]],Data[],1)=L$2&amp;Balance_Sheet[[#This Row],[Aop]],VLOOKUP(L$2&amp;Balance_Sheet[[#This Row],[Aop]],Data[],L$1)/Jedinica,"")</f>
        <v>2570413</v>
      </c>
      <c r="M89" s="38">
        <f>IF(VLOOKUP(M$2&amp;Balance_Sheet[[#This Row],[Aop]],Data[],1)=M$2&amp;Balance_Sheet[[#This Row],[Aop]],VLOOKUP(M$2&amp;Balance_Sheet[[#This Row],[Aop]],Data[],M$1)/Jedinica,"")</f>
        <v>0</v>
      </c>
      <c r="N89" s="38">
        <f>IF(VLOOKUP(N$2&amp;Balance_Sheet[[#This Row],[Aop]],Data[],1)=N$2&amp;Balance_Sheet[[#This Row],[Aop]],VLOOKUP(N$2&amp;Balance_Sheet[[#This Row],[Aop]],Data[],N$1)/Jedinica,"")</f>
        <v>0</v>
      </c>
      <c r="O89" s="38">
        <f>IF(VLOOKUP(O$2&amp;Balance_Sheet[[#This Row],[Aop]],Data[],1)=O$2&amp;Balance_Sheet[[#This Row],[Aop]],VLOOKUP(O$2&amp;Balance_Sheet[[#This Row],[Aop]],Data[],O$1)/Jedinica,"")</f>
        <v>4231089</v>
      </c>
      <c r="P89" s="38">
        <f>IF(VLOOKUP(P$2&amp;Balance_Sheet[[#This Row],[Aop]],Data[],1)=P$2&amp;Balance_Sheet[[#This Row],[Aop]],VLOOKUP(P$2&amp;Balance_Sheet[[#This Row],[Aop]],Data[],P$1)/Jedinica,"")</f>
        <v>3181039</v>
      </c>
      <c r="Q89" s="38">
        <f>IF(VLOOKUP(Q$2&amp;Balance_Sheet[[#This Row],[Aop]],Data[],1)=Q$2&amp;Balance_Sheet[[#This Row],[Aop]],VLOOKUP(Q$2&amp;Balance_Sheet[[#This Row],[Aop]],Data[],Q$1)/Jedinica,"")</f>
        <v>0</v>
      </c>
      <c r="R89" s="38">
        <f>IF(VLOOKUP(R$2&amp;Balance_Sheet[[#This Row],[Aop]],Data[],1)=R$2&amp;Balance_Sheet[[#This Row],[Aop]],VLOOKUP(R$2&amp;Balance_Sheet[[#This Row],[Aop]],Data[],R$1)/Jedinica,"")</f>
        <v>0</v>
      </c>
      <c r="S89" s="38">
        <f>IF(VLOOKUP(S$2&amp;Balance_Sheet[[#This Row],[Aop]],Data[],1)=S$2&amp;Balance_Sheet[[#This Row],[Aop]],VLOOKUP(S$2&amp;Balance_Sheet[[#This Row],[Aop]],Data[],S$1)/Jedinica,"")</f>
        <v>856860</v>
      </c>
      <c r="T89" s="38">
        <f>IF(VLOOKUP(T$2&amp;Balance_Sheet[[#This Row],[Aop]],Data[],1)=T$2&amp;Balance_Sheet[[#This Row],[Aop]],VLOOKUP(T$2&amp;Balance_Sheet[[#This Row],[Aop]],Data[],T$1)/Jedinica,"")</f>
        <v>261574</v>
      </c>
      <c r="U89" s="38">
        <f>IF(VLOOKUP(U$2&amp;Balance_Sheet[[#This Row],[Aop]],Data[],1)=U$2&amp;Balance_Sheet[[#This Row],[Aop]],VLOOKUP(U$2&amp;Balance_Sheet[[#This Row],[Aop]],Data[],U$1)/Jedinica,"")</f>
        <v>0</v>
      </c>
      <c r="V89" s="38">
        <f>IF(VLOOKUP(V$2&amp;Balance_Sheet[[#This Row],[Aop]],Data[],1)=V$2&amp;Balance_Sheet[[#This Row],[Aop]],VLOOKUP(V$2&amp;Balance_Sheet[[#This Row],[Aop]],Data[],V$1)/Jedinica,"")</f>
        <v>0</v>
      </c>
      <c r="W89" s="38">
        <f>IF(VLOOKUP(W$2&amp;Balance_Sheet[[#This Row],[Aop]],Data[],1)=W$2&amp;Balance_Sheet[[#This Row],[Aop]],VLOOKUP(W$2&amp;Balance_Sheet[[#This Row],[Aop]],Data[],W$1)/Jedinica,"")</f>
        <v>17861001</v>
      </c>
      <c r="X89" s="38">
        <f>IF(VLOOKUP(X$2&amp;Balance_Sheet[[#This Row],[Aop]],Data[],1)=X$2&amp;Balance_Sheet[[#This Row],[Aop]],VLOOKUP(X$2&amp;Balance_Sheet[[#This Row],[Aop]],Data[],X$1)/Jedinica,"")</f>
        <v>14449123</v>
      </c>
      <c r="Y89" s="38">
        <f>IF(VLOOKUP(Y$2&amp;Balance_Sheet[[#This Row],[Aop]],Data[],1)=Y$2&amp;Balance_Sheet[[#This Row],[Aop]],VLOOKUP(Y$2&amp;Balance_Sheet[[#This Row],[Aop]],Data[],Y$1)/Jedinica,"")</f>
        <v>0</v>
      </c>
      <c r="Z89" s="38">
        <f>IF(VLOOKUP(Z$2&amp;Balance_Sheet[[#This Row],[Aop]],Data[],1)=Z$2&amp;Balance_Sheet[[#This Row],[Aop]],VLOOKUP(Z$2&amp;Balance_Sheet[[#This Row],[Aop]],Data[],Z$1)/Jedinica,"")</f>
        <v>0</v>
      </c>
      <c r="AA89" s="38">
        <f>IF(VLOOKUP(AA$2&amp;Balance_Sheet[[#This Row],[Aop]],Data[],1)=AA$2&amp;Balance_Sheet[[#This Row],[Aop]],VLOOKUP(AA$2&amp;Balance_Sheet[[#This Row],[Aop]],Data[],AA$1)/Jedinica,"")</f>
        <v>856860</v>
      </c>
      <c r="AB89" s="38">
        <f>IF(VLOOKUP(AB$2&amp;Balance_Sheet[[#This Row],[Aop]],Data[],1)=AB$2&amp;Balance_Sheet[[#This Row],[Aop]],VLOOKUP(AB$2&amp;Balance_Sheet[[#This Row],[Aop]],Data[],AB$1)/Jedinica,"")</f>
        <v>261574</v>
      </c>
      <c r="AC89" s="38">
        <f>IF(VLOOKUP(AC$2&amp;Balance_Sheet[[#This Row],[Aop]],Data[],1)=AC$2&amp;Balance_Sheet[[#This Row],[Aop]],VLOOKUP(AC$2&amp;Balance_Sheet[[#This Row],[Aop]],Data[],AC$1)/Jedinica,"")</f>
        <v>0</v>
      </c>
      <c r="AD89" s="38">
        <f>IF(VLOOKUP(AD$2&amp;Balance_Sheet[[#This Row],[Aop]],Data[],1)=AD$2&amp;Balance_Sheet[[#This Row],[Aop]],VLOOKUP(AD$2&amp;Balance_Sheet[[#This Row],[Aop]],Data[],AD$1)/Jedinica,"")</f>
        <v>0</v>
      </c>
      <c r="AE89" s="38">
        <f>IF(VLOOKUP(AE$2&amp;Balance_Sheet[[#This Row],[Aop]],Data[],1)=AE$2&amp;Balance_Sheet[[#This Row],[Aop]],VLOOKUP(AE$2&amp;Balance_Sheet[[#This Row],[Aop]],Data[],AE$1)/Jedinica,"")</f>
        <v>38782853</v>
      </c>
      <c r="AF89" s="38">
        <f>IF(VLOOKUP(AF$2&amp;Balance_Sheet[[#This Row],[Aop]],Data[],1)=AF$2&amp;Balance_Sheet[[#This Row],[Aop]],VLOOKUP(AF$2&amp;Balance_Sheet[[#This Row],[Aop]],Data[],AF$1)/Jedinica,"")</f>
        <v>27473294</v>
      </c>
    </row>
    <row r="90" spans="1:32" ht="12.75" customHeight="1" x14ac:dyDescent="0.2">
      <c r="A90" s="74">
        <v>85</v>
      </c>
      <c r="B90" s="75">
        <v>3</v>
      </c>
      <c r="C90" s="38" t="str">
        <f>VLOOKUP(Balance_Sheet[[#This Row],[No]],AOP_Balance,3,0)</f>
        <v>133</v>
      </c>
      <c r="D90" s="52" t="str">
        <f>VLOOKUP(Balance_Sheet[[#This Row],[No]],AOP_Balance,7,0)</f>
        <v xml:space="preserve">      a) Rezerve iz dobiti</v>
      </c>
      <c r="E90" s="38">
        <f>IF(VLOOKUP(E$2&amp;Balance_Sheet[[#This Row],[Aop]],Data[],1)=E$2&amp;Balance_Sheet[[#This Row],[Aop]],VLOOKUP(E$2&amp;Balance_Sheet[[#This Row],[Aop]],Data[],E$1)/Jedinica,"")</f>
        <v>0</v>
      </c>
      <c r="F90" s="38">
        <f>IF(VLOOKUP(F$2&amp;Balance_Sheet[[#This Row],[Aop]],Data[],1)=F$2&amp;Balance_Sheet[[#This Row],[Aop]],VLOOKUP(F$2&amp;Balance_Sheet[[#This Row],[Aop]],Data[],F$1)/Jedinica,"")</f>
        <v>0</v>
      </c>
      <c r="G90" s="38">
        <f>IF(VLOOKUP(G$2&amp;Balance_Sheet[[#This Row],[Aop]],Data[],1)=G$2&amp;Balance_Sheet[[#This Row],[Aop]],VLOOKUP(G$2&amp;Balance_Sheet[[#This Row],[Aop]],Data[],G$1)/Jedinica,"")</f>
        <v>344722</v>
      </c>
      <c r="H90" s="38">
        <f>IF(VLOOKUP(H$2&amp;Balance_Sheet[[#This Row],[Aop]],Data[],1)=H$2&amp;Balance_Sheet[[#This Row],[Aop]],VLOOKUP(H$2&amp;Balance_Sheet[[#This Row],[Aop]],Data[],H$1)/Jedinica,"")</f>
        <v>296195</v>
      </c>
      <c r="I90" s="38">
        <f>IF(VLOOKUP(I$2&amp;Balance_Sheet[[#This Row],[Aop]],Data[],1)=I$2&amp;Balance_Sheet[[#This Row],[Aop]],VLOOKUP(I$2&amp;Balance_Sheet[[#This Row],[Aop]],Data[],I$1)/Jedinica,"")</f>
        <v>0</v>
      </c>
      <c r="J90" s="38">
        <f>IF(VLOOKUP(J$2&amp;Balance_Sheet[[#This Row],[Aop]],Data[],1)=J$2&amp;Balance_Sheet[[#This Row],[Aop]],VLOOKUP(J$2&amp;Balance_Sheet[[#This Row],[Aop]],Data[],J$1)/Jedinica,"")</f>
        <v>0</v>
      </c>
      <c r="K90" s="38">
        <f>IF(VLOOKUP(K$2&amp;Balance_Sheet[[#This Row],[Aop]],Data[],1)=K$2&amp;Balance_Sheet[[#This Row],[Aop]],VLOOKUP(K$2&amp;Balance_Sheet[[#This Row],[Aop]],Data[],K$1)/Jedinica,"")</f>
        <v>1</v>
      </c>
      <c r="L90" s="38">
        <f>IF(VLOOKUP(L$2&amp;Balance_Sheet[[#This Row],[Aop]],Data[],1)=L$2&amp;Balance_Sheet[[#This Row],[Aop]],VLOOKUP(L$2&amp;Balance_Sheet[[#This Row],[Aop]],Data[],L$1)/Jedinica,"")</f>
        <v>245839</v>
      </c>
      <c r="M90" s="38" t="str">
        <f>IF(VLOOKUP(M$2&amp;Balance_Sheet[[#This Row],[Aop]],Data[],1)=M$2&amp;Balance_Sheet[[#This Row],[Aop]],VLOOKUP(M$2&amp;Balance_Sheet[[#This Row],[Aop]],Data[],M$1)/Jedinica,"")</f>
        <v/>
      </c>
      <c r="N90" s="38" t="str">
        <f>IF(VLOOKUP(N$2&amp;Balance_Sheet[[#This Row],[Aop]],Data[],1)=N$2&amp;Balance_Sheet[[#This Row],[Aop]],VLOOKUP(N$2&amp;Balance_Sheet[[#This Row],[Aop]],Data[],N$1)/Jedinica,"")</f>
        <v/>
      </c>
      <c r="O90" s="38" t="str">
        <f>IF(VLOOKUP(O$2&amp;Balance_Sheet[[#This Row],[Aop]],Data[],1)=O$2&amp;Balance_Sheet[[#This Row],[Aop]],VLOOKUP(O$2&amp;Balance_Sheet[[#This Row],[Aop]],Data[],O$1)/Jedinica,"")</f>
        <v/>
      </c>
      <c r="P90" s="38" t="str">
        <f>IF(VLOOKUP(P$2&amp;Balance_Sheet[[#This Row],[Aop]],Data[],1)=P$2&amp;Balance_Sheet[[#This Row],[Aop]],VLOOKUP(P$2&amp;Balance_Sheet[[#This Row],[Aop]],Data[],P$1)/Jedinica,"")</f>
        <v/>
      </c>
      <c r="Q90" s="38" t="str">
        <f>IF(VLOOKUP(Q$2&amp;Balance_Sheet[[#This Row],[Aop]],Data[],1)=Q$2&amp;Balance_Sheet[[#This Row],[Aop]],VLOOKUP(Q$2&amp;Balance_Sheet[[#This Row],[Aop]],Data[],Q$1)/Jedinica,"")</f>
        <v/>
      </c>
      <c r="R90" s="38" t="str">
        <f>IF(VLOOKUP(R$2&amp;Balance_Sheet[[#This Row],[Aop]],Data[],1)=R$2&amp;Balance_Sheet[[#This Row],[Aop]],VLOOKUP(R$2&amp;Balance_Sheet[[#This Row],[Aop]],Data[],R$1)/Jedinica,"")</f>
        <v/>
      </c>
      <c r="S90" s="38" t="str">
        <f>IF(VLOOKUP(S$2&amp;Balance_Sheet[[#This Row],[Aop]],Data[],1)=S$2&amp;Balance_Sheet[[#This Row],[Aop]],VLOOKUP(S$2&amp;Balance_Sheet[[#This Row],[Aop]],Data[],S$1)/Jedinica,"")</f>
        <v/>
      </c>
      <c r="T90" s="38" t="str">
        <f>IF(VLOOKUP(T$2&amp;Balance_Sheet[[#This Row],[Aop]],Data[],1)=T$2&amp;Balance_Sheet[[#This Row],[Aop]],VLOOKUP(T$2&amp;Balance_Sheet[[#This Row],[Aop]],Data[],T$1)/Jedinica,"")</f>
        <v/>
      </c>
      <c r="U90" s="38">
        <f>IF(VLOOKUP(U$2&amp;Balance_Sheet[[#This Row],[Aop]],Data[],1)=U$2&amp;Balance_Sheet[[#This Row],[Aop]],VLOOKUP(U$2&amp;Balance_Sheet[[#This Row],[Aop]],Data[],U$1)/Jedinica,"")</f>
        <v>0</v>
      </c>
      <c r="V90" s="38">
        <f>IF(VLOOKUP(V$2&amp;Balance_Sheet[[#This Row],[Aop]],Data[],1)=V$2&amp;Balance_Sheet[[#This Row],[Aop]],VLOOKUP(V$2&amp;Balance_Sheet[[#This Row],[Aop]],Data[],V$1)/Jedinica,"")</f>
        <v>0</v>
      </c>
      <c r="W90" s="38">
        <f>IF(VLOOKUP(W$2&amp;Balance_Sheet[[#This Row],[Aop]],Data[],1)=W$2&amp;Balance_Sheet[[#This Row],[Aop]],VLOOKUP(W$2&amp;Balance_Sheet[[#This Row],[Aop]],Data[],W$1)/Jedinica,"")</f>
        <v>5854000</v>
      </c>
      <c r="X90" s="38">
        <f>IF(VLOOKUP(X$2&amp;Balance_Sheet[[#This Row],[Aop]],Data[],1)=X$2&amp;Balance_Sheet[[#This Row],[Aop]],VLOOKUP(X$2&amp;Balance_Sheet[[#This Row],[Aop]],Data[],X$1)/Jedinica,"")</f>
        <v>5161123</v>
      </c>
      <c r="Y90" s="38" t="str">
        <f>IF(VLOOKUP(Y$2&amp;Balance_Sheet[[#This Row],[Aop]],Data[],1)=Y$2&amp;Balance_Sheet[[#This Row],[Aop]],VLOOKUP(Y$2&amp;Balance_Sheet[[#This Row],[Aop]],Data[],Y$1)/Jedinica,"")</f>
        <v/>
      </c>
      <c r="Z90" s="38" t="str">
        <f>IF(VLOOKUP(Z$2&amp;Balance_Sheet[[#This Row],[Aop]],Data[],1)=Z$2&amp;Balance_Sheet[[#This Row],[Aop]],VLOOKUP(Z$2&amp;Balance_Sheet[[#This Row],[Aop]],Data[],Z$1)/Jedinica,"")</f>
        <v/>
      </c>
      <c r="AA90" s="38" t="str">
        <f>IF(VLOOKUP(AA$2&amp;Balance_Sheet[[#This Row],[Aop]],Data[],1)=AA$2&amp;Balance_Sheet[[#This Row],[Aop]],VLOOKUP(AA$2&amp;Balance_Sheet[[#This Row],[Aop]],Data[],AA$1)/Jedinica,"")</f>
        <v/>
      </c>
      <c r="AB90" s="38" t="str">
        <f>IF(VLOOKUP(AB$2&amp;Balance_Sheet[[#This Row],[Aop]],Data[],1)=AB$2&amp;Balance_Sheet[[#This Row],[Aop]],VLOOKUP(AB$2&amp;Balance_Sheet[[#This Row],[Aop]],Data[],AB$1)/Jedinica,"")</f>
        <v/>
      </c>
      <c r="AC90" s="38">
        <f>IF(VLOOKUP(AC$2&amp;Balance_Sheet[[#This Row],[Aop]],Data[],1)=AC$2&amp;Balance_Sheet[[#This Row],[Aop]],VLOOKUP(AC$2&amp;Balance_Sheet[[#This Row],[Aop]],Data[],AC$1)/Jedinica,"")</f>
        <v>0</v>
      </c>
      <c r="AD90" s="38">
        <f>IF(VLOOKUP(AD$2&amp;Balance_Sheet[[#This Row],[Aop]],Data[],1)=AD$2&amp;Balance_Sheet[[#This Row],[Aop]],VLOOKUP(AD$2&amp;Balance_Sheet[[#This Row],[Aop]],Data[],AD$1)/Jedinica,"")</f>
        <v>0</v>
      </c>
      <c r="AE90" s="38">
        <f>IF(VLOOKUP(AE$2&amp;Balance_Sheet[[#This Row],[Aop]],Data[],1)=AE$2&amp;Balance_Sheet[[#This Row],[Aop]],VLOOKUP(AE$2&amp;Balance_Sheet[[#This Row],[Aop]],Data[],AE$1)/Jedinica,"")</f>
        <v>36831684</v>
      </c>
      <c r="AF90" s="38">
        <f>IF(VLOOKUP(AF$2&amp;Balance_Sheet[[#This Row],[Aop]],Data[],1)=AF$2&amp;Balance_Sheet[[#This Row],[Aop]],VLOOKUP(AF$2&amp;Balance_Sheet[[#This Row],[Aop]],Data[],AF$1)/Jedinica,"")</f>
        <v>25522125</v>
      </c>
    </row>
    <row r="91" spans="1:32" ht="12.75" customHeight="1" x14ac:dyDescent="0.2">
      <c r="A91" s="74">
        <v>86</v>
      </c>
      <c r="B91" s="75">
        <v>3</v>
      </c>
      <c r="C91" s="38" t="str">
        <f>VLOOKUP(Balance_Sheet[[#This Row],[No]],AOP_Balance,3,0)</f>
        <v>134</v>
      </c>
      <c r="D91" s="52" t="str">
        <f>VLOOKUP(Balance_Sheet[[#This Row],[No]],AOP_Balance,7,0)</f>
        <v xml:space="preserve">      b) Ostale rezerve</v>
      </c>
      <c r="E91" s="38" t="str">
        <f>IF(VLOOKUP(E$2&amp;Balance_Sheet[[#This Row],[Aop]],Data[],1)=E$2&amp;Balance_Sheet[[#This Row],[Aop]],VLOOKUP(E$2&amp;Balance_Sheet[[#This Row],[Aop]],Data[],E$1)/Jedinica,"")</f>
        <v/>
      </c>
      <c r="F91" s="38" t="str">
        <f>IF(VLOOKUP(F$2&amp;Balance_Sheet[[#This Row],[Aop]],Data[],1)=F$2&amp;Balance_Sheet[[#This Row],[Aop]],VLOOKUP(F$2&amp;Balance_Sheet[[#This Row],[Aop]],Data[],F$1)/Jedinica,"")</f>
        <v/>
      </c>
      <c r="G91" s="38" t="str">
        <f>IF(VLOOKUP(G$2&amp;Balance_Sheet[[#This Row],[Aop]],Data[],1)=G$2&amp;Balance_Sheet[[#This Row],[Aop]],VLOOKUP(G$2&amp;Balance_Sheet[[#This Row],[Aop]],Data[],G$1)/Jedinica,"")</f>
        <v/>
      </c>
      <c r="H91" s="38" t="str">
        <f>IF(VLOOKUP(H$2&amp;Balance_Sheet[[#This Row],[Aop]],Data[],1)=H$2&amp;Balance_Sheet[[#This Row],[Aop]],VLOOKUP(H$2&amp;Balance_Sheet[[#This Row],[Aop]],Data[],H$1)/Jedinica,"")</f>
        <v/>
      </c>
      <c r="I91" s="38" t="str">
        <f>IF(VLOOKUP(I$2&amp;Balance_Sheet[[#This Row],[Aop]],Data[],1)=I$2&amp;Balance_Sheet[[#This Row],[Aop]],VLOOKUP(I$2&amp;Balance_Sheet[[#This Row],[Aop]],Data[],I$1)/Jedinica,"")</f>
        <v/>
      </c>
      <c r="J91" s="38" t="str">
        <f>IF(VLOOKUP(J$2&amp;Balance_Sheet[[#This Row],[Aop]],Data[],1)=J$2&amp;Balance_Sheet[[#This Row],[Aop]],VLOOKUP(J$2&amp;Balance_Sheet[[#This Row],[Aop]],Data[],J$1)/Jedinica,"")</f>
        <v/>
      </c>
      <c r="K91" s="38" t="str">
        <f>IF(VLOOKUP(K$2&amp;Balance_Sheet[[#This Row],[Aop]],Data[],1)=K$2&amp;Balance_Sheet[[#This Row],[Aop]],VLOOKUP(K$2&amp;Balance_Sheet[[#This Row],[Aop]],Data[],K$1)/Jedinica,"")</f>
        <v/>
      </c>
      <c r="L91" s="38" t="str">
        <f>IF(VLOOKUP(L$2&amp;Balance_Sheet[[#This Row],[Aop]],Data[],1)=L$2&amp;Balance_Sheet[[#This Row],[Aop]],VLOOKUP(L$2&amp;Balance_Sheet[[#This Row],[Aop]],Data[],L$1)/Jedinica,"")</f>
        <v/>
      </c>
      <c r="M91" s="38" t="str">
        <f>IF(VLOOKUP(M$2&amp;Balance_Sheet[[#This Row],[Aop]],Data[],1)=M$2&amp;Balance_Sheet[[#This Row],[Aop]],VLOOKUP(M$2&amp;Balance_Sheet[[#This Row],[Aop]],Data[],M$1)/Jedinica,"")</f>
        <v/>
      </c>
      <c r="N91" s="38" t="str">
        <f>IF(VLOOKUP(N$2&amp;Balance_Sheet[[#This Row],[Aop]],Data[],1)=N$2&amp;Balance_Sheet[[#This Row],[Aop]],VLOOKUP(N$2&amp;Balance_Sheet[[#This Row],[Aop]],Data[],N$1)/Jedinica,"")</f>
        <v/>
      </c>
      <c r="O91" s="38" t="str">
        <f>IF(VLOOKUP(O$2&amp;Balance_Sheet[[#This Row],[Aop]],Data[],1)=O$2&amp;Balance_Sheet[[#This Row],[Aop]],VLOOKUP(O$2&amp;Balance_Sheet[[#This Row],[Aop]],Data[],O$1)/Jedinica,"")</f>
        <v/>
      </c>
      <c r="P91" s="38" t="str">
        <f>IF(VLOOKUP(P$2&amp;Balance_Sheet[[#This Row],[Aop]],Data[],1)=P$2&amp;Balance_Sheet[[#This Row],[Aop]],VLOOKUP(P$2&amp;Balance_Sheet[[#This Row],[Aop]],Data[],P$1)/Jedinica,"")</f>
        <v/>
      </c>
      <c r="Q91" s="38" t="str">
        <f>IF(VLOOKUP(Q$2&amp;Balance_Sheet[[#This Row],[Aop]],Data[],1)=Q$2&amp;Balance_Sheet[[#This Row],[Aop]],VLOOKUP(Q$2&amp;Balance_Sheet[[#This Row],[Aop]],Data[],Q$1)/Jedinica,"")</f>
        <v/>
      </c>
      <c r="R91" s="38" t="str">
        <f>IF(VLOOKUP(R$2&amp;Balance_Sheet[[#This Row],[Aop]],Data[],1)=R$2&amp;Balance_Sheet[[#This Row],[Aop]],VLOOKUP(R$2&amp;Balance_Sheet[[#This Row],[Aop]],Data[],R$1)/Jedinica,"")</f>
        <v/>
      </c>
      <c r="S91" s="38" t="str">
        <f>IF(VLOOKUP(S$2&amp;Balance_Sheet[[#This Row],[Aop]],Data[],1)=S$2&amp;Balance_Sheet[[#This Row],[Aop]],VLOOKUP(S$2&amp;Balance_Sheet[[#This Row],[Aop]],Data[],S$1)/Jedinica,"")</f>
        <v/>
      </c>
      <c r="T91" s="38" t="str">
        <f>IF(VLOOKUP(T$2&amp;Balance_Sheet[[#This Row],[Aop]],Data[],1)=T$2&amp;Balance_Sheet[[#This Row],[Aop]],VLOOKUP(T$2&amp;Balance_Sheet[[#This Row],[Aop]],Data[],T$1)/Jedinica,"")</f>
        <v/>
      </c>
      <c r="U91" s="38" t="str">
        <f>IF(VLOOKUP(U$2&amp;Balance_Sheet[[#This Row],[Aop]],Data[],1)=U$2&amp;Balance_Sheet[[#This Row],[Aop]],VLOOKUP(U$2&amp;Balance_Sheet[[#This Row],[Aop]],Data[],U$1)/Jedinica,"")</f>
        <v/>
      </c>
      <c r="V91" s="38" t="str">
        <f>IF(VLOOKUP(V$2&amp;Balance_Sheet[[#This Row],[Aop]],Data[],1)=V$2&amp;Balance_Sheet[[#This Row],[Aop]],VLOOKUP(V$2&amp;Balance_Sheet[[#This Row],[Aop]],Data[],V$1)/Jedinica,"")</f>
        <v/>
      </c>
      <c r="W91" s="38" t="str">
        <f>IF(VLOOKUP(W$2&amp;Balance_Sheet[[#This Row],[Aop]],Data[],1)=W$2&amp;Balance_Sheet[[#This Row],[Aop]],VLOOKUP(W$2&amp;Balance_Sheet[[#This Row],[Aop]],Data[],W$1)/Jedinica,"")</f>
        <v/>
      </c>
      <c r="X91" s="38" t="str">
        <f>IF(VLOOKUP(X$2&amp;Balance_Sheet[[#This Row],[Aop]],Data[],1)=X$2&amp;Balance_Sheet[[#This Row],[Aop]],VLOOKUP(X$2&amp;Balance_Sheet[[#This Row],[Aop]],Data[],X$1)/Jedinica,"")</f>
        <v/>
      </c>
      <c r="Y91" s="38" t="str">
        <f>IF(VLOOKUP(Y$2&amp;Balance_Sheet[[#This Row],[Aop]],Data[],1)=Y$2&amp;Balance_Sheet[[#This Row],[Aop]],VLOOKUP(Y$2&amp;Balance_Sheet[[#This Row],[Aop]],Data[],Y$1)/Jedinica,"")</f>
        <v/>
      </c>
      <c r="Z91" s="38" t="str">
        <f>IF(VLOOKUP(Z$2&amp;Balance_Sheet[[#This Row],[Aop]],Data[],1)=Z$2&amp;Balance_Sheet[[#This Row],[Aop]],VLOOKUP(Z$2&amp;Balance_Sheet[[#This Row],[Aop]],Data[],Z$1)/Jedinica,"")</f>
        <v/>
      </c>
      <c r="AA91" s="38" t="str">
        <f>IF(VLOOKUP(AA$2&amp;Balance_Sheet[[#This Row],[Aop]],Data[],1)=AA$2&amp;Balance_Sheet[[#This Row],[Aop]],VLOOKUP(AA$2&amp;Balance_Sheet[[#This Row],[Aop]],Data[],AA$1)/Jedinica,"")</f>
        <v/>
      </c>
      <c r="AB91" s="38" t="str">
        <f>IF(VLOOKUP(AB$2&amp;Balance_Sheet[[#This Row],[Aop]],Data[],1)=AB$2&amp;Balance_Sheet[[#This Row],[Aop]],VLOOKUP(AB$2&amp;Balance_Sheet[[#This Row],[Aop]],Data[],AB$1)/Jedinica,"")</f>
        <v/>
      </c>
      <c r="AC91" s="38" t="str">
        <f>IF(VLOOKUP(AC$2&amp;Balance_Sheet[[#This Row],[Aop]],Data[],1)=AC$2&amp;Balance_Sheet[[#This Row],[Aop]],VLOOKUP(AC$2&amp;Balance_Sheet[[#This Row],[Aop]],Data[],AC$1)/Jedinica,"")</f>
        <v/>
      </c>
      <c r="AD91" s="38" t="str">
        <f>IF(VLOOKUP(AD$2&amp;Balance_Sheet[[#This Row],[Aop]],Data[],1)=AD$2&amp;Balance_Sheet[[#This Row],[Aop]],VLOOKUP(AD$2&amp;Balance_Sheet[[#This Row],[Aop]],Data[],AD$1)/Jedinica,"")</f>
        <v/>
      </c>
      <c r="AE91" s="38" t="str">
        <f>IF(VLOOKUP(AE$2&amp;Balance_Sheet[[#This Row],[Aop]],Data[],1)=AE$2&amp;Balance_Sheet[[#This Row],[Aop]],VLOOKUP(AE$2&amp;Balance_Sheet[[#This Row],[Aop]],Data[],AE$1)/Jedinica,"")</f>
        <v/>
      </c>
      <c r="AF91" s="38" t="str">
        <f>IF(VLOOKUP(AF$2&amp;Balance_Sheet[[#This Row],[Aop]],Data[],1)=AF$2&amp;Balance_Sheet[[#This Row],[Aop]],VLOOKUP(AF$2&amp;Balance_Sheet[[#This Row],[Aop]],Data[],AF$1)/Jedinica,"")</f>
        <v/>
      </c>
    </row>
    <row r="92" spans="1:32" ht="12.75" customHeight="1" x14ac:dyDescent="0.2">
      <c r="A92" s="74">
        <v>87</v>
      </c>
      <c r="B92" s="75">
        <v>3</v>
      </c>
      <c r="C92" s="38" t="str">
        <f>VLOOKUP(Balance_Sheet[[#This Row],[No]],AOP_Balance,3,0)</f>
        <v>135</v>
      </c>
      <c r="D92" s="52" t="str">
        <f>VLOOKUP(Balance_Sheet[[#This Row],[No]],AOP_Balance,7,0)</f>
        <v xml:space="preserve">      v) Posebne rezerve za procijenjene gubitke</v>
      </c>
      <c r="E92" s="38">
        <f>IF(VLOOKUP(E$2&amp;Balance_Sheet[[#This Row],[Aop]],Data[],1)=E$2&amp;Balance_Sheet[[#This Row],[Aop]],VLOOKUP(E$2&amp;Balance_Sheet[[#This Row],[Aop]],Data[],E$1)/Jedinica,"")</f>
        <v>0</v>
      </c>
      <c r="F92" s="38">
        <f>IF(VLOOKUP(F$2&amp;Balance_Sheet[[#This Row],[Aop]],Data[],1)=F$2&amp;Balance_Sheet[[#This Row],[Aop]],VLOOKUP(F$2&amp;Balance_Sheet[[#This Row],[Aop]],Data[],F$1)/Jedinica,"")</f>
        <v>0</v>
      </c>
      <c r="G92" s="38">
        <f>IF(VLOOKUP(G$2&amp;Balance_Sheet[[#This Row],[Aop]],Data[],1)=G$2&amp;Balance_Sheet[[#This Row],[Aop]],VLOOKUP(G$2&amp;Balance_Sheet[[#This Row],[Aop]],Data[],G$1)/Jedinica,"")</f>
        <v>2986762</v>
      </c>
      <c r="H92" s="38">
        <f>IF(VLOOKUP(H$2&amp;Balance_Sheet[[#This Row],[Aop]],Data[],1)=H$2&amp;Balance_Sheet[[#This Row],[Aop]],VLOOKUP(H$2&amp;Balance_Sheet[[#This Row],[Aop]],Data[],H$1)/Jedinica,"")</f>
        <v>2663092</v>
      </c>
      <c r="I92" s="38">
        <f>IF(VLOOKUP(I$2&amp;Balance_Sheet[[#This Row],[Aop]],Data[],1)=I$2&amp;Balance_Sheet[[#This Row],[Aop]],VLOOKUP(I$2&amp;Balance_Sheet[[#This Row],[Aop]],Data[],I$1)/Jedinica,"")</f>
        <v>0</v>
      </c>
      <c r="J92" s="38">
        <f>IF(VLOOKUP(J$2&amp;Balance_Sheet[[#This Row],[Aop]],Data[],1)=J$2&amp;Balance_Sheet[[#This Row],[Aop]],VLOOKUP(J$2&amp;Balance_Sheet[[#This Row],[Aop]],Data[],J$1)/Jedinica,"")</f>
        <v>0</v>
      </c>
      <c r="K92" s="38">
        <f>IF(VLOOKUP(K$2&amp;Balance_Sheet[[#This Row],[Aop]],Data[],1)=K$2&amp;Balance_Sheet[[#This Row],[Aop]],VLOOKUP(K$2&amp;Balance_Sheet[[#This Row],[Aop]],Data[],K$1)/Jedinica,"")</f>
        <v>2324574</v>
      </c>
      <c r="L92" s="38">
        <f>IF(VLOOKUP(L$2&amp;Balance_Sheet[[#This Row],[Aop]],Data[],1)=L$2&amp;Balance_Sheet[[#This Row],[Aop]],VLOOKUP(L$2&amp;Balance_Sheet[[#This Row],[Aop]],Data[],L$1)/Jedinica,"")</f>
        <v>2324574</v>
      </c>
      <c r="M92" s="38">
        <f>IF(VLOOKUP(M$2&amp;Balance_Sheet[[#This Row],[Aop]],Data[],1)=M$2&amp;Balance_Sheet[[#This Row],[Aop]],VLOOKUP(M$2&amp;Balance_Sheet[[#This Row],[Aop]],Data[],M$1)/Jedinica,"")</f>
        <v>0</v>
      </c>
      <c r="N92" s="38">
        <f>IF(VLOOKUP(N$2&amp;Balance_Sheet[[#This Row],[Aop]],Data[],1)=N$2&amp;Balance_Sheet[[#This Row],[Aop]],VLOOKUP(N$2&amp;Balance_Sheet[[#This Row],[Aop]],Data[],N$1)/Jedinica,"")</f>
        <v>0</v>
      </c>
      <c r="O92" s="38">
        <f>IF(VLOOKUP(O$2&amp;Balance_Sheet[[#This Row],[Aop]],Data[],1)=O$2&amp;Balance_Sheet[[#This Row],[Aop]],VLOOKUP(O$2&amp;Balance_Sheet[[#This Row],[Aop]],Data[],O$1)/Jedinica,"")</f>
        <v>4231089</v>
      </c>
      <c r="P92" s="38">
        <f>IF(VLOOKUP(P$2&amp;Balance_Sheet[[#This Row],[Aop]],Data[],1)=P$2&amp;Balance_Sheet[[#This Row],[Aop]],VLOOKUP(P$2&amp;Balance_Sheet[[#This Row],[Aop]],Data[],P$1)/Jedinica,"")</f>
        <v>3181039</v>
      </c>
      <c r="Q92" s="38">
        <f>IF(VLOOKUP(Q$2&amp;Balance_Sheet[[#This Row],[Aop]],Data[],1)=Q$2&amp;Balance_Sheet[[#This Row],[Aop]],VLOOKUP(Q$2&amp;Balance_Sheet[[#This Row],[Aop]],Data[],Q$1)/Jedinica,"")</f>
        <v>0</v>
      </c>
      <c r="R92" s="38">
        <f>IF(VLOOKUP(R$2&amp;Balance_Sheet[[#This Row],[Aop]],Data[],1)=R$2&amp;Balance_Sheet[[#This Row],[Aop]],VLOOKUP(R$2&amp;Balance_Sheet[[#This Row],[Aop]],Data[],R$1)/Jedinica,"")</f>
        <v>0</v>
      </c>
      <c r="S92" s="38">
        <f>IF(VLOOKUP(S$2&amp;Balance_Sheet[[#This Row],[Aop]],Data[],1)=S$2&amp;Balance_Sheet[[#This Row],[Aop]],VLOOKUP(S$2&amp;Balance_Sheet[[#This Row],[Aop]],Data[],S$1)/Jedinica,"")</f>
        <v>856860</v>
      </c>
      <c r="T92" s="38">
        <f>IF(VLOOKUP(T$2&amp;Balance_Sheet[[#This Row],[Aop]],Data[],1)=T$2&amp;Balance_Sheet[[#This Row],[Aop]],VLOOKUP(T$2&amp;Balance_Sheet[[#This Row],[Aop]],Data[],T$1)/Jedinica,"")</f>
        <v>261574</v>
      </c>
      <c r="U92" s="38">
        <f>IF(VLOOKUP(U$2&amp;Balance_Sheet[[#This Row],[Aop]],Data[],1)=U$2&amp;Balance_Sheet[[#This Row],[Aop]],VLOOKUP(U$2&amp;Balance_Sheet[[#This Row],[Aop]],Data[],U$1)/Jedinica,"")</f>
        <v>0</v>
      </c>
      <c r="V92" s="38">
        <f>IF(VLOOKUP(V$2&amp;Balance_Sheet[[#This Row],[Aop]],Data[],1)=V$2&amp;Balance_Sheet[[#This Row],[Aop]],VLOOKUP(V$2&amp;Balance_Sheet[[#This Row],[Aop]],Data[],V$1)/Jedinica,"")</f>
        <v>0</v>
      </c>
      <c r="W92" s="38">
        <f>IF(VLOOKUP(W$2&amp;Balance_Sheet[[#This Row],[Aop]],Data[],1)=W$2&amp;Balance_Sheet[[#This Row],[Aop]],VLOOKUP(W$2&amp;Balance_Sheet[[#This Row],[Aop]],Data[],W$1)/Jedinica,"")</f>
        <v>12007001</v>
      </c>
      <c r="X92" s="38">
        <f>IF(VLOOKUP(X$2&amp;Balance_Sheet[[#This Row],[Aop]],Data[],1)=X$2&amp;Balance_Sheet[[#This Row],[Aop]],VLOOKUP(X$2&amp;Balance_Sheet[[#This Row],[Aop]],Data[],X$1)/Jedinica,"")</f>
        <v>9288000</v>
      </c>
      <c r="Y92" s="38">
        <f>IF(VLOOKUP(Y$2&amp;Balance_Sheet[[#This Row],[Aop]],Data[],1)=Y$2&amp;Balance_Sheet[[#This Row],[Aop]],VLOOKUP(Y$2&amp;Balance_Sheet[[#This Row],[Aop]],Data[],Y$1)/Jedinica,"")</f>
        <v>0</v>
      </c>
      <c r="Z92" s="38">
        <f>IF(VLOOKUP(Z$2&amp;Balance_Sheet[[#This Row],[Aop]],Data[],1)=Z$2&amp;Balance_Sheet[[#This Row],[Aop]],VLOOKUP(Z$2&amp;Balance_Sheet[[#This Row],[Aop]],Data[],Z$1)/Jedinica,"")</f>
        <v>0</v>
      </c>
      <c r="AA92" s="38">
        <f>IF(VLOOKUP(AA$2&amp;Balance_Sheet[[#This Row],[Aop]],Data[],1)=AA$2&amp;Balance_Sheet[[#This Row],[Aop]],VLOOKUP(AA$2&amp;Balance_Sheet[[#This Row],[Aop]],Data[],AA$1)/Jedinica,"")</f>
        <v>856860</v>
      </c>
      <c r="AB92" s="38">
        <f>IF(VLOOKUP(AB$2&amp;Balance_Sheet[[#This Row],[Aop]],Data[],1)=AB$2&amp;Balance_Sheet[[#This Row],[Aop]],VLOOKUP(AB$2&amp;Balance_Sheet[[#This Row],[Aop]],Data[],AB$1)/Jedinica,"")</f>
        <v>261574</v>
      </c>
      <c r="AC92" s="38">
        <f>IF(VLOOKUP(AC$2&amp;Balance_Sheet[[#This Row],[Aop]],Data[],1)=AC$2&amp;Balance_Sheet[[#This Row],[Aop]],VLOOKUP(AC$2&amp;Balance_Sheet[[#This Row],[Aop]],Data[],AC$1)/Jedinica,"")</f>
        <v>0</v>
      </c>
      <c r="AD92" s="38">
        <f>IF(VLOOKUP(AD$2&amp;Balance_Sheet[[#This Row],[Aop]],Data[],1)=AD$2&amp;Balance_Sheet[[#This Row],[Aop]],VLOOKUP(AD$2&amp;Balance_Sheet[[#This Row],[Aop]],Data[],AD$1)/Jedinica,"")</f>
        <v>0</v>
      </c>
      <c r="AE92" s="38">
        <f>IF(VLOOKUP(AE$2&amp;Balance_Sheet[[#This Row],[Aop]],Data[],1)=AE$2&amp;Balance_Sheet[[#This Row],[Aop]],VLOOKUP(AE$2&amp;Balance_Sheet[[#This Row],[Aop]],Data[],AE$1)/Jedinica,"")</f>
        <v>1951169</v>
      </c>
      <c r="AF92" s="38">
        <f>IF(VLOOKUP(AF$2&amp;Balance_Sheet[[#This Row],[Aop]],Data[],1)=AF$2&amp;Balance_Sheet[[#This Row],[Aop]],VLOOKUP(AF$2&amp;Balance_Sheet[[#This Row],[Aop]],Data[],AF$1)/Jedinica,"")</f>
        <v>1951169</v>
      </c>
    </row>
    <row r="93" spans="1:32" ht="12.75" customHeight="1" x14ac:dyDescent="0.2">
      <c r="A93" s="74">
        <v>88</v>
      </c>
      <c r="B93" s="75">
        <v>3</v>
      </c>
      <c r="C93" s="38" t="str">
        <f>VLOOKUP(Balance_Sheet[[#This Row],[No]],AOP_Balance,3,0)</f>
        <v>136</v>
      </c>
      <c r="D93" s="52" t="str">
        <f>VLOOKUP(Balance_Sheet[[#This Row],[No]],AOP_Balance,7,0)</f>
        <v xml:space="preserve">      g) Rezerve za opšte bankarske rizike</v>
      </c>
      <c r="E93" s="38" t="str">
        <f>IF(VLOOKUP(E$2&amp;Balance_Sheet[[#This Row],[Aop]],Data[],1)=E$2&amp;Balance_Sheet[[#This Row],[Aop]],VLOOKUP(E$2&amp;Balance_Sheet[[#This Row],[Aop]],Data[],E$1)/Jedinica,"")</f>
        <v/>
      </c>
      <c r="F93" s="38" t="str">
        <f>IF(VLOOKUP(F$2&amp;Balance_Sheet[[#This Row],[Aop]],Data[],1)=F$2&amp;Balance_Sheet[[#This Row],[Aop]],VLOOKUP(F$2&amp;Balance_Sheet[[#This Row],[Aop]],Data[],F$1)/Jedinica,"")</f>
        <v/>
      </c>
      <c r="G93" s="38" t="str">
        <f>IF(VLOOKUP(G$2&amp;Balance_Sheet[[#This Row],[Aop]],Data[],1)=G$2&amp;Balance_Sheet[[#This Row],[Aop]],VLOOKUP(G$2&amp;Balance_Sheet[[#This Row],[Aop]],Data[],G$1)/Jedinica,"")</f>
        <v/>
      </c>
      <c r="H93" s="38" t="str">
        <f>IF(VLOOKUP(H$2&amp;Balance_Sheet[[#This Row],[Aop]],Data[],1)=H$2&amp;Balance_Sheet[[#This Row],[Aop]],VLOOKUP(H$2&amp;Balance_Sheet[[#This Row],[Aop]],Data[],H$1)/Jedinica,"")</f>
        <v/>
      </c>
      <c r="I93" s="38" t="str">
        <f>IF(VLOOKUP(I$2&amp;Balance_Sheet[[#This Row],[Aop]],Data[],1)=I$2&amp;Balance_Sheet[[#This Row],[Aop]],VLOOKUP(I$2&amp;Balance_Sheet[[#This Row],[Aop]],Data[],I$1)/Jedinica,"")</f>
        <v/>
      </c>
      <c r="J93" s="38" t="str">
        <f>IF(VLOOKUP(J$2&amp;Balance_Sheet[[#This Row],[Aop]],Data[],1)=J$2&amp;Balance_Sheet[[#This Row],[Aop]],VLOOKUP(J$2&amp;Balance_Sheet[[#This Row],[Aop]],Data[],J$1)/Jedinica,"")</f>
        <v/>
      </c>
      <c r="K93" s="38" t="str">
        <f>IF(VLOOKUP(K$2&amp;Balance_Sheet[[#This Row],[Aop]],Data[],1)=K$2&amp;Balance_Sheet[[#This Row],[Aop]],VLOOKUP(K$2&amp;Balance_Sheet[[#This Row],[Aop]],Data[],K$1)/Jedinica,"")</f>
        <v/>
      </c>
      <c r="L93" s="38" t="str">
        <f>IF(VLOOKUP(L$2&amp;Balance_Sheet[[#This Row],[Aop]],Data[],1)=L$2&amp;Balance_Sheet[[#This Row],[Aop]],VLOOKUP(L$2&amp;Balance_Sheet[[#This Row],[Aop]],Data[],L$1)/Jedinica,"")</f>
        <v/>
      </c>
      <c r="M93" s="38" t="str">
        <f>IF(VLOOKUP(M$2&amp;Balance_Sheet[[#This Row],[Aop]],Data[],1)=M$2&amp;Balance_Sheet[[#This Row],[Aop]],VLOOKUP(M$2&amp;Balance_Sheet[[#This Row],[Aop]],Data[],M$1)/Jedinica,"")</f>
        <v/>
      </c>
      <c r="N93" s="38" t="str">
        <f>IF(VLOOKUP(N$2&amp;Balance_Sheet[[#This Row],[Aop]],Data[],1)=N$2&amp;Balance_Sheet[[#This Row],[Aop]],VLOOKUP(N$2&amp;Balance_Sheet[[#This Row],[Aop]],Data[],N$1)/Jedinica,"")</f>
        <v/>
      </c>
      <c r="O93" s="38" t="str">
        <f>IF(VLOOKUP(O$2&amp;Balance_Sheet[[#This Row],[Aop]],Data[],1)=O$2&amp;Balance_Sheet[[#This Row],[Aop]],VLOOKUP(O$2&amp;Balance_Sheet[[#This Row],[Aop]],Data[],O$1)/Jedinica,"")</f>
        <v/>
      </c>
      <c r="P93" s="38" t="str">
        <f>IF(VLOOKUP(P$2&amp;Balance_Sheet[[#This Row],[Aop]],Data[],1)=P$2&amp;Balance_Sheet[[#This Row],[Aop]],VLOOKUP(P$2&amp;Balance_Sheet[[#This Row],[Aop]],Data[],P$1)/Jedinica,"")</f>
        <v/>
      </c>
      <c r="Q93" s="38" t="str">
        <f>IF(VLOOKUP(Q$2&amp;Balance_Sheet[[#This Row],[Aop]],Data[],1)=Q$2&amp;Balance_Sheet[[#This Row],[Aop]],VLOOKUP(Q$2&amp;Balance_Sheet[[#This Row],[Aop]],Data[],Q$1)/Jedinica,"")</f>
        <v/>
      </c>
      <c r="R93" s="38" t="str">
        <f>IF(VLOOKUP(R$2&amp;Balance_Sheet[[#This Row],[Aop]],Data[],1)=R$2&amp;Balance_Sheet[[#This Row],[Aop]],VLOOKUP(R$2&amp;Balance_Sheet[[#This Row],[Aop]],Data[],R$1)/Jedinica,"")</f>
        <v/>
      </c>
      <c r="S93" s="38" t="str">
        <f>IF(VLOOKUP(S$2&amp;Balance_Sheet[[#This Row],[Aop]],Data[],1)=S$2&amp;Balance_Sheet[[#This Row],[Aop]],VLOOKUP(S$2&amp;Balance_Sheet[[#This Row],[Aop]],Data[],S$1)/Jedinica,"")</f>
        <v/>
      </c>
      <c r="T93" s="38" t="str">
        <f>IF(VLOOKUP(T$2&amp;Balance_Sheet[[#This Row],[Aop]],Data[],1)=T$2&amp;Balance_Sheet[[#This Row],[Aop]],VLOOKUP(T$2&amp;Balance_Sheet[[#This Row],[Aop]],Data[],T$1)/Jedinica,"")</f>
        <v/>
      </c>
      <c r="U93" s="38" t="str">
        <f>IF(VLOOKUP(U$2&amp;Balance_Sheet[[#This Row],[Aop]],Data[],1)=U$2&amp;Balance_Sheet[[#This Row],[Aop]],VLOOKUP(U$2&amp;Balance_Sheet[[#This Row],[Aop]],Data[],U$1)/Jedinica,"")</f>
        <v/>
      </c>
      <c r="V93" s="38" t="str">
        <f>IF(VLOOKUP(V$2&amp;Balance_Sheet[[#This Row],[Aop]],Data[],1)=V$2&amp;Balance_Sheet[[#This Row],[Aop]],VLOOKUP(V$2&amp;Balance_Sheet[[#This Row],[Aop]],Data[],V$1)/Jedinica,"")</f>
        <v/>
      </c>
      <c r="W93" s="38" t="str">
        <f>IF(VLOOKUP(W$2&amp;Balance_Sheet[[#This Row],[Aop]],Data[],1)=W$2&amp;Balance_Sheet[[#This Row],[Aop]],VLOOKUP(W$2&amp;Balance_Sheet[[#This Row],[Aop]],Data[],W$1)/Jedinica,"")</f>
        <v/>
      </c>
      <c r="X93" s="38" t="str">
        <f>IF(VLOOKUP(X$2&amp;Balance_Sheet[[#This Row],[Aop]],Data[],1)=X$2&amp;Balance_Sheet[[#This Row],[Aop]],VLOOKUP(X$2&amp;Balance_Sheet[[#This Row],[Aop]],Data[],X$1)/Jedinica,"")</f>
        <v/>
      </c>
      <c r="Y93" s="38" t="str">
        <f>IF(VLOOKUP(Y$2&amp;Balance_Sheet[[#This Row],[Aop]],Data[],1)=Y$2&amp;Balance_Sheet[[#This Row],[Aop]],VLOOKUP(Y$2&amp;Balance_Sheet[[#This Row],[Aop]],Data[],Y$1)/Jedinica,"")</f>
        <v/>
      </c>
      <c r="Z93" s="38" t="str">
        <f>IF(VLOOKUP(Z$2&amp;Balance_Sheet[[#This Row],[Aop]],Data[],1)=Z$2&amp;Balance_Sheet[[#This Row],[Aop]],VLOOKUP(Z$2&amp;Balance_Sheet[[#This Row],[Aop]],Data[],Z$1)/Jedinica,"")</f>
        <v/>
      </c>
      <c r="AA93" s="38" t="str">
        <f>IF(VLOOKUP(AA$2&amp;Balance_Sheet[[#This Row],[Aop]],Data[],1)=AA$2&amp;Balance_Sheet[[#This Row],[Aop]],VLOOKUP(AA$2&amp;Balance_Sheet[[#This Row],[Aop]],Data[],AA$1)/Jedinica,"")</f>
        <v/>
      </c>
      <c r="AB93" s="38" t="str">
        <f>IF(VLOOKUP(AB$2&amp;Balance_Sheet[[#This Row],[Aop]],Data[],1)=AB$2&amp;Balance_Sheet[[#This Row],[Aop]],VLOOKUP(AB$2&amp;Balance_Sheet[[#This Row],[Aop]],Data[],AB$1)/Jedinica,"")</f>
        <v/>
      </c>
      <c r="AC93" s="38" t="str">
        <f>IF(VLOOKUP(AC$2&amp;Balance_Sheet[[#This Row],[Aop]],Data[],1)=AC$2&amp;Balance_Sheet[[#This Row],[Aop]],VLOOKUP(AC$2&amp;Balance_Sheet[[#This Row],[Aop]],Data[],AC$1)/Jedinica,"")</f>
        <v/>
      </c>
      <c r="AD93" s="38" t="str">
        <f>IF(VLOOKUP(AD$2&amp;Balance_Sheet[[#This Row],[Aop]],Data[],1)=AD$2&amp;Balance_Sheet[[#This Row],[Aop]],VLOOKUP(AD$2&amp;Balance_Sheet[[#This Row],[Aop]],Data[],AD$1)/Jedinica,"")</f>
        <v/>
      </c>
      <c r="AE93" s="38" t="str">
        <f>IF(VLOOKUP(AE$2&amp;Balance_Sheet[[#This Row],[Aop]],Data[],1)=AE$2&amp;Balance_Sheet[[#This Row],[Aop]],VLOOKUP(AE$2&amp;Balance_Sheet[[#This Row],[Aop]],Data[],AE$1)/Jedinica,"")</f>
        <v/>
      </c>
      <c r="AF93" s="38" t="str">
        <f>IF(VLOOKUP(AF$2&amp;Balance_Sheet[[#This Row],[Aop]],Data[],1)=AF$2&amp;Balance_Sheet[[#This Row],[Aop]],VLOOKUP(AF$2&amp;Balance_Sheet[[#This Row],[Aop]],Data[],AF$1)/Jedinica,"")</f>
        <v/>
      </c>
    </row>
    <row r="94" spans="1:32" ht="12.75" customHeight="1" x14ac:dyDescent="0.2">
      <c r="A94" s="74">
        <v>89</v>
      </c>
      <c r="B94" s="75">
        <v>3</v>
      </c>
      <c r="C94" s="38" t="str">
        <f>VLOOKUP(Balance_Sheet[[#This Row],[No]],AOP_Balance,3,0)</f>
        <v>137</v>
      </c>
      <c r="D94" s="52" t="str">
        <f>VLOOKUP(Balance_Sheet[[#This Row],[No]],AOP_Balance,7,0)</f>
        <v xml:space="preserve">      d) Prenesene rezerve (kursne razlike)</v>
      </c>
      <c r="E94" s="38" t="str">
        <f>IF(VLOOKUP(E$2&amp;Balance_Sheet[[#This Row],[Aop]],Data[],1)=E$2&amp;Balance_Sheet[[#This Row],[Aop]],VLOOKUP(E$2&amp;Balance_Sheet[[#This Row],[Aop]],Data[],E$1)/Jedinica,"")</f>
        <v/>
      </c>
      <c r="F94" s="38" t="str">
        <f>IF(VLOOKUP(F$2&amp;Balance_Sheet[[#This Row],[Aop]],Data[],1)=F$2&amp;Balance_Sheet[[#This Row],[Aop]],VLOOKUP(F$2&amp;Balance_Sheet[[#This Row],[Aop]],Data[],F$1)/Jedinica,"")</f>
        <v/>
      </c>
      <c r="G94" s="38" t="str">
        <f>IF(VLOOKUP(G$2&amp;Balance_Sheet[[#This Row],[Aop]],Data[],1)=G$2&amp;Balance_Sheet[[#This Row],[Aop]],VLOOKUP(G$2&amp;Balance_Sheet[[#This Row],[Aop]],Data[],G$1)/Jedinica,"")</f>
        <v/>
      </c>
      <c r="H94" s="38" t="str">
        <f>IF(VLOOKUP(H$2&amp;Balance_Sheet[[#This Row],[Aop]],Data[],1)=H$2&amp;Balance_Sheet[[#This Row],[Aop]],VLOOKUP(H$2&amp;Balance_Sheet[[#This Row],[Aop]],Data[],H$1)/Jedinica,"")</f>
        <v/>
      </c>
      <c r="I94" s="38" t="str">
        <f>IF(VLOOKUP(I$2&amp;Balance_Sheet[[#This Row],[Aop]],Data[],1)=I$2&amp;Balance_Sheet[[#This Row],[Aop]],VLOOKUP(I$2&amp;Balance_Sheet[[#This Row],[Aop]],Data[],I$1)/Jedinica,"")</f>
        <v/>
      </c>
      <c r="J94" s="38" t="str">
        <f>IF(VLOOKUP(J$2&amp;Balance_Sheet[[#This Row],[Aop]],Data[],1)=J$2&amp;Balance_Sheet[[#This Row],[Aop]],VLOOKUP(J$2&amp;Balance_Sheet[[#This Row],[Aop]],Data[],J$1)/Jedinica,"")</f>
        <v/>
      </c>
      <c r="K94" s="38" t="str">
        <f>IF(VLOOKUP(K$2&amp;Balance_Sheet[[#This Row],[Aop]],Data[],1)=K$2&amp;Balance_Sheet[[#This Row],[Aop]],VLOOKUP(K$2&amp;Balance_Sheet[[#This Row],[Aop]],Data[],K$1)/Jedinica,"")</f>
        <v/>
      </c>
      <c r="L94" s="38" t="str">
        <f>IF(VLOOKUP(L$2&amp;Balance_Sheet[[#This Row],[Aop]],Data[],1)=L$2&amp;Balance_Sheet[[#This Row],[Aop]],VLOOKUP(L$2&amp;Balance_Sheet[[#This Row],[Aop]],Data[],L$1)/Jedinica,"")</f>
        <v/>
      </c>
      <c r="M94" s="38" t="str">
        <f>IF(VLOOKUP(M$2&amp;Balance_Sheet[[#This Row],[Aop]],Data[],1)=M$2&amp;Balance_Sheet[[#This Row],[Aop]],VLOOKUP(M$2&amp;Balance_Sheet[[#This Row],[Aop]],Data[],M$1)/Jedinica,"")</f>
        <v/>
      </c>
      <c r="N94" s="38" t="str">
        <f>IF(VLOOKUP(N$2&amp;Balance_Sheet[[#This Row],[Aop]],Data[],1)=N$2&amp;Balance_Sheet[[#This Row],[Aop]],VLOOKUP(N$2&amp;Balance_Sheet[[#This Row],[Aop]],Data[],N$1)/Jedinica,"")</f>
        <v/>
      </c>
      <c r="O94" s="38" t="str">
        <f>IF(VLOOKUP(O$2&amp;Balance_Sheet[[#This Row],[Aop]],Data[],1)=O$2&amp;Balance_Sheet[[#This Row],[Aop]],VLOOKUP(O$2&amp;Balance_Sheet[[#This Row],[Aop]],Data[],O$1)/Jedinica,"")</f>
        <v/>
      </c>
      <c r="P94" s="38" t="str">
        <f>IF(VLOOKUP(P$2&amp;Balance_Sheet[[#This Row],[Aop]],Data[],1)=P$2&amp;Balance_Sheet[[#This Row],[Aop]],VLOOKUP(P$2&amp;Balance_Sheet[[#This Row],[Aop]],Data[],P$1)/Jedinica,"")</f>
        <v/>
      </c>
      <c r="Q94" s="38" t="str">
        <f>IF(VLOOKUP(Q$2&amp;Balance_Sheet[[#This Row],[Aop]],Data[],1)=Q$2&amp;Balance_Sheet[[#This Row],[Aop]],VLOOKUP(Q$2&amp;Balance_Sheet[[#This Row],[Aop]],Data[],Q$1)/Jedinica,"")</f>
        <v/>
      </c>
      <c r="R94" s="38" t="str">
        <f>IF(VLOOKUP(R$2&amp;Balance_Sheet[[#This Row],[Aop]],Data[],1)=R$2&amp;Balance_Sheet[[#This Row],[Aop]],VLOOKUP(R$2&amp;Balance_Sheet[[#This Row],[Aop]],Data[],R$1)/Jedinica,"")</f>
        <v/>
      </c>
      <c r="S94" s="38" t="str">
        <f>IF(VLOOKUP(S$2&amp;Balance_Sheet[[#This Row],[Aop]],Data[],1)=S$2&amp;Balance_Sheet[[#This Row],[Aop]],VLOOKUP(S$2&amp;Balance_Sheet[[#This Row],[Aop]],Data[],S$1)/Jedinica,"")</f>
        <v/>
      </c>
      <c r="T94" s="38" t="str">
        <f>IF(VLOOKUP(T$2&amp;Balance_Sheet[[#This Row],[Aop]],Data[],1)=T$2&amp;Balance_Sheet[[#This Row],[Aop]],VLOOKUP(T$2&amp;Balance_Sheet[[#This Row],[Aop]],Data[],T$1)/Jedinica,"")</f>
        <v/>
      </c>
      <c r="U94" s="38" t="str">
        <f>IF(VLOOKUP(U$2&amp;Balance_Sheet[[#This Row],[Aop]],Data[],1)=U$2&amp;Balance_Sheet[[#This Row],[Aop]],VLOOKUP(U$2&amp;Balance_Sheet[[#This Row],[Aop]],Data[],U$1)/Jedinica,"")</f>
        <v/>
      </c>
      <c r="V94" s="38" t="str">
        <f>IF(VLOOKUP(V$2&amp;Balance_Sheet[[#This Row],[Aop]],Data[],1)=V$2&amp;Balance_Sheet[[#This Row],[Aop]],VLOOKUP(V$2&amp;Balance_Sheet[[#This Row],[Aop]],Data[],V$1)/Jedinica,"")</f>
        <v/>
      </c>
      <c r="W94" s="38" t="str">
        <f>IF(VLOOKUP(W$2&amp;Balance_Sheet[[#This Row],[Aop]],Data[],1)=W$2&amp;Balance_Sheet[[#This Row],[Aop]],VLOOKUP(W$2&amp;Balance_Sheet[[#This Row],[Aop]],Data[],W$1)/Jedinica,"")</f>
        <v/>
      </c>
      <c r="X94" s="38" t="str">
        <f>IF(VLOOKUP(X$2&amp;Balance_Sheet[[#This Row],[Aop]],Data[],1)=X$2&amp;Balance_Sheet[[#This Row],[Aop]],VLOOKUP(X$2&amp;Balance_Sheet[[#This Row],[Aop]],Data[],X$1)/Jedinica,"")</f>
        <v/>
      </c>
      <c r="Y94" s="38" t="str">
        <f>IF(VLOOKUP(Y$2&amp;Balance_Sheet[[#This Row],[Aop]],Data[],1)=Y$2&amp;Balance_Sheet[[#This Row],[Aop]],VLOOKUP(Y$2&amp;Balance_Sheet[[#This Row],[Aop]],Data[],Y$1)/Jedinica,"")</f>
        <v/>
      </c>
      <c r="Z94" s="38" t="str">
        <f>IF(VLOOKUP(Z$2&amp;Balance_Sheet[[#This Row],[Aop]],Data[],1)=Z$2&amp;Balance_Sheet[[#This Row],[Aop]],VLOOKUP(Z$2&amp;Balance_Sheet[[#This Row],[Aop]],Data[],Z$1)/Jedinica,"")</f>
        <v/>
      </c>
      <c r="AA94" s="38" t="str">
        <f>IF(VLOOKUP(AA$2&amp;Balance_Sheet[[#This Row],[Aop]],Data[],1)=AA$2&amp;Balance_Sheet[[#This Row],[Aop]],VLOOKUP(AA$2&amp;Balance_Sheet[[#This Row],[Aop]],Data[],AA$1)/Jedinica,"")</f>
        <v/>
      </c>
      <c r="AB94" s="38" t="str">
        <f>IF(VLOOKUP(AB$2&amp;Balance_Sheet[[#This Row],[Aop]],Data[],1)=AB$2&amp;Balance_Sheet[[#This Row],[Aop]],VLOOKUP(AB$2&amp;Balance_Sheet[[#This Row],[Aop]],Data[],AB$1)/Jedinica,"")</f>
        <v/>
      </c>
      <c r="AC94" s="38" t="str">
        <f>IF(VLOOKUP(AC$2&amp;Balance_Sheet[[#This Row],[Aop]],Data[],1)=AC$2&amp;Balance_Sheet[[#This Row],[Aop]],VLOOKUP(AC$2&amp;Balance_Sheet[[#This Row],[Aop]],Data[],AC$1)/Jedinica,"")</f>
        <v/>
      </c>
      <c r="AD94" s="38" t="str">
        <f>IF(VLOOKUP(AD$2&amp;Balance_Sheet[[#This Row],[Aop]],Data[],1)=AD$2&amp;Balance_Sheet[[#This Row],[Aop]],VLOOKUP(AD$2&amp;Balance_Sheet[[#This Row],[Aop]],Data[],AD$1)/Jedinica,"")</f>
        <v/>
      </c>
      <c r="AE94" s="38" t="str">
        <f>IF(VLOOKUP(AE$2&amp;Balance_Sheet[[#This Row],[Aop]],Data[],1)=AE$2&amp;Balance_Sheet[[#This Row],[Aop]],VLOOKUP(AE$2&amp;Balance_Sheet[[#This Row],[Aop]],Data[],AE$1)/Jedinica,"")</f>
        <v/>
      </c>
      <c r="AF94" s="38" t="str">
        <f>IF(VLOOKUP(AF$2&amp;Balance_Sheet[[#This Row],[Aop]],Data[],1)=AF$2&amp;Balance_Sheet[[#This Row],[Aop]],VLOOKUP(AF$2&amp;Balance_Sheet[[#This Row],[Aop]],Data[],AF$1)/Jedinica,"")</f>
        <v/>
      </c>
    </row>
    <row r="95" spans="1:32" ht="12.75" customHeight="1" x14ac:dyDescent="0.2">
      <c r="A95" s="74">
        <v>90</v>
      </c>
      <c r="B95" s="75">
        <v>2</v>
      </c>
      <c r="C95" s="38" t="str">
        <f>VLOOKUP(Balance_Sheet[[#This Row],[No]],AOP_Balance,3,0)</f>
        <v>138</v>
      </c>
      <c r="D95" s="52" t="str">
        <f>VLOOKUP(Balance_Sheet[[#This Row],[No]],AOP_Balance,7,0)</f>
        <v xml:space="preserve">    3. Revalorizacione rezerve (139 do 141)</v>
      </c>
      <c r="E95" s="38" t="str">
        <f>IF(VLOOKUP(E$2&amp;Balance_Sheet[[#This Row],[Aop]],Data[],1)=E$2&amp;Balance_Sheet[[#This Row],[Aop]],VLOOKUP(E$2&amp;Balance_Sheet[[#This Row],[Aop]],Data[],E$1)/Jedinica,"")</f>
        <v/>
      </c>
      <c r="F95" s="38" t="str">
        <f>IF(VLOOKUP(F$2&amp;Balance_Sheet[[#This Row],[Aop]],Data[],1)=F$2&amp;Balance_Sheet[[#This Row],[Aop]],VLOOKUP(F$2&amp;Balance_Sheet[[#This Row],[Aop]],Data[],F$1)/Jedinica,"")</f>
        <v/>
      </c>
      <c r="G95" s="38" t="str">
        <f>IF(VLOOKUP(G$2&amp;Balance_Sheet[[#This Row],[Aop]],Data[],1)=G$2&amp;Balance_Sheet[[#This Row],[Aop]],VLOOKUP(G$2&amp;Balance_Sheet[[#This Row],[Aop]],Data[],G$1)/Jedinica,"")</f>
        <v/>
      </c>
      <c r="H95" s="38" t="str">
        <f>IF(VLOOKUP(H$2&amp;Balance_Sheet[[#This Row],[Aop]],Data[],1)=H$2&amp;Balance_Sheet[[#This Row],[Aop]],VLOOKUP(H$2&amp;Balance_Sheet[[#This Row],[Aop]],Data[],H$1)/Jedinica,"")</f>
        <v/>
      </c>
      <c r="I95" s="38">
        <f>IF(VLOOKUP(I$2&amp;Balance_Sheet[[#This Row],[Aop]],Data[],1)=I$2&amp;Balance_Sheet[[#This Row],[Aop]],VLOOKUP(I$2&amp;Balance_Sheet[[#This Row],[Aop]],Data[],I$1)/Jedinica,"")</f>
        <v>0</v>
      </c>
      <c r="J95" s="38">
        <f>IF(VLOOKUP(J$2&amp;Balance_Sheet[[#This Row],[Aop]],Data[],1)=J$2&amp;Balance_Sheet[[#This Row],[Aop]],VLOOKUP(J$2&amp;Balance_Sheet[[#This Row],[Aop]],Data[],J$1)/Jedinica,"")</f>
        <v>0</v>
      </c>
      <c r="K95" s="38">
        <f>IF(VLOOKUP(K$2&amp;Balance_Sheet[[#This Row],[Aop]],Data[],1)=K$2&amp;Balance_Sheet[[#This Row],[Aop]],VLOOKUP(K$2&amp;Balance_Sheet[[#This Row],[Aop]],Data[],K$1)/Jedinica,"")</f>
        <v>1757569</v>
      </c>
      <c r="L95" s="38">
        <f>IF(VLOOKUP(L$2&amp;Balance_Sheet[[#This Row],[Aop]],Data[],1)=L$2&amp;Balance_Sheet[[#This Row],[Aop]],VLOOKUP(L$2&amp;Balance_Sheet[[#This Row],[Aop]],Data[],L$1)/Jedinica,"")</f>
        <v>1757569</v>
      </c>
      <c r="M95" s="38" t="str">
        <f>IF(VLOOKUP(M$2&amp;Balance_Sheet[[#This Row],[Aop]],Data[],1)=M$2&amp;Balance_Sheet[[#This Row],[Aop]],VLOOKUP(M$2&amp;Balance_Sheet[[#This Row],[Aop]],Data[],M$1)/Jedinica,"")</f>
        <v/>
      </c>
      <c r="N95" s="38" t="str">
        <f>IF(VLOOKUP(N$2&amp;Balance_Sheet[[#This Row],[Aop]],Data[],1)=N$2&amp;Balance_Sheet[[#This Row],[Aop]],VLOOKUP(N$2&amp;Balance_Sheet[[#This Row],[Aop]],Data[],N$1)/Jedinica,"")</f>
        <v/>
      </c>
      <c r="O95" s="38" t="str">
        <f>IF(VLOOKUP(O$2&amp;Balance_Sheet[[#This Row],[Aop]],Data[],1)=O$2&amp;Balance_Sheet[[#This Row],[Aop]],VLOOKUP(O$2&amp;Balance_Sheet[[#This Row],[Aop]],Data[],O$1)/Jedinica,"")</f>
        <v/>
      </c>
      <c r="P95" s="38" t="str">
        <f>IF(VLOOKUP(P$2&amp;Balance_Sheet[[#This Row],[Aop]],Data[],1)=P$2&amp;Balance_Sheet[[#This Row],[Aop]],VLOOKUP(P$2&amp;Balance_Sheet[[#This Row],[Aop]],Data[],P$1)/Jedinica,"")</f>
        <v/>
      </c>
      <c r="Q95" s="38" t="str">
        <f>IF(VLOOKUP(Q$2&amp;Balance_Sheet[[#This Row],[Aop]],Data[],1)=Q$2&amp;Balance_Sheet[[#This Row],[Aop]],VLOOKUP(Q$2&amp;Balance_Sheet[[#This Row],[Aop]],Data[],Q$1)/Jedinica,"")</f>
        <v/>
      </c>
      <c r="R95" s="38" t="str">
        <f>IF(VLOOKUP(R$2&amp;Balance_Sheet[[#This Row],[Aop]],Data[],1)=R$2&amp;Balance_Sheet[[#This Row],[Aop]],VLOOKUP(R$2&amp;Balance_Sheet[[#This Row],[Aop]],Data[],R$1)/Jedinica,"")</f>
        <v/>
      </c>
      <c r="S95" s="38" t="str">
        <f>IF(VLOOKUP(S$2&amp;Balance_Sheet[[#This Row],[Aop]],Data[],1)=S$2&amp;Balance_Sheet[[#This Row],[Aop]],VLOOKUP(S$2&amp;Balance_Sheet[[#This Row],[Aop]],Data[],S$1)/Jedinica,"")</f>
        <v/>
      </c>
      <c r="T95" s="38" t="str">
        <f>IF(VLOOKUP(T$2&amp;Balance_Sheet[[#This Row],[Aop]],Data[],1)=T$2&amp;Balance_Sheet[[#This Row],[Aop]],VLOOKUP(T$2&amp;Balance_Sheet[[#This Row],[Aop]],Data[],T$1)/Jedinica,"")</f>
        <v/>
      </c>
      <c r="U95" s="38">
        <f>IF(VLOOKUP(U$2&amp;Balance_Sheet[[#This Row],[Aop]],Data[],1)=U$2&amp;Balance_Sheet[[#This Row],[Aop]],VLOOKUP(U$2&amp;Balance_Sheet[[#This Row],[Aop]],Data[],U$1)/Jedinica,"")</f>
        <v>0</v>
      </c>
      <c r="V95" s="38">
        <f>IF(VLOOKUP(V$2&amp;Balance_Sheet[[#This Row],[Aop]],Data[],1)=V$2&amp;Balance_Sheet[[#This Row],[Aop]],VLOOKUP(V$2&amp;Balance_Sheet[[#This Row],[Aop]],Data[],V$1)/Jedinica,"")</f>
        <v>0</v>
      </c>
      <c r="W95" s="38">
        <f>IF(VLOOKUP(W$2&amp;Balance_Sheet[[#This Row],[Aop]],Data[],1)=W$2&amp;Balance_Sheet[[#This Row],[Aop]],VLOOKUP(W$2&amp;Balance_Sheet[[#This Row],[Aop]],Data[],W$1)/Jedinica,"")</f>
        <v>-143587</v>
      </c>
      <c r="X95" s="38">
        <f>IF(VLOOKUP(X$2&amp;Balance_Sheet[[#This Row],[Aop]],Data[],1)=X$2&amp;Balance_Sheet[[#This Row],[Aop]],VLOOKUP(X$2&amp;Balance_Sheet[[#This Row],[Aop]],Data[],X$1)/Jedinica,"")</f>
        <v>-71539</v>
      </c>
      <c r="Y95" s="38" t="str">
        <f>IF(VLOOKUP(Y$2&amp;Balance_Sheet[[#This Row],[Aop]],Data[],1)=Y$2&amp;Balance_Sheet[[#This Row],[Aop]],VLOOKUP(Y$2&amp;Balance_Sheet[[#This Row],[Aop]],Data[],Y$1)/Jedinica,"")</f>
        <v/>
      </c>
      <c r="Z95" s="38" t="str">
        <f>IF(VLOOKUP(Z$2&amp;Balance_Sheet[[#This Row],[Aop]],Data[],1)=Z$2&amp;Balance_Sheet[[#This Row],[Aop]],VLOOKUP(Z$2&amp;Balance_Sheet[[#This Row],[Aop]],Data[],Z$1)/Jedinica,"")</f>
        <v/>
      </c>
      <c r="AA95" s="38" t="str">
        <f>IF(VLOOKUP(AA$2&amp;Balance_Sheet[[#This Row],[Aop]],Data[],1)=AA$2&amp;Balance_Sheet[[#This Row],[Aop]],VLOOKUP(AA$2&amp;Balance_Sheet[[#This Row],[Aop]],Data[],AA$1)/Jedinica,"")</f>
        <v/>
      </c>
      <c r="AB95" s="38" t="str">
        <f>IF(VLOOKUP(AB$2&amp;Balance_Sheet[[#This Row],[Aop]],Data[],1)=AB$2&amp;Balance_Sheet[[#This Row],[Aop]],VLOOKUP(AB$2&amp;Balance_Sheet[[#This Row],[Aop]],Data[],AB$1)/Jedinica,"")</f>
        <v/>
      </c>
      <c r="AC95" s="38">
        <f>IF(VLOOKUP(AC$2&amp;Balance_Sheet[[#This Row],[Aop]],Data[],1)=AC$2&amp;Balance_Sheet[[#This Row],[Aop]],VLOOKUP(AC$2&amp;Balance_Sheet[[#This Row],[Aop]],Data[],AC$1)/Jedinica,"")</f>
        <v>0</v>
      </c>
      <c r="AD95" s="38">
        <f>IF(VLOOKUP(AD$2&amp;Balance_Sheet[[#This Row],[Aop]],Data[],1)=AD$2&amp;Balance_Sheet[[#This Row],[Aop]],VLOOKUP(AD$2&amp;Balance_Sheet[[#This Row],[Aop]],Data[],AD$1)/Jedinica,"")</f>
        <v>0</v>
      </c>
      <c r="AE95" s="38">
        <f>IF(VLOOKUP(AE$2&amp;Balance_Sheet[[#This Row],[Aop]],Data[],1)=AE$2&amp;Balance_Sheet[[#This Row],[Aop]],VLOOKUP(AE$2&amp;Balance_Sheet[[#This Row],[Aop]],Data[],AE$1)/Jedinica,"")</f>
        <v>6590153</v>
      </c>
      <c r="AF95" s="38">
        <f>IF(VLOOKUP(AF$2&amp;Balance_Sheet[[#This Row],[Aop]],Data[],1)=AF$2&amp;Balance_Sheet[[#This Row],[Aop]],VLOOKUP(AF$2&amp;Balance_Sheet[[#This Row],[Aop]],Data[],AF$1)/Jedinica,"")</f>
        <v>6014682</v>
      </c>
    </row>
    <row r="96" spans="1:32" ht="25.5" customHeight="1" x14ac:dyDescent="0.2">
      <c r="A96" s="74">
        <v>91</v>
      </c>
      <c r="B96" s="75">
        <v>3</v>
      </c>
      <c r="C96" s="38" t="str">
        <f>VLOOKUP(Balance_Sheet[[#This Row],[No]],AOP_Balance,3,0)</f>
        <v>139</v>
      </c>
      <c r="D96" s="52" t="str">
        <f>VLOOKUP(Balance_Sheet[[#This Row],[No]],AOP_Balance,7,0)</f>
        <v xml:space="preserve">      a) Revalorizacione rezerve po osnovu promjene vrijednosti osnovnih sredstava i nematerijalnih ulaganja</v>
      </c>
      <c r="E96" s="38" t="str">
        <f>IF(VLOOKUP(E$2&amp;Balance_Sheet[[#This Row],[Aop]],Data[],1)=E$2&amp;Balance_Sheet[[#This Row],[Aop]],VLOOKUP(E$2&amp;Balance_Sheet[[#This Row],[Aop]],Data[],E$1)/Jedinica,"")</f>
        <v/>
      </c>
      <c r="F96" s="38" t="str">
        <f>IF(VLOOKUP(F$2&amp;Balance_Sheet[[#This Row],[Aop]],Data[],1)=F$2&amp;Balance_Sheet[[#This Row],[Aop]],VLOOKUP(F$2&amp;Balance_Sheet[[#This Row],[Aop]],Data[],F$1)/Jedinica,"")</f>
        <v/>
      </c>
      <c r="G96" s="38" t="str">
        <f>IF(VLOOKUP(G$2&amp;Balance_Sheet[[#This Row],[Aop]],Data[],1)=G$2&amp;Balance_Sheet[[#This Row],[Aop]],VLOOKUP(G$2&amp;Balance_Sheet[[#This Row],[Aop]],Data[],G$1)/Jedinica,"")</f>
        <v/>
      </c>
      <c r="H96" s="38" t="str">
        <f>IF(VLOOKUP(H$2&amp;Balance_Sheet[[#This Row],[Aop]],Data[],1)=H$2&amp;Balance_Sheet[[#This Row],[Aop]],VLOOKUP(H$2&amp;Balance_Sheet[[#This Row],[Aop]],Data[],H$1)/Jedinica,"")</f>
        <v/>
      </c>
      <c r="I96" s="38">
        <f>IF(VLOOKUP(I$2&amp;Balance_Sheet[[#This Row],[Aop]],Data[],1)=I$2&amp;Balance_Sheet[[#This Row],[Aop]],VLOOKUP(I$2&amp;Balance_Sheet[[#This Row],[Aop]],Data[],I$1)/Jedinica,"")</f>
        <v>0</v>
      </c>
      <c r="J96" s="38">
        <f>IF(VLOOKUP(J$2&amp;Balance_Sheet[[#This Row],[Aop]],Data[],1)=J$2&amp;Balance_Sheet[[#This Row],[Aop]],VLOOKUP(J$2&amp;Balance_Sheet[[#This Row],[Aop]],Data[],J$1)/Jedinica,"")</f>
        <v>0</v>
      </c>
      <c r="K96" s="38">
        <f>IF(VLOOKUP(K$2&amp;Balance_Sheet[[#This Row],[Aop]],Data[],1)=K$2&amp;Balance_Sheet[[#This Row],[Aop]],VLOOKUP(K$2&amp;Balance_Sheet[[#This Row],[Aop]],Data[],K$1)/Jedinica,"")</f>
        <v>1757569</v>
      </c>
      <c r="L96" s="38">
        <f>IF(VLOOKUP(L$2&amp;Balance_Sheet[[#This Row],[Aop]],Data[],1)=L$2&amp;Balance_Sheet[[#This Row],[Aop]],VLOOKUP(L$2&amp;Balance_Sheet[[#This Row],[Aop]],Data[],L$1)/Jedinica,"")</f>
        <v>1757569</v>
      </c>
      <c r="M96" s="38" t="str">
        <f>IF(VLOOKUP(M$2&amp;Balance_Sheet[[#This Row],[Aop]],Data[],1)=M$2&amp;Balance_Sheet[[#This Row],[Aop]],VLOOKUP(M$2&amp;Balance_Sheet[[#This Row],[Aop]],Data[],M$1)/Jedinica,"")</f>
        <v/>
      </c>
      <c r="N96" s="38" t="str">
        <f>IF(VLOOKUP(N$2&amp;Balance_Sheet[[#This Row],[Aop]],Data[],1)=N$2&amp;Balance_Sheet[[#This Row],[Aop]],VLOOKUP(N$2&amp;Balance_Sheet[[#This Row],[Aop]],Data[],N$1)/Jedinica,"")</f>
        <v/>
      </c>
      <c r="O96" s="38" t="str">
        <f>IF(VLOOKUP(O$2&amp;Balance_Sheet[[#This Row],[Aop]],Data[],1)=O$2&amp;Balance_Sheet[[#This Row],[Aop]],VLOOKUP(O$2&amp;Balance_Sheet[[#This Row],[Aop]],Data[],O$1)/Jedinica,"")</f>
        <v/>
      </c>
      <c r="P96" s="38" t="str">
        <f>IF(VLOOKUP(P$2&amp;Balance_Sheet[[#This Row],[Aop]],Data[],1)=P$2&amp;Balance_Sheet[[#This Row],[Aop]],VLOOKUP(P$2&amp;Balance_Sheet[[#This Row],[Aop]],Data[],P$1)/Jedinica,"")</f>
        <v/>
      </c>
      <c r="Q96" s="38" t="str">
        <f>IF(VLOOKUP(Q$2&amp;Balance_Sheet[[#This Row],[Aop]],Data[],1)=Q$2&amp;Balance_Sheet[[#This Row],[Aop]],VLOOKUP(Q$2&amp;Balance_Sheet[[#This Row],[Aop]],Data[],Q$1)/Jedinica,"")</f>
        <v/>
      </c>
      <c r="R96" s="38" t="str">
        <f>IF(VLOOKUP(R$2&amp;Balance_Sheet[[#This Row],[Aop]],Data[],1)=R$2&amp;Balance_Sheet[[#This Row],[Aop]],VLOOKUP(R$2&amp;Balance_Sheet[[#This Row],[Aop]],Data[],R$1)/Jedinica,"")</f>
        <v/>
      </c>
      <c r="S96" s="38" t="str">
        <f>IF(VLOOKUP(S$2&amp;Balance_Sheet[[#This Row],[Aop]],Data[],1)=S$2&amp;Balance_Sheet[[#This Row],[Aop]],VLOOKUP(S$2&amp;Balance_Sheet[[#This Row],[Aop]],Data[],S$1)/Jedinica,"")</f>
        <v/>
      </c>
      <c r="T96" s="38" t="str">
        <f>IF(VLOOKUP(T$2&amp;Balance_Sheet[[#This Row],[Aop]],Data[],1)=T$2&amp;Balance_Sheet[[#This Row],[Aop]],VLOOKUP(T$2&amp;Balance_Sheet[[#This Row],[Aop]],Data[],T$1)/Jedinica,"")</f>
        <v/>
      </c>
      <c r="U96" s="38" t="str">
        <f>IF(VLOOKUP(U$2&amp;Balance_Sheet[[#This Row],[Aop]],Data[],1)=U$2&amp;Balance_Sheet[[#This Row],[Aop]],VLOOKUP(U$2&amp;Balance_Sheet[[#This Row],[Aop]],Data[],U$1)/Jedinica,"")</f>
        <v/>
      </c>
      <c r="V96" s="38" t="str">
        <f>IF(VLOOKUP(V$2&amp;Balance_Sheet[[#This Row],[Aop]],Data[],1)=V$2&amp;Balance_Sheet[[#This Row],[Aop]],VLOOKUP(V$2&amp;Balance_Sheet[[#This Row],[Aop]],Data[],V$1)/Jedinica,"")</f>
        <v/>
      </c>
      <c r="W96" s="38" t="str">
        <f>IF(VLOOKUP(W$2&amp;Balance_Sheet[[#This Row],[Aop]],Data[],1)=W$2&amp;Balance_Sheet[[#This Row],[Aop]],VLOOKUP(W$2&amp;Balance_Sheet[[#This Row],[Aop]],Data[],W$1)/Jedinica,"")</f>
        <v/>
      </c>
      <c r="X96" s="38" t="str">
        <f>IF(VLOOKUP(X$2&amp;Balance_Sheet[[#This Row],[Aop]],Data[],1)=X$2&amp;Balance_Sheet[[#This Row],[Aop]],VLOOKUP(X$2&amp;Balance_Sheet[[#This Row],[Aop]],Data[],X$1)/Jedinica,"")</f>
        <v/>
      </c>
      <c r="Y96" s="38" t="str">
        <f>IF(VLOOKUP(Y$2&amp;Balance_Sheet[[#This Row],[Aop]],Data[],1)=Y$2&amp;Balance_Sheet[[#This Row],[Aop]],VLOOKUP(Y$2&amp;Balance_Sheet[[#This Row],[Aop]],Data[],Y$1)/Jedinica,"")</f>
        <v/>
      </c>
      <c r="Z96" s="38" t="str">
        <f>IF(VLOOKUP(Z$2&amp;Balance_Sheet[[#This Row],[Aop]],Data[],1)=Z$2&amp;Balance_Sheet[[#This Row],[Aop]],VLOOKUP(Z$2&amp;Balance_Sheet[[#This Row],[Aop]],Data[],Z$1)/Jedinica,"")</f>
        <v/>
      </c>
      <c r="AA96" s="38" t="str">
        <f>IF(VLOOKUP(AA$2&amp;Balance_Sheet[[#This Row],[Aop]],Data[],1)=AA$2&amp;Balance_Sheet[[#This Row],[Aop]],VLOOKUP(AA$2&amp;Balance_Sheet[[#This Row],[Aop]],Data[],AA$1)/Jedinica,"")</f>
        <v/>
      </c>
      <c r="AB96" s="38" t="str">
        <f>IF(VLOOKUP(AB$2&amp;Balance_Sheet[[#This Row],[Aop]],Data[],1)=AB$2&amp;Balance_Sheet[[#This Row],[Aop]],VLOOKUP(AB$2&amp;Balance_Sheet[[#This Row],[Aop]],Data[],AB$1)/Jedinica,"")</f>
        <v/>
      </c>
      <c r="AC96" s="38">
        <f>IF(VLOOKUP(AC$2&amp;Balance_Sheet[[#This Row],[Aop]],Data[],1)=AC$2&amp;Balance_Sheet[[#This Row],[Aop]],VLOOKUP(AC$2&amp;Balance_Sheet[[#This Row],[Aop]],Data[],AC$1)/Jedinica,"")</f>
        <v>0</v>
      </c>
      <c r="AD96" s="38">
        <f>IF(VLOOKUP(AD$2&amp;Balance_Sheet[[#This Row],[Aop]],Data[],1)=AD$2&amp;Balance_Sheet[[#This Row],[Aop]],VLOOKUP(AD$2&amp;Balance_Sheet[[#This Row],[Aop]],Data[],AD$1)/Jedinica,"")</f>
        <v>0</v>
      </c>
      <c r="AE96" s="38">
        <f>IF(VLOOKUP(AE$2&amp;Balance_Sheet[[#This Row],[Aop]],Data[],1)=AE$2&amp;Balance_Sheet[[#This Row],[Aop]],VLOOKUP(AE$2&amp;Balance_Sheet[[#This Row],[Aop]],Data[],AE$1)/Jedinica,"")</f>
        <v>4335672</v>
      </c>
      <c r="AF96" s="38">
        <f>IF(VLOOKUP(AF$2&amp;Balance_Sheet[[#This Row],[Aop]],Data[],1)=AF$2&amp;Balance_Sheet[[#This Row],[Aop]],VLOOKUP(AF$2&amp;Balance_Sheet[[#This Row],[Aop]],Data[],AF$1)/Jedinica,"")</f>
        <v>4338741</v>
      </c>
    </row>
    <row r="97" spans="1:32" ht="12.75" customHeight="1" x14ac:dyDescent="0.2">
      <c r="A97" s="74">
        <v>92</v>
      </c>
      <c r="B97" s="75">
        <v>3</v>
      </c>
      <c r="C97" s="38" t="str">
        <f>VLOOKUP(Balance_Sheet[[#This Row],[No]],AOP_Balance,3,0)</f>
        <v>140</v>
      </c>
      <c r="D97" s="52" t="str">
        <f>VLOOKUP(Balance_Sheet[[#This Row],[No]],AOP_Balance,7,0)</f>
        <v xml:space="preserve">      b) Revalorizacione rezerve po osnovu promjene vrijednosti hartija od vrijednosti</v>
      </c>
      <c r="E97" s="38" t="str">
        <f>IF(VLOOKUP(E$2&amp;Balance_Sheet[[#This Row],[Aop]],Data[],1)=E$2&amp;Balance_Sheet[[#This Row],[Aop]],VLOOKUP(E$2&amp;Balance_Sheet[[#This Row],[Aop]],Data[],E$1)/Jedinica,"")</f>
        <v/>
      </c>
      <c r="F97" s="38" t="str">
        <f>IF(VLOOKUP(F$2&amp;Balance_Sheet[[#This Row],[Aop]],Data[],1)=F$2&amp;Balance_Sheet[[#This Row],[Aop]],VLOOKUP(F$2&amp;Balance_Sheet[[#This Row],[Aop]],Data[],F$1)/Jedinica,"")</f>
        <v/>
      </c>
      <c r="G97" s="38" t="str">
        <f>IF(VLOOKUP(G$2&amp;Balance_Sheet[[#This Row],[Aop]],Data[],1)=G$2&amp;Balance_Sheet[[#This Row],[Aop]],VLOOKUP(G$2&amp;Balance_Sheet[[#This Row],[Aop]],Data[],G$1)/Jedinica,"")</f>
        <v/>
      </c>
      <c r="H97" s="38" t="str">
        <f>IF(VLOOKUP(H$2&amp;Balance_Sheet[[#This Row],[Aop]],Data[],1)=H$2&amp;Balance_Sheet[[#This Row],[Aop]],VLOOKUP(H$2&amp;Balance_Sheet[[#This Row],[Aop]],Data[],H$1)/Jedinica,"")</f>
        <v/>
      </c>
      <c r="I97" s="38" t="str">
        <f>IF(VLOOKUP(I$2&amp;Balance_Sheet[[#This Row],[Aop]],Data[],1)=I$2&amp;Balance_Sheet[[#This Row],[Aop]],VLOOKUP(I$2&amp;Balance_Sheet[[#This Row],[Aop]],Data[],I$1)/Jedinica,"")</f>
        <v/>
      </c>
      <c r="J97" s="38" t="str">
        <f>IF(VLOOKUP(J$2&amp;Balance_Sheet[[#This Row],[Aop]],Data[],1)=J$2&amp;Balance_Sheet[[#This Row],[Aop]],VLOOKUP(J$2&amp;Balance_Sheet[[#This Row],[Aop]],Data[],J$1)/Jedinica,"")</f>
        <v/>
      </c>
      <c r="K97" s="38" t="str">
        <f>IF(VLOOKUP(K$2&amp;Balance_Sheet[[#This Row],[Aop]],Data[],1)=K$2&amp;Balance_Sheet[[#This Row],[Aop]],VLOOKUP(K$2&amp;Balance_Sheet[[#This Row],[Aop]],Data[],K$1)/Jedinica,"")</f>
        <v/>
      </c>
      <c r="L97" s="38" t="str">
        <f>IF(VLOOKUP(L$2&amp;Balance_Sheet[[#This Row],[Aop]],Data[],1)=L$2&amp;Balance_Sheet[[#This Row],[Aop]],VLOOKUP(L$2&amp;Balance_Sheet[[#This Row],[Aop]],Data[],L$1)/Jedinica,"")</f>
        <v/>
      </c>
      <c r="M97" s="38" t="str">
        <f>IF(VLOOKUP(M$2&amp;Balance_Sheet[[#This Row],[Aop]],Data[],1)=M$2&amp;Balance_Sheet[[#This Row],[Aop]],VLOOKUP(M$2&amp;Balance_Sheet[[#This Row],[Aop]],Data[],M$1)/Jedinica,"")</f>
        <v/>
      </c>
      <c r="N97" s="38" t="str">
        <f>IF(VLOOKUP(N$2&amp;Balance_Sheet[[#This Row],[Aop]],Data[],1)=N$2&amp;Balance_Sheet[[#This Row],[Aop]],VLOOKUP(N$2&amp;Balance_Sheet[[#This Row],[Aop]],Data[],N$1)/Jedinica,"")</f>
        <v/>
      </c>
      <c r="O97" s="38" t="str">
        <f>IF(VLOOKUP(O$2&amp;Balance_Sheet[[#This Row],[Aop]],Data[],1)=O$2&amp;Balance_Sheet[[#This Row],[Aop]],VLOOKUP(O$2&amp;Balance_Sheet[[#This Row],[Aop]],Data[],O$1)/Jedinica,"")</f>
        <v/>
      </c>
      <c r="P97" s="38" t="str">
        <f>IF(VLOOKUP(P$2&amp;Balance_Sheet[[#This Row],[Aop]],Data[],1)=P$2&amp;Balance_Sheet[[#This Row],[Aop]],VLOOKUP(P$2&amp;Balance_Sheet[[#This Row],[Aop]],Data[],P$1)/Jedinica,"")</f>
        <v/>
      </c>
      <c r="Q97" s="38" t="str">
        <f>IF(VLOOKUP(Q$2&amp;Balance_Sheet[[#This Row],[Aop]],Data[],1)=Q$2&amp;Balance_Sheet[[#This Row],[Aop]],VLOOKUP(Q$2&amp;Balance_Sheet[[#This Row],[Aop]],Data[],Q$1)/Jedinica,"")</f>
        <v/>
      </c>
      <c r="R97" s="38" t="str">
        <f>IF(VLOOKUP(R$2&amp;Balance_Sheet[[#This Row],[Aop]],Data[],1)=R$2&amp;Balance_Sheet[[#This Row],[Aop]],VLOOKUP(R$2&amp;Balance_Sheet[[#This Row],[Aop]],Data[],R$1)/Jedinica,"")</f>
        <v/>
      </c>
      <c r="S97" s="38" t="str">
        <f>IF(VLOOKUP(S$2&amp;Balance_Sheet[[#This Row],[Aop]],Data[],1)=S$2&amp;Balance_Sheet[[#This Row],[Aop]],VLOOKUP(S$2&amp;Balance_Sheet[[#This Row],[Aop]],Data[],S$1)/Jedinica,"")</f>
        <v/>
      </c>
      <c r="T97" s="38" t="str">
        <f>IF(VLOOKUP(T$2&amp;Balance_Sheet[[#This Row],[Aop]],Data[],1)=T$2&amp;Balance_Sheet[[#This Row],[Aop]],VLOOKUP(T$2&amp;Balance_Sheet[[#This Row],[Aop]],Data[],T$1)/Jedinica,"")</f>
        <v/>
      </c>
      <c r="U97" s="38">
        <f>IF(VLOOKUP(U$2&amp;Balance_Sheet[[#This Row],[Aop]],Data[],1)=U$2&amp;Balance_Sheet[[#This Row],[Aop]],VLOOKUP(U$2&amp;Balance_Sheet[[#This Row],[Aop]],Data[],U$1)/Jedinica,"")</f>
        <v>0</v>
      </c>
      <c r="V97" s="38">
        <f>IF(VLOOKUP(V$2&amp;Balance_Sheet[[#This Row],[Aop]],Data[],1)=V$2&amp;Balance_Sheet[[#This Row],[Aop]],VLOOKUP(V$2&amp;Balance_Sheet[[#This Row],[Aop]],Data[],V$1)/Jedinica,"")</f>
        <v>0</v>
      </c>
      <c r="W97" s="38">
        <f>IF(VLOOKUP(W$2&amp;Balance_Sheet[[#This Row],[Aop]],Data[],1)=W$2&amp;Balance_Sheet[[#This Row],[Aop]],VLOOKUP(W$2&amp;Balance_Sheet[[#This Row],[Aop]],Data[],W$1)/Jedinica,"")</f>
        <v>-143587</v>
      </c>
      <c r="X97" s="38">
        <f>IF(VLOOKUP(X$2&amp;Balance_Sheet[[#This Row],[Aop]],Data[],1)=X$2&amp;Balance_Sheet[[#This Row],[Aop]],VLOOKUP(X$2&amp;Balance_Sheet[[#This Row],[Aop]],Data[],X$1)/Jedinica,"")</f>
        <v>-71539</v>
      </c>
      <c r="Y97" s="38" t="str">
        <f>IF(VLOOKUP(Y$2&amp;Balance_Sheet[[#This Row],[Aop]],Data[],1)=Y$2&amp;Balance_Sheet[[#This Row],[Aop]],VLOOKUP(Y$2&amp;Balance_Sheet[[#This Row],[Aop]],Data[],Y$1)/Jedinica,"")</f>
        <v/>
      </c>
      <c r="Z97" s="38" t="str">
        <f>IF(VLOOKUP(Z$2&amp;Balance_Sheet[[#This Row],[Aop]],Data[],1)=Z$2&amp;Balance_Sheet[[#This Row],[Aop]],VLOOKUP(Z$2&amp;Balance_Sheet[[#This Row],[Aop]],Data[],Z$1)/Jedinica,"")</f>
        <v/>
      </c>
      <c r="AA97" s="38" t="str">
        <f>IF(VLOOKUP(AA$2&amp;Balance_Sheet[[#This Row],[Aop]],Data[],1)=AA$2&amp;Balance_Sheet[[#This Row],[Aop]],VLOOKUP(AA$2&amp;Balance_Sheet[[#This Row],[Aop]],Data[],AA$1)/Jedinica,"")</f>
        <v/>
      </c>
      <c r="AB97" s="38" t="str">
        <f>IF(VLOOKUP(AB$2&amp;Balance_Sheet[[#This Row],[Aop]],Data[],1)=AB$2&amp;Balance_Sheet[[#This Row],[Aop]],VLOOKUP(AB$2&amp;Balance_Sheet[[#This Row],[Aop]],Data[],AB$1)/Jedinica,"")</f>
        <v/>
      </c>
      <c r="AC97" s="38">
        <f>IF(VLOOKUP(AC$2&amp;Balance_Sheet[[#This Row],[Aop]],Data[],1)=AC$2&amp;Balance_Sheet[[#This Row],[Aop]],VLOOKUP(AC$2&amp;Balance_Sheet[[#This Row],[Aop]],Data[],AC$1)/Jedinica,"")</f>
        <v>0</v>
      </c>
      <c r="AD97" s="38">
        <f>IF(VLOOKUP(AD$2&amp;Balance_Sheet[[#This Row],[Aop]],Data[],1)=AD$2&amp;Balance_Sheet[[#This Row],[Aop]],VLOOKUP(AD$2&amp;Balance_Sheet[[#This Row],[Aop]],Data[],AD$1)/Jedinica,"")</f>
        <v>0</v>
      </c>
      <c r="AE97" s="38">
        <f>IF(VLOOKUP(AE$2&amp;Balance_Sheet[[#This Row],[Aop]],Data[],1)=AE$2&amp;Balance_Sheet[[#This Row],[Aop]],VLOOKUP(AE$2&amp;Balance_Sheet[[#This Row],[Aop]],Data[],AE$1)/Jedinica,"")</f>
        <v>2254481</v>
      </c>
      <c r="AF97" s="38">
        <f>IF(VLOOKUP(AF$2&amp;Balance_Sheet[[#This Row],[Aop]],Data[],1)=AF$2&amp;Balance_Sheet[[#This Row],[Aop]],VLOOKUP(AF$2&amp;Balance_Sheet[[#This Row],[Aop]],Data[],AF$1)/Jedinica,"")</f>
        <v>1675941</v>
      </c>
    </row>
    <row r="98" spans="1:32" ht="12.75" customHeight="1" x14ac:dyDescent="0.2">
      <c r="A98" s="74">
        <v>93</v>
      </c>
      <c r="B98" s="75">
        <v>3</v>
      </c>
      <c r="C98" s="38" t="str">
        <f>VLOOKUP(Balance_Sheet[[#This Row],[No]],AOP_Balance,3,0)</f>
        <v>141</v>
      </c>
      <c r="D98" s="52" t="str">
        <f>VLOOKUP(Balance_Sheet[[#This Row],[No]],AOP_Balance,7,0)</f>
        <v xml:space="preserve">      v) Revalorizacione rezerve po ostalim osnovama</v>
      </c>
      <c r="E98" s="38" t="str">
        <f>IF(VLOOKUP(E$2&amp;Balance_Sheet[[#This Row],[Aop]],Data[],1)=E$2&amp;Balance_Sheet[[#This Row],[Aop]],VLOOKUP(E$2&amp;Balance_Sheet[[#This Row],[Aop]],Data[],E$1)/Jedinica,"")</f>
        <v/>
      </c>
      <c r="F98" s="38" t="str">
        <f>IF(VLOOKUP(F$2&amp;Balance_Sheet[[#This Row],[Aop]],Data[],1)=F$2&amp;Balance_Sheet[[#This Row],[Aop]],VLOOKUP(F$2&amp;Balance_Sheet[[#This Row],[Aop]],Data[],F$1)/Jedinica,"")</f>
        <v/>
      </c>
      <c r="G98" s="38" t="str">
        <f>IF(VLOOKUP(G$2&amp;Balance_Sheet[[#This Row],[Aop]],Data[],1)=G$2&amp;Balance_Sheet[[#This Row],[Aop]],VLOOKUP(G$2&amp;Balance_Sheet[[#This Row],[Aop]],Data[],G$1)/Jedinica,"")</f>
        <v/>
      </c>
      <c r="H98" s="38" t="str">
        <f>IF(VLOOKUP(H$2&amp;Balance_Sheet[[#This Row],[Aop]],Data[],1)=H$2&amp;Balance_Sheet[[#This Row],[Aop]],VLOOKUP(H$2&amp;Balance_Sheet[[#This Row],[Aop]],Data[],H$1)/Jedinica,"")</f>
        <v/>
      </c>
      <c r="I98" s="38" t="str">
        <f>IF(VLOOKUP(I$2&amp;Balance_Sheet[[#This Row],[Aop]],Data[],1)=I$2&amp;Balance_Sheet[[#This Row],[Aop]],VLOOKUP(I$2&amp;Balance_Sheet[[#This Row],[Aop]],Data[],I$1)/Jedinica,"")</f>
        <v/>
      </c>
      <c r="J98" s="38" t="str">
        <f>IF(VLOOKUP(J$2&amp;Balance_Sheet[[#This Row],[Aop]],Data[],1)=J$2&amp;Balance_Sheet[[#This Row],[Aop]],VLOOKUP(J$2&amp;Balance_Sheet[[#This Row],[Aop]],Data[],J$1)/Jedinica,"")</f>
        <v/>
      </c>
      <c r="K98" s="38" t="str">
        <f>IF(VLOOKUP(K$2&amp;Balance_Sheet[[#This Row],[Aop]],Data[],1)=K$2&amp;Balance_Sheet[[#This Row],[Aop]],VLOOKUP(K$2&amp;Balance_Sheet[[#This Row],[Aop]],Data[],K$1)/Jedinica,"")</f>
        <v/>
      </c>
      <c r="L98" s="38" t="str">
        <f>IF(VLOOKUP(L$2&amp;Balance_Sheet[[#This Row],[Aop]],Data[],1)=L$2&amp;Balance_Sheet[[#This Row],[Aop]],VLOOKUP(L$2&amp;Balance_Sheet[[#This Row],[Aop]],Data[],L$1)/Jedinica,"")</f>
        <v/>
      </c>
      <c r="M98" s="38" t="str">
        <f>IF(VLOOKUP(M$2&amp;Balance_Sheet[[#This Row],[Aop]],Data[],1)=M$2&amp;Balance_Sheet[[#This Row],[Aop]],VLOOKUP(M$2&amp;Balance_Sheet[[#This Row],[Aop]],Data[],M$1)/Jedinica,"")</f>
        <v/>
      </c>
      <c r="N98" s="38" t="str">
        <f>IF(VLOOKUP(N$2&amp;Balance_Sheet[[#This Row],[Aop]],Data[],1)=N$2&amp;Balance_Sheet[[#This Row],[Aop]],VLOOKUP(N$2&amp;Balance_Sheet[[#This Row],[Aop]],Data[],N$1)/Jedinica,"")</f>
        <v/>
      </c>
      <c r="O98" s="38" t="str">
        <f>IF(VLOOKUP(O$2&amp;Balance_Sheet[[#This Row],[Aop]],Data[],1)=O$2&amp;Balance_Sheet[[#This Row],[Aop]],VLOOKUP(O$2&amp;Balance_Sheet[[#This Row],[Aop]],Data[],O$1)/Jedinica,"")</f>
        <v/>
      </c>
      <c r="P98" s="38" t="str">
        <f>IF(VLOOKUP(P$2&amp;Balance_Sheet[[#This Row],[Aop]],Data[],1)=P$2&amp;Balance_Sheet[[#This Row],[Aop]],VLOOKUP(P$2&amp;Balance_Sheet[[#This Row],[Aop]],Data[],P$1)/Jedinica,"")</f>
        <v/>
      </c>
      <c r="Q98" s="38" t="str">
        <f>IF(VLOOKUP(Q$2&amp;Balance_Sheet[[#This Row],[Aop]],Data[],1)=Q$2&amp;Balance_Sheet[[#This Row],[Aop]],VLOOKUP(Q$2&amp;Balance_Sheet[[#This Row],[Aop]],Data[],Q$1)/Jedinica,"")</f>
        <v/>
      </c>
      <c r="R98" s="38" t="str">
        <f>IF(VLOOKUP(R$2&amp;Balance_Sheet[[#This Row],[Aop]],Data[],1)=R$2&amp;Balance_Sheet[[#This Row],[Aop]],VLOOKUP(R$2&amp;Balance_Sheet[[#This Row],[Aop]],Data[],R$1)/Jedinica,"")</f>
        <v/>
      </c>
      <c r="S98" s="38" t="str">
        <f>IF(VLOOKUP(S$2&amp;Balance_Sheet[[#This Row],[Aop]],Data[],1)=S$2&amp;Balance_Sheet[[#This Row],[Aop]],VLOOKUP(S$2&amp;Balance_Sheet[[#This Row],[Aop]],Data[],S$1)/Jedinica,"")</f>
        <v/>
      </c>
      <c r="T98" s="38" t="str">
        <f>IF(VLOOKUP(T$2&amp;Balance_Sheet[[#This Row],[Aop]],Data[],1)=T$2&amp;Balance_Sheet[[#This Row],[Aop]],VLOOKUP(T$2&amp;Balance_Sheet[[#This Row],[Aop]],Data[],T$1)/Jedinica,"")</f>
        <v/>
      </c>
      <c r="U98" s="38" t="str">
        <f>IF(VLOOKUP(U$2&amp;Balance_Sheet[[#This Row],[Aop]],Data[],1)=U$2&amp;Balance_Sheet[[#This Row],[Aop]],VLOOKUP(U$2&amp;Balance_Sheet[[#This Row],[Aop]],Data[],U$1)/Jedinica,"")</f>
        <v/>
      </c>
      <c r="V98" s="38" t="str">
        <f>IF(VLOOKUP(V$2&amp;Balance_Sheet[[#This Row],[Aop]],Data[],1)=V$2&amp;Balance_Sheet[[#This Row],[Aop]],VLOOKUP(V$2&amp;Balance_Sheet[[#This Row],[Aop]],Data[],V$1)/Jedinica,"")</f>
        <v/>
      </c>
      <c r="W98" s="38" t="str">
        <f>IF(VLOOKUP(W$2&amp;Balance_Sheet[[#This Row],[Aop]],Data[],1)=W$2&amp;Balance_Sheet[[#This Row],[Aop]],VLOOKUP(W$2&amp;Balance_Sheet[[#This Row],[Aop]],Data[],W$1)/Jedinica,"")</f>
        <v/>
      </c>
      <c r="X98" s="38" t="str">
        <f>IF(VLOOKUP(X$2&amp;Balance_Sheet[[#This Row],[Aop]],Data[],1)=X$2&amp;Balance_Sheet[[#This Row],[Aop]],VLOOKUP(X$2&amp;Balance_Sheet[[#This Row],[Aop]],Data[],X$1)/Jedinica,"")</f>
        <v/>
      </c>
      <c r="Y98" s="38" t="str">
        <f>IF(VLOOKUP(Y$2&amp;Balance_Sheet[[#This Row],[Aop]],Data[],1)=Y$2&amp;Balance_Sheet[[#This Row],[Aop]],VLOOKUP(Y$2&amp;Balance_Sheet[[#This Row],[Aop]],Data[],Y$1)/Jedinica,"")</f>
        <v/>
      </c>
      <c r="Z98" s="38" t="str">
        <f>IF(VLOOKUP(Z$2&amp;Balance_Sheet[[#This Row],[Aop]],Data[],1)=Z$2&amp;Balance_Sheet[[#This Row],[Aop]],VLOOKUP(Z$2&amp;Balance_Sheet[[#This Row],[Aop]],Data[],Z$1)/Jedinica,"")</f>
        <v/>
      </c>
      <c r="AA98" s="38" t="str">
        <f>IF(VLOOKUP(AA$2&amp;Balance_Sheet[[#This Row],[Aop]],Data[],1)=AA$2&amp;Balance_Sheet[[#This Row],[Aop]],VLOOKUP(AA$2&amp;Balance_Sheet[[#This Row],[Aop]],Data[],AA$1)/Jedinica,"")</f>
        <v/>
      </c>
      <c r="AB98" s="38" t="str">
        <f>IF(VLOOKUP(AB$2&amp;Balance_Sheet[[#This Row],[Aop]],Data[],1)=AB$2&amp;Balance_Sheet[[#This Row],[Aop]],VLOOKUP(AB$2&amp;Balance_Sheet[[#This Row],[Aop]],Data[],AB$1)/Jedinica,"")</f>
        <v/>
      </c>
      <c r="AC98" s="38" t="str">
        <f>IF(VLOOKUP(AC$2&amp;Balance_Sheet[[#This Row],[Aop]],Data[],1)=AC$2&amp;Balance_Sheet[[#This Row],[Aop]],VLOOKUP(AC$2&amp;Balance_Sheet[[#This Row],[Aop]],Data[],AC$1)/Jedinica,"")</f>
        <v/>
      </c>
      <c r="AD98" s="38" t="str">
        <f>IF(VLOOKUP(AD$2&amp;Balance_Sheet[[#This Row],[Aop]],Data[],1)=AD$2&amp;Balance_Sheet[[#This Row],[Aop]],VLOOKUP(AD$2&amp;Balance_Sheet[[#This Row],[Aop]],Data[],AD$1)/Jedinica,"")</f>
        <v/>
      </c>
      <c r="AE98" s="38" t="str">
        <f>IF(VLOOKUP(AE$2&amp;Balance_Sheet[[#This Row],[Aop]],Data[],1)=AE$2&amp;Balance_Sheet[[#This Row],[Aop]],VLOOKUP(AE$2&amp;Balance_Sheet[[#This Row],[Aop]],Data[],AE$1)/Jedinica,"")</f>
        <v/>
      </c>
      <c r="AF98" s="38" t="str">
        <f>IF(VLOOKUP(AF$2&amp;Balance_Sheet[[#This Row],[Aop]],Data[],1)=AF$2&amp;Balance_Sheet[[#This Row],[Aop]],VLOOKUP(AF$2&amp;Balance_Sheet[[#This Row],[Aop]],Data[],AF$1)/Jedinica,"")</f>
        <v/>
      </c>
    </row>
    <row r="99" spans="1:32" ht="12.75" customHeight="1" x14ac:dyDescent="0.2">
      <c r="A99" s="74">
        <v>94</v>
      </c>
      <c r="B99" s="75">
        <v>2</v>
      </c>
      <c r="C99" s="38" t="str">
        <f>VLOOKUP(Balance_Sheet[[#This Row],[No]],AOP_Balance,3,0)</f>
        <v>142</v>
      </c>
      <c r="D99" s="52" t="str">
        <f>VLOOKUP(Balance_Sheet[[#This Row],[No]],AOP_Balance,7,0)</f>
        <v xml:space="preserve">    4. Dobitak (143 do 147)</v>
      </c>
      <c r="E99" s="38">
        <f>IF(VLOOKUP(E$2&amp;Balance_Sheet[[#This Row],[Aop]],Data[],1)=E$2&amp;Balance_Sheet[[#This Row],[Aop]],VLOOKUP(E$2&amp;Balance_Sheet[[#This Row],[Aop]],Data[],E$1)/Jedinica,"")</f>
        <v>0</v>
      </c>
      <c r="F99" s="38">
        <f>IF(VLOOKUP(F$2&amp;Balance_Sheet[[#This Row],[Aop]],Data[],1)=F$2&amp;Balance_Sheet[[#This Row],[Aop]],VLOOKUP(F$2&amp;Balance_Sheet[[#This Row],[Aop]],Data[],F$1)/Jedinica,"")</f>
        <v>0</v>
      </c>
      <c r="G99" s="38">
        <f>IF(VLOOKUP(G$2&amp;Balance_Sheet[[#This Row],[Aop]],Data[],1)=G$2&amp;Balance_Sheet[[#This Row],[Aop]],VLOOKUP(G$2&amp;Balance_Sheet[[#This Row],[Aop]],Data[],G$1)/Jedinica,"")</f>
        <v>525608</v>
      </c>
      <c r="H99" s="38">
        <f>IF(VLOOKUP(H$2&amp;Balance_Sheet[[#This Row],[Aop]],Data[],1)=H$2&amp;Balance_Sheet[[#This Row],[Aop]],VLOOKUP(H$2&amp;Balance_Sheet[[#This Row],[Aop]],Data[],H$1)/Jedinica,"")</f>
        <v>1568934</v>
      </c>
      <c r="I99" s="38">
        <f>IF(VLOOKUP(I$2&amp;Balance_Sheet[[#This Row],[Aop]],Data[],1)=I$2&amp;Balance_Sheet[[#This Row],[Aop]],VLOOKUP(I$2&amp;Balance_Sheet[[#This Row],[Aop]],Data[],I$1)/Jedinica,"")</f>
        <v>0</v>
      </c>
      <c r="J99" s="38">
        <f>IF(VLOOKUP(J$2&amp;Balance_Sheet[[#This Row],[Aop]],Data[],1)=J$2&amp;Balance_Sheet[[#This Row],[Aop]],VLOOKUP(J$2&amp;Balance_Sheet[[#This Row],[Aop]],Data[],J$1)/Jedinica,"")</f>
        <v>0</v>
      </c>
      <c r="K99" s="38">
        <f>IF(VLOOKUP(K$2&amp;Balance_Sheet[[#This Row],[Aop]],Data[],1)=K$2&amp;Balance_Sheet[[#This Row],[Aop]],VLOOKUP(K$2&amp;Balance_Sheet[[#This Row],[Aop]],Data[],K$1)/Jedinica,"")</f>
        <v>0</v>
      </c>
      <c r="L99" s="38">
        <f>IF(VLOOKUP(L$2&amp;Balance_Sheet[[#This Row],[Aop]],Data[],1)=L$2&amp;Balance_Sheet[[#This Row],[Aop]],VLOOKUP(L$2&amp;Balance_Sheet[[#This Row],[Aop]],Data[],L$1)/Jedinica,"")</f>
        <v>3407055</v>
      </c>
      <c r="M99" s="38">
        <f>IF(VLOOKUP(M$2&amp;Balance_Sheet[[#This Row],[Aop]],Data[],1)=M$2&amp;Balance_Sheet[[#This Row],[Aop]],VLOOKUP(M$2&amp;Balance_Sheet[[#This Row],[Aop]],Data[],M$1)/Jedinica,"")</f>
        <v>0</v>
      </c>
      <c r="N99" s="38">
        <f>IF(VLOOKUP(N$2&amp;Balance_Sheet[[#This Row],[Aop]],Data[],1)=N$2&amp;Balance_Sheet[[#This Row],[Aop]],VLOOKUP(N$2&amp;Balance_Sheet[[#This Row],[Aop]],Data[],N$1)/Jedinica,"")</f>
        <v>0</v>
      </c>
      <c r="O99" s="38">
        <f>IF(VLOOKUP(O$2&amp;Balance_Sheet[[#This Row],[Aop]],Data[],1)=O$2&amp;Balance_Sheet[[#This Row],[Aop]],VLOOKUP(O$2&amp;Balance_Sheet[[#This Row],[Aop]],Data[],O$1)/Jedinica,"")</f>
        <v>669182</v>
      </c>
      <c r="P99" s="38">
        <f>IF(VLOOKUP(P$2&amp;Balance_Sheet[[#This Row],[Aop]],Data[],1)=P$2&amp;Balance_Sheet[[#This Row],[Aop]],VLOOKUP(P$2&amp;Balance_Sheet[[#This Row],[Aop]],Data[],P$1)/Jedinica,"")</f>
        <v>1050050</v>
      </c>
      <c r="Q99" s="38">
        <f>IF(VLOOKUP(Q$2&amp;Balance_Sheet[[#This Row],[Aop]],Data[],1)=Q$2&amp;Balance_Sheet[[#This Row],[Aop]],VLOOKUP(Q$2&amp;Balance_Sheet[[#This Row],[Aop]],Data[],Q$1)/Jedinica,"")</f>
        <v>0</v>
      </c>
      <c r="R99" s="38">
        <f>IF(VLOOKUP(R$2&amp;Balance_Sheet[[#This Row],[Aop]],Data[],1)=R$2&amp;Balance_Sheet[[#This Row],[Aop]],VLOOKUP(R$2&amp;Balance_Sheet[[#This Row],[Aop]],Data[],R$1)/Jedinica,"")</f>
        <v>0</v>
      </c>
      <c r="S99" s="38">
        <f>IF(VLOOKUP(S$2&amp;Balance_Sheet[[#This Row],[Aop]],Data[],1)=S$2&amp;Balance_Sheet[[#This Row],[Aop]],VLOOKUP(S$2&amp;Balance_Sheet[[#This Row],[Aop]],Data[],S$1)/Jedinica,"")</f>
        <v>142492</v>
      </c>
      <c r="T99" s="38">
        <f>IF(VLOOKUP(T$2&amp;Balance_Sheet[[#This Row],[Aop]],Data[],1)=T$2&amp;Balance_Sheet[[#This Row],[Aop]],VLOOKUP(T$2&amp;Balance_Sheet[[#This Row],[Aop]],Data[],T$1)/Jedinica,"")</f>
        <v>595286</v>
      </c>
      <c r="U99" s="38">
        <f>IF(VLOOKUP(U$2&amp;Balance_Sheet[[#This Row],[Aop]],Data[],1)=U$2&amp;Balance_Sheet[[#This Row],[Aop]],VLOOKUP(U$2&amp;Balance_Sheet[[#This Row],[Aop]],Data[],U$1)/Jedinica,"")</f>
        <v>0</v>
      </c>
      <c r="V99" s="38">
        <f>IF(VLOOKUP(V$2&amp;Balance_Sheet[[#This Row],[Aop]],Data[],1)=V$2&amp;Balance_Sheet[[#This Row],[Aop]],VLOOKUP(V$2&amp;Balance_Sheet[[#This Row],[Aop]],Data[],V$1)/Jedinica,"")</f>
        <v>0</v>
      </c>
      <c r="W99" s="38">
        <f>IF(VLOOKUP(W$2&amp;Balance_Sheet[[#This Row],[Aop]],Data[],1)=W$2&amp;Balance_Sheet[[#This Row],[Aop]],VLOOKUP(W$2&amp;Balance_Sheet[[#This Row],[Aop]],Data[],W$1)/Jedinica,"")</f>
        <v>25638538</v>
      </c>
      <c r="X99" s="38">
        <f>IF(VLOOKUP(X$2&amp;Balance_Sheet[[#This Row],[Aop]],Data[],1)=X$2&amp;Balance_Sheet[[#This Row],[Aop]],VLOOKUP(X$2&amp;Balance_Sheet[[#This Row],[Aop]],Data[],X$1)/Jedinica,"")</f>
        <v>16034357</v>
      </c>
      <c r="Y99" s="38">
        <f>IF(VLOOKUP(Y$2&amp;Balance_Sheet[[#This Row],[Aop]],Data[],1)=Y$2&amp;Balance_Sheet[[#This Row],[Aop]],VLOOKUP(Y$2&amp;Balance_Sheet[[#This Row],[Aop]],Data[],Y$1)/Jedinica,"")</f>
        <v>0</v>
      </c>
      <c r="Z99" s="38">
        <f>IF(VLOOKUP(Z$2&amp;Balance_Sheet[[#This Row],[Aop]],Data[],1)=Z$2&amp;Balance_Sheet[[#This Row],[Aop]],VLOOKUP(Z$2&amp;Balance_Sheet[[#This Row],[Aop]],Data[],Z$1)/Jedinica,"")</f>
        <v>0</v>
      </c>
      <c r="AA99" s="38">
        <f>IF(VLOOKUP(AA$2&amp;Balance_Sheet[[#This Row],[Aop]],Data[],1)=AA$2&amp;Balance_Sheet[[#This Row],[Aop]],VLOOKUP(AA$2&amp;Balance_Sheet[[#This Row],[Aop]],Data[],AA$1)/Jedinica,"")</f>
        <v>142492</v>
      </c>
      <c r="AB99" s="38">
        <f>IF(VLOOKUP(AB$2&amp;Balance_Sheet[[#This Row],[Aop]],Data[],1)=AB$2&amp;Balance_Sheet[[#This Row],[Aop]],VLOOKUP(AB$2&amp;Balance_Sheet[[#This Row],[Aop]],Data[],AB$1)/Jedinica,"")</f>
        <v>595286</v>
      </c>
      <c r="AC99" s="38">
        <f>IF(VLOOKUP(AC$2&amp;Balance_Sheet[[#This Row],[Aop]],Data[],1)=AC$2&amp;Balance_Sheet[[#This Row],[Aop]],VLOOKUP(AC$2&amp;Balance_Sheet[[#This Row],[Aop]],Data[],AC$1)/Jedinica,"")</f>
        <v>0</v>
      </c>
      <c r="AD99" s="38">
        <f>IF(VLOOKUP(AD$2&amp;Balance_Sheet[[#This Row],[Aop]],Data[],1)=AD$2&amp;Balance_Sheet[[#This Row],[Aop]],VLOOKUP(AD$2&amp;Balance_Sheet[[#This Row],[Aop]],Data[],AD$1)/Jedinica,"")</f>
        <v>0</v>
      </c>
      <c r="AE99" s="38">
        <f>IF(VLOOKUP(AE$2&amp;Balance_Sheet[[#This Row],[Aop]],Data[],1)=AE$2&amp;Balance_Sheet[[#This Row],[Aop]],VLOOKUP(AE$2&amp;Balance_Sheet[[#This Row],[Aop]],Data[],AE$1)/Jedinica,"")</f>
        <v>6910719</v>
      </c>
      <c r="AF99" s="38">
        <f>IF(VLOOKUP(AF$2&amp;Balance_Sheet[[#This Row],[Aop]],Data[],1)=AF$2&amp;Balance_Sheet[[#This Row],[Aop]],VLOOKUP(AF$2&amp;Balance_Sheet[[#This Row],[Aop]],Data[],AF$1)/Jedinica,"")</f>
        <v>11309559</v>
      </c>
    </row>
    <row r="100" spans="1:32" ht="12.75" customHeight="1" x14ac:dyDescent="0.2">
      <c r="A100" s="74">
        <v>95</v>
      </c>
      <c r="B100" s="75">
        <v>3</v>
      </c>
      <c r="C100" s="38" t="str">
        <f>VLOOKUP(Balance_Sheet[[#This Row],[No]],AOP_Balance,3,0)</f>
        <v>143</v>
      </c>
      <c r="D100" s="52" t="str">
        <f>VLOOKUP(Balance_Sheet[[#This Row],[No]],AOP_Balance,7,0)</f>
        <v xml:space="preserve">      a) Dobitak tekuće godine</v>
      </c>
      <c r="E100" s="38">
        <f>IF(VLOOKUP(E$2&amp;Balance_Sheet[[#This Row],[Aop]],Data[],1)=E$2&amp;Balance_Sheet[[#This Row],[Aop]],VLOOKUP(E$2&amp;Balance_Sheet[[#This Row],[Aop]],Data[],E$1)/Jedinica,"")</f>
        <v>0</v>
      </c>
      <c r="F100" s="38">
        <f>IF(VLOOKUP(F$2&amp;Balance_Sheet[[#This Row],[Aop]],Data[],1)=F$2&amp;Balance_Sheet[[#This Row],[Aop]],VLOOKUP(F$2&amp;Balance_Sheet[[#This Row],[Aop]],Data[],F$1)/Jedinica,"")</f>
        <v>0</v>
      </c>
      <c r="G100" s="38">
        <f>IF(VLOOKUP(G$2&amp;Balance_Sheet[[#This Row],[Aop]],Data[],1)=G$2&amp;Balance_Sheet[[#This Row],[Aop]],VLOOKUP(G$2&amp;Balance_Sheet[[#This Row],[Aop]],Data[],G$1)/Jedinica,"")</f>
        <v>168871</v>
      </c>
      <c r="H100" s="38">
        <f>IF(VLOOKUP(H$2&amp;Balance_Sheet[[#This Row],[Aop]],Data[],1)=H$2&amp;Balance_Sheet[[#This Row],[Aop]],VLOOKUP(H$2&amp;Balance_Sheet[[#This Row],[Aop]],Data[],H$1)/Jedinica,"")</f>
        <v>1294204</v>
      </c>
      <c r="I100" s="38" t="str">
        <f>IF(VLOOKUP(I$2&amp;Balance_Sheet[[#This Row],[Aop]],Data[],1)=I$2&amp;Balance_Sheet[[#This Row],[Aop]],VLOOKUP(I$2&amp;Balance_Sheet[[#This Row],[Aop]],Data[],I$1)/Jedinica,"")</f>
        <v/>
      </c>
      <c r="J100" s="38" t="str">
        <f>IF(VLOOKUP(J$2&amp;Balance_Sheet[[#This Row],[Aop]],Data[],1)=J$2&amp;Balance_Sheet[[#This Row],[Aop]],VLOOKUP(J$2&amp;Balance_Sheet[[#This Row],[Aop]],Data[],J$1)/Jedinica,"")</f>
        <v/>
      </c>
      <c r="K100" s="38" t="str">
        <f>IF(VLOOKUP(K$2&amp;Balance_Sheet[[#This Row],[Aop]],Data[],1)=K$2&amp;Balance_Sheet[[#This Row],[Aop]],VLOOKUP(K$2&amp;Balance_Sheet[[#This Row],[Aop]],Data[],K$1)/Jedinica,"")</f>
        <v/>
      </c>
      <c r="L100" s="38" t="str">
        <f>IF(VLOOKUP(L$2&amp;Balance_Sheet[[#This Row],[Aop]],Data[],1)=L$2&amp;Balance_Sheet[[#This Row],[Aop]],VLOOKUP(L$2&amp;Balance_Sheet[[#This Row],[Aop]],Data[],L$1)/Jedinica,"")</f>
        <v/>
      </c>
      <c r="M100" s="38">
        <f>IF(VLOOKUP(M$2&amp;Balance_Sheet[[#This Row],[Aop]],Data[],1)=M$2&amp;Balance_Sheet[[#This Row],[Aop]],VLOOKUP(M$2&amp;Balance_Sheet[[#This Row],[Aop]],Data[],M$1)/Jedinica,"")</f>
        <v>0</v>
      </c>
      <c r="N100" s="38">
        <f>IF(VLOOKUP(N$2&amp;Balance_Sheet[[#This Row],[Aop]],Data[],1)=N$2&amp;Balance_Sheet[[#This Row],[Aop]],VLOOKUP(N$2&amp;Balance_Sheet[[#This Row],[Aop]],Data[],N$1)/Jedinica,"")</f>
        <v>0</v>
      </c>
      <c r="O100" s="38">
        <f>IF(VLOOKUP(O$2&amp;Balance_Sheet[[#This Row],[Aop]],Data[],1)=O$2&amp;Balance_Sheet[[#This Row],[Aop]],VLOOKUP(O$2&amp;Balance_Sheet[[#This Row],[Aop]],Data[],O$1)/Jedinica,"")</f>
        <v>669182</v>
      </c>
      <c r="P100" s="38">
        <f>IF(VLOOKUP(P$2&amp;Balance_Sheet[[#This Row],[Aop]],Data[],1)=P$2&amp;Balance_Sheet[[#This Row],[Aop]],VLOOKUP(P$2&amp;Balance_Sheet[[#This Row],[Aop]],Data[],P$1)/Jedinica,"")</f>
        <v>1050050</v>
      </c>
      <c r="Q100" s="38">
        <f>IF(VLOOKUP(Q$2&amp;Balance_Sheet[[#This Row],[Aop]],Data[],1)=Q$2&amp;Balance_Sheet[[#This Row],[Aop]],VLOOKUP(Q$2&amp;Balance_Sheet[[#This Row],[Aop]],Data[],Q$1)/Jedinica,"")</f>
        <v>0</v>
      </c>
      <c r="R100" s="38">
        <f>IF(VLOOKUP(R$2&amp;Balance_Sheet[[#This Row],[Aop]],Data[],1)=R$2&amp;Balance_Sheet[[#This Row],[Aop]],VLOOKUP(R$2&amp;Balance_Sheet[[#This Row],[Aop]],Data[],R$1)/Jedinica,"")</f>
        <v>0</v>
      </c>
      <c r="S100" s="38">
        <f>IF(VLOOKUP(S$2&amp;Balance_Sheet[[#This Row],[Aop]],Data[],1)=S$2&amp;Balance_Sheet[[#This Row],[Aop]],VLOOKUP(S$2&amp;Balance_Sheet[[#This Row],[Aop]],Data[],S$1)/Jedinica,"")</f>
        <v>0</v>
      </c>
      <c r="T100" s="38">
        <f>IF(VLOOKUP(T$2&amp;Balance_Sheet[[#This Row],[Aop]],Data[],1)=T$2&amp;Balance_Sheet[[#This Row],[Aop]],VLOOKUP(T$2&amp;Balance_Sheet[[#This Row],[Aop]],Data[],T$1)/Jedinica,"")</f>
        <v>595286</v>
      </c>
      <c r="U100" s="38">
        <f>IF(VLOOKUP(U$2&amp;Balance_Sheet[[#This Row],[Aop]],Data[],1)=U$2&amp;Balance_Sheet[[#This Row],[Aop]],VLOOKUP(U$2&amp;Balance_Sheet[[#This Row],[Aop]],Data[],U$1)/Jedinica,"")</f>
        <v>0</v>
      </c>
      <c r="V100" s="38">
        <f>IF(VLOOKUP(V$2&amp;Balance_Sheet[[#This Row],[Aop]],Data[],1)=V$2&amp;Balance_Sheet[[#This Row],[Aop]],VLOOKUP(V$2&amp;Balance_Sheet[[#This Row],[Aop]],Data[],V$1)/Jedinica,"")</f>
        <v>0</v>
      </c>
      <c r="W100" s="38">
        <f>IF(VLOOKUP(W$2&amp;Balance_Sheet[[#This Row],[Aop]],Data[],1)=W$2&amp;Balance_Sheet[[#This Row],[Aop]],VLOOKUP(W$2&amp;Balance_Sheet[[#This Row],[Aop]],Data[],W$1)/Jedinica,"")</f>
        <v>13016059</v>
      </c>
      <c r="X100" s="38">
        <f>IF(VLOOKUP(X$2&amp;Balance_Sheet[[#This Row],[Aop]],Data[],1)=X$2&amp;Balance_Sheet[[#This Row],[Aop]],VLOOKUP(X$2&amp;Balance_Sheet[[#This Row],[Aop]],Data[],X$1)/Jedinica,"")</f>
        <v>13839502</v>
      </c>
      <c r="Y100" s="38">
        <f>IF(VLOOKUP(Y$2&amp;Balance_Sheet[[#This Row],[Aop]],Data[],1)=Y$2&amp;Balance_Sheet[[#This Row],[Aop]],VLOOKUP(Y$2&amp;Balance_Sheet[[#This Row],[Aop]],Data[],Y$1)/Jedinica,"")</f>
        <v>0</v>
      </c>
      <c r="Z100" s="38">
        <f>IF(VLOOKUP(Z$2&amp;Balance_Sheet[[#This Row],[Aop]],Data[],1)=Z$2&amp;Balance_Sheet[[#This Row],[Aop]],VLOOKUP(Z$2&amp;Balance_Sheet[[#This Row],[Aop]],Data[],Z$1)/Jedinica,"")</f>
        <v>0</v>
      </c>
      <c r="AA100" s="38">
        <f>IF(VLOOKUP(AA$2&amp;Balance_Sheet[[#This Row],[Aop]],Data[],1)=AA$2&amp;Balance_Sheet[[#This Row],[Aop]],VLOOKUP(AA$2&amp;Balance_Sheet[[#This Row],[Aop]],Data[],AA$1)/Jedinica,"")</f>
        <v>0</v>
      </c>
      <c r="AB100" s="38">
        <f>IF(VLOOKUP(AB$2&amp;Balance_Sheet[[#This Row],[Aop]],Data[],1)=AB$2&amp;Balance_Sheet[[#This Row],[Aop]],VLOOKUP(AB$2&amp;Balance_Sheet[[#This Row],[Aop]],Data[],AB$1)/Jedinica,"")</f>
        <v>595286</v>
      </c>
      <c r="AC100" s="38">
        <f>IF(VLOOKUP(AC$2&amp;Balance_Sheet[[#This Row],[Aop]],Data[],1)=AC$2&amp;Balance_Sheet[[#This Row],[Aop]],VLOOKUP(AC$2&amp;Balance_Sheet[[#This Row],[Aop]],Data[],AC$1)/Jedinica,"")</f>
        <v>0</v>
      </c>
      <c r="AD100" s="38">
        <f>IF(VLOOKUP(AD$2&amp;Balance_Sheet[[#This Row],[Aop]],Data[],1)=AD$2&amp;Balance_Sheet[[#This Row],[Aop]],VLOOKUP(AD$2&amp;Balance_Sheet[[#This Row],[Aop]],Data[],AD$1)/Jedinica,"")</f>
        <v>0</v>
      </c>
      <c r="AE100" s="38">
        <f>IF(VLOOKUP(AE$2&amp;Balance_Sheet[[#This Row],[Aop]],Data[],1)=AE$2&amp;Balance_Sheet[[#This Row],[Aop]],VLOOKUP(AE$2&amp;Balance_Sheet[[#This Row],[Aop]],Data[],AE$1)/Jedinica,"")</f>
        <v>6907650</v>
      </c>
      <c r="AF100" s="38">
        <f>IF(VLOOKUP(AF$2&amp;Balance_Sheet[[#This Row],[Aop]],Data[],1)=AF$2&amp;Balance_Sheet[[#This Row],[Aop]],VLOOKUP(AF$2&amp;Balance_Sheet[[#This Row],[Aop]],Data[],AF$1)/Jedinica,"")</f>
        <v>11276799</v>
      </c>
    </row>
    <row r="101" spans="1:32" ht="12.75" customHeight="1" x14ac:dyDescent="0.2">
      <c r="A101" s="74">
        <v>96</v>
      </c>
      <c r="B101" s="75">
        <v>3</v>
      </c>
      <c r="C101" s="38" t="str">
        <f>VLOOKUP(Balance_Sheet[[#This Row],[No]],AOP_Balance,3,0)</f>
        <v>144</v>
      </c>
      <c r="D101" s="52" t="str">
        <f>VLOOKUP(Balance_Sheet[[#This Row],[No]],AOP_Balance,7,0)</f>
        <v xml:space="preserve">      b) Neraspoređeni dobitak iz ranijih godina</v>
      </c>
      <c r="E101" s="38">
        <f>IF(VLOOKUP(E$2&amp;Balance_Sheet[[#This Row],[Aop]],Data[],1)=E$2&amp;Balance_Sheet[[#This Row],[Aop]],VLOOKUP(E$2&amp;Balance_Sheet[[#This Row],[Aop]],Data[],E$1)/Jedinica,"")</f>
        <v>0</v>
      </c>
      <c r="F101" s="38">
        <f>IF(VLOOKUP(F$2&amp;Balance_Sheet[[#This Row],[Aop]],Data[],1)=F$2&amp;Balance_Sheet[[#This Row],[Aop]],VLOOKUP(F$2&amp;Balance_Sheet[[#This Row],[Aop]],Data[],F$1)/Jedinica,"")</f>
        <v>0</v>
      </c>
      <c r="G101" s="38">
        <f>IF(VLOOKUP(G$2&amp;Balance_Sheet[[#This Row],[Aop]],Data[],1)=G$2&amp;Balance_Sheet[[#This Row],[Aop]],VLOOKUP(G$2&amp;Balance_Sheet[[#This Row],[Aop]],Data[],G$1)/Jedinica,"")</f>
        <v>356737</v>
      </c>
      <c r="H101" s="38">
        <f>IF(VLOOKUP(H$2&amp;Balance_Sheet[[#This Row],[Aop]],Data[],1)=H$2&amp;Balance_Sheet[[#This Row],[Aop]],VLOOKUP(H$2&amp;Balance_Sheet[[#This Row],[Aop]],Data[],H$1)/Jedinica,"")</f>
        <v>274730</v>
      </c>
      <c r="I101" s="38">
        <f>IF(VLOOKUP(I$2&amp;Balance_Sheet[[#This Row],[Aop]],Data[],1)=I$2&amp;Balance_Sheet[[#This Row],[Aop]],VLOOKUP(I$2&amp;Balance_Sheet[[#This Row],[Aop]],Data[],I$1)/Jedinica,"")</f>
        <v>0</v>
      </c>
      <c r="J101" s="38">
        <f>IF(VLOOKUP(J$2&amp;Balance_Sheet[[#This Row],[Aop]],Data[],1)=J$2&amp;Balance_Sheet[[#This Row],[Aop]],VLOOKUP(J$2&amp;Balance_Sheet[[#This Row],[Aop]],Data[],J$1)/Jedinica,"")</f>
        <v>0</v>
      </c>
      <c r="K101" s="38">
        <f>IF(VLOOKUP(K$2&amp;Balance_Sheet[[#This Row],[Aop]],Data[],1)=K$2&amp;Balance_Sheet[[#This Row],[Aop]],VLOOKUP(K$2&amp;Balance_Sheet[[#This Row],[Aop]],Data[],K$1)/Jedinica,"")</f>
        <v>0</v>
      </c>
      <c r="L101" s="38">
        <f>IF(VLOOKUP(L$2&amp;Balance_Sheet[[#This Row],[Aop]],Data[],1)=L$2&amp;Balance_Sheet[[#This Row],[Aop]],VLOOKUP(L$2&amp;Balance_Sheet[[#This Row],[Aop]],Data[],L$1)/Jedinica,"")</f>
        <v>3407055</v>
      </c>
      <c r="M101" s="38" t="str">
        <f>IF(VLOOKUP(M$2&amp;Balance_Sheet[[#This Row],[Aop]],Data[],1)=M$2&amp;Balance_Sheet[[#This Row],[Aop]],VLOOKUP(M$2&amp;Balance_Sheet[[#This Row],[Aop]],Data[],M$1)/Jedinica,"")</f>
        <v/>
      </c>
      <c r="N101" s="38" t="str">
        <f>IF(VLOOKUP(N$2&amp;Balance_Sheet[[#This Row],[Aop]],Data[],1)=N$2&amp;Balance_Sheet[[#This Row],[Aop]],VLOOKUP(N$2&amp;Balance_Sheet[[#This Row],[Aop]],Data[],N$1)/Jedinica,"")</f>
        <v/>
      </c>
      <c r="O101" s="38" t="str">
        <f>IF(VLOOKUP(O$2&amp;Balance_Sheet[[#This Row],[Aop]],Data[],1)=O$2&amp;Balance_Sheet[[#This Row],[Aop]],VLOOKUP(O$2&amp;Balance_Sheet[[#This Row],[Aop]],Data[],O$1)/Jedinica,"")</f>
        <v/>
      </c>
      <c r="P101" s="38" t="str">
        <f>IF(VLOOKUP(P$2&amp;Balance_Sheet[[#This Row],[Aop]],Data[],1)=P$2&amp;Balance_Sheet[[#This Row],[Aop]],VLOOKUP(P$2&amp;Balance_Sheet[[#This Row],[Aop]],Data[],P$1)/Jedinica,"")</f>
        <v/>
      </c>
      <c r="Q101" s="38" t="str">
        <f>IF(VLOOKUP(Q$2&amp;Balance_Sheet[[#This Row],[Aop]],Data[],1)=Q$2&amp;Balance_Sheet[[#This Row],[Aop]],VLOOKUP(Q$2&amp;Balance_Sheet[[#This Row],[Aop]],Data[],Q$1)/Jedinica,"")</f>
        <v/>
      </c>
      <c r="R101" s="38" t="str">
        <f>IF(VLOOKUP(R$2&amp;Balance_Sheet[[#This Row],[Aop]],Data[],1)=R$2&amp;Balance_Sheet[[#This Row],[Aop]],VLOOKUP(R$2&amp;Balance_Sheet[[#This Row],[Aop]],Data[],R$1)/Jedinica,"")</f>
        <v/>
      </c>
      <c r="S101" s="38" t="str">
        <f>IF(VLOOKUP(S$2&amp;Balance_Sheet[[#This Row],[Aop]],Data[],1)=S$2&amp;Balance_Sheet[[#This Row],[Aop]],VLOOKUP(S$2&amp;Balance_Sheet[[#This Row],[Aop]],Data[],S$1)/Jedinica,"")</f>
        <v/>
      </c>
      <c r="T101" s="38" t="str">
        <f>IF(VLOOKUP(T$2&amp;Balance_Sheet[[#This Row],[Aop]],Data[],1)=T$2&amp;Balance_Sheet[[#This Row],[Aop]],VLOOKUP(T$2&amp;Balance_Sheet[[#This Row],[Aop]],Data[],T$1)/Jedinica,"")</f>
        <v/>
      </c>
      <c r="U101" s="38" t="str">
        <f>IF(VLOOKUP(U$2&amp;Balance_Sheet[[#This Row],[Aop]],Data[],1)=U$2&amp;Balance_Sheet[[#This Row],[Aop]],VLOOKUP(U$2&amp;Balance_Sheet[[#This Row],[Aop]],Data[],U$1)/Jedinica,"")</f>
        <v/>
      </c>
      <c r="V101" s="38" t="str">
        <f>IF(VLOOKUP(V$2&amp;Balance_Sheet[[#This Row],[Aop]],Data[],1)=V$2&amp;Balance_Sheet[[#This Row],[Aop]],VLOOKUP(V$2&amp;Balance_Sheet[[#This Row],[Aop]],Data[],V$1)/Jedinica,"")</f>
        <v/>
      </c>
      <c r="W101" s="38" t="str">
        <f>IF(VLOOKUP(W$2&amp;Balance_Sheet[[#This Row],[Aop]],Data[],1)=W$2&amp;Balance_Sheet[[#This Row],[Aop]],VLOOKUP(W$2&amp;Balance_Sheet[[#This Row],[Aop]],Data[],W$1)/Jedinica,"")</f>
        <v/>
      </c>
      <c r="X101" s="38" t="str">
        <f>IF(VLOOKUP(X$2&amp;Balance_Sheet[[#This Row],[Aop]],Data[],1)=X$2&amp;Balance_Sheet[[#This Row],[Aop]],VLOOKUP(X$2&amp;Balance_Sheet[[#This Row],[Aop]],Data[],X$1)/Jedinica,"")</f>
        <v/>
      </c>
      <c r="Y101" s="38" t="str">
        <f>IF(VLOOKUP(Y$2&amp;Balance_Sheet[[#This Row],[Aop]],Data[],1)=Y$2&amp;Balance_Sheet[[#This Row],[Aop]],VLOOKUP(Y$2&amp;Balance_Sheet[[#This Row],[Aop]],Data[],Y$1)/Jedinica,"")</f>
        <v/>
      </c>
      <c r="Z101" s="38" t="str">
        <f>IF(VLOOKUP(Z$2&amp;Balance_Sheet[[#This Row],[Aop]],Data[],1)=Z$2&amp;Balance_Sheet[[#This Row],[Aop]],VLOOKUP(Z$2&amp;Balance_Sheet[[#This Row],[Aop]],Data[],Z$1)/Jedinica,"")</f>
        <v/>
      </c>
      <c r="AA101" s="38" t="str">
        <f>IF(VLOOKUP(AA$2&amp;Balance_Sheet[[#This Row],[Aop]],Data[],1)=AA$2&amp;Balance_Sheet[[#This Row],[Aop]],VLOOKUP(AA$2&amp;Balance_Sheet[[#This Row],[Aop]],Data[],AA$1)/Jedinica,"")</f>
        <v/>
      </c>
      <c r="AB101" s="38" t="str">
        <f>IF(VLOOKUP(AB$2&amp;Balance_Sheet[[#This Row],[Aop]],Data[],1)=AB$2&amp;Balance_Sheet[[#This Row],[Aop]],VLOOKUP(AB$2&amp;Balance_Sheet[[#This Row],[Aop]],Data[],AB$1)/Jedinica,"")</f>
        <v/>
      </c>
      <c r="AC101" s="38">
        <f>IF(VLOOKUP(AC$2&amp;Balance_Sheet[[#This Row],[Aop]],Data[],1)=AC$2&amp;Balance_Sheet[[#This Row],[Aop]],VLOOKUP(AC$2&amp;Balance_Sheet[[#This Row],[Aop]],Data[],AC$1)/Jedinica,"")</f>
        <v>0</v>
      </c>
      <c r="AD101" s="38">
        <f>IF(VLOOKUP(AD$2&amp;Balance_Sheet[[#This Row],[Aop]],Data[],1)=AD$2&amp;Balance_Sheet[[#This Row],[Aop]],VLOOKUP(AD$2&amp;Balance_Sheet[[#This Row],[Aop]],Data[],AD$1)/Jedinica,"")</f>
        <v>0</v>
      </c>
      <c r="AE101" s="38">
        <f>IF(VLOOKUP(AE$2&amp;Balance_Sheet[[#This Row],[Aop]],Data[],1)=AE$2&amp;Balance_Sheet[[#This Row],[Aop]],VLOOKUP(AE$2&amp;Balance_Sheet[[#This Row],[Aop]],Data[],AE$1)/Jedinica,"")</f>
        <v>3069</v>
      </c>
      <c r="AF101" s="38">
        <f>IF(VLOOKUP(AF$2&amp;Balance_Sheet[[#This Row],[Aop]],Data[],1)=AF$2&amp;Balance_Sheet[[#This Row],[Aop]],VLOOKUP(AF$2&amp;Balance_Sheet[[#This Row],[Aop]],Data[],AF$1)/Jedinica,"")</f>
        <v>32760</v>
      </c>
    </row>
    <row r="102" spans="1:32" ht="12.75" customHeight="1" x14ac:dyDescent="0.2">
      <c r="A102" s="74">
        <v>97</v>
      </c>
      <c r="B102" s="75">
        <v>3</v>
      </c>
      <c r="C102" s="38" t="str">
        <f>VLOOKUP(Balance_Sheet[[#This Row],[No]],AOP_Balance,3,0)</f>
        <v>145</v>
      </c>
      <c r="D102" s="52" t="str">
        <f>VLOOKUP(Balance_Sheet[[#This Row],[No]],AOP_Balance,7,0)</f>
        <v xml:space="preserve">      v) Višak prihoda nad rashodima tekuće godine</v>
      </c>
      <c r="E102" s="38" t="str">
        <f>IF(VLOOKUP(E$2&amp;Balance_Sheet[[#This Row],[Aop]],Data[],1)=E$2&amp;Balance_Sheet[[#This Row],[Aop]],VLOOKUP(E$2&amp;Balance_Sheet[[#This Row],[Aop]],Data[],E$1)/Jedinica,"")</f>
        <v/>
      </c>
      <c r="F102" s="38" t="str">
        <f>IF(VLOOKUP(F$2&amp;Balance_Sheet[[#This Row],[Aop]],Data[],1)=F$2&amp;Balance_Sheet[[#This Row],[Aop]],VLOOKUP(F$2&amp;Balance_Sheet[[#This Row],[Aop]],Data[],F$1)/Jedinica,"")</f>
        <v/>
      </c>
      <c r="G102" s="38" t="str">
        <f>IF(VLOOKUP(G$2&amp;Balance_Sheet[[#This Row],[Aop]],Data[],1)=G$2&amp;Balance_Sheet[[#This Row],[Aop]],VLOOKUP(G$2&amp;Balance_Sheet[[#This Row],[Aop]],Data[],G$1)/Jedinica,"")</f>
        <v/>
      </c>
      <c r="H102" s="38" t="str">
        <f>IF(VLOOKUP(H$2&amp;Balance_Sheet[[#This Row],[Aop]],Data[],1)=H$2&amp;Balance_Sheet[[#This Row],[Aop]],VLOOKUP(H$2&amp;Balance_Sheet[[#This Row],[Aop]],Data[],H$1)/Jedinica,"")</f>
        <v/>
      </c>
      <c r="I102" s="38" t="str">
        <f>IF(VLOOKUP(I$2&amp;Balance_Sheet[[#This Row],[Aop]],Data[],1)=I$2&amp;Balance_Sheet[[#This Row],[Aop]],VLOOKUP(I$2&amp;Balance_Sheet[[#This Row],[Aop]],Data[],I$1)/Jedinica,"")</f>
        <v/>
      </c>
      <c r="J102" s="38" t="str">
        <f>IF(VLOOKUP(J$2&amp;Balance_Sheet[[#This Row],[Aop]],Data[],1)=J$2&amp;Balance_Sheet[[#This Row],[Aop]],VLOOKUP(J$2&amp;Balance_Sheet[[#This Row],[Aop]],Data[],J$1)/Jedinica,"")</f>
        <v/>
      </c>
      <c r="K102" s="38" t="str">
        <f>IF(VLOOKUP(K$2&amp;Balance_Sheet[[#This Row],[Aop]],Data[],1)=K$2&amp;Balance_Sheet[[#This Row],[Aop]],VLOOKUP(K$2&amp;Balance_Sheet[[#This Row],[Aop]],Data[],K$1)/Jedinica,"")</f>
        <v/>
      </c>
      <c r="L102" s="38" t="str">
        <f>IF(VLOOKUP(L$2&amp;Balance_Sheet[[#This Row],[Aop]],Data[],1)=L$2&amp;Balance_Sheet[[#This Row],[Aop]],VLOOKUP(L$2&amp;Balance_Sheet[[#This Row],[Aop]],Data[],L$1)/Jedinica,"")</f>
        <v/>
      </c>
      <c r="M102" s="38" t="str">
        <f>IF(VLOOKUP(M$2&amp;Balance_Sheet[[#This Row],[Aop]],Data[],1)=M$2&amp;Balance_Sheet[[#This Row],[Aop]],VLOOKUP(M$2&amp;Balance_Sheet[[#This Row],[Aop]],Data[],M$1)/Jedinica,"")</f>
        <v/>
      </c>
      <c r="N102" s="38" t="str">
        <f>IF(VLOOKUP(N$2&amp;Balance_Sheet[[#This Row],[Aop]],Data[],1)=N$2&amp;Balance_Sheet[[#This Row],[Aop]],VLOOKUP(N$2&amp;Balance_Sheet[[#This Row],[Aop]],Data[],N$1)/Jedinica,"")</f>
        <v/>
      </c>
      <c r="O102" s="38" t="str">
        <f>IF(VLOOKUP(O$2&amp;Balance_Sheet[[#This Row],[Aop]],Data[],1)=O$2&amp;Balance_Sheet[[#This Row],[Aop]],VLOOKUP(O$2&amp;Balance_Sheet[[#This Row],[Aop]],Data[],O$1)/Jedinica,"")</f>
        <v/>
      </c>
      <c r="P102" s="38" t="str">
        <f>IF(VLOOKUP(P$2&amp;Balance_Sheet[[#This Row],[Aop]],Data[],1)=P$2&amp;Balance_Sheet[[#This Row],[Aop]],VLOOKUP(P$2&amp;Balance_Sheet[[#This Row],[Aop]],Data[],P$1)/Jedinica,"")</f>
        <v/>
      </c>
      <c r="Q102" s="38">
        <f>IF(VLOOKUP(Q$2&amp;Balance_Sheet[[#This Row],[Aop]],Data[],1)=Q$2&amp;Balance_Sheet[[#This Row],[Aop]],VLOOKUP(Q$2&amp;Balance_Sheet[[#This Row],[Aop]],Data[],Q$1)/Jedinica,"")</f>
        <v>0</v>
      </c>
      <c r="R102" s="38">
        <f>IF(VLOOKUP(R$2&amp;Balance_Sheet[[#This Row],[Aop]],Data[],1)=R$2&amp;Balance_Sheet[[#This Row],[Aop]],VLOOKUP(R$2&amp;Balance_Sheet[[#This Row],[Aop]],Data[],R$1)/Jedinica,"")</f>
        <v>0</v>
      </c>
      <c r="S102" s="38">
        <f>IF(VLOOKUP(S$2&amp;Balance_Sheet[[#This Row],[Aop]],Data[],1)=S$2&amp;Balance_Sheet[[#This Row],[Aop]],VLOOKUP(S$2&amp;Balance_Sheet[[#This Row],[Aop]],Data[],S$1)/Jedinica,"")</f>
        <v>142492</v>
      </c>
      <c r="T102" s="38">
        <f>IF(VLOOKUP(T$2&amp;Balance_Sheet[[#This Row],[Aop]],Data[],1)=T$2&amp;Balance_Sheet[[#This Row],[Aop]],VLOOKUP(T$2&amp;Balance_Sheet[[#This Row],[Aop]],Data[],T$1)/Jedinica,"")</f>
        <v>0</v>
      </c>
      <c r="U102" s="38" t="str">
        <f>IF(VLOOKUP(U$2&amp;Balance_Sheet[[#This Row],[Aop]],Data[],1)=U$2&amp;Balance_Sheet[[#This Row],[Aop]],VLOOKUP(U$2&amp;Balance_Sheet[[#This Row],[Aop]],Data[],U$1)/Jedinica,"")</f>
        <v/>
      </c>
      <c r="V102" s="38" t="str">
        <f>IF(VLOOKUP(V$2&amp;Balance_Sheet[[#This Row],[Aop]],Data[],1)=V$2&amp;Balance_Sheet[[#This Row],[Aop]],VLOOKUP(V$2&amp;Balance_Sheet[[#This Row],[Aop]],Data[],V$1)/Jedinica,"")</f>
        <v/>
      </c>
      <c r="W102" s="38" t="str">
        <f>IF(VLOOKUP(W$2&amp;Balance_Sheet[[#This Row],[Aop]],Data[],1)=W$2&amp;Balance_Sheet[[#This Row],[Aop]],VLOOKUP(W$2&amp;Balance_Sheet[[#This Row],[Aop]],Data[],W$1)/Jedinica,"")</f>
        <v/>
      </c>
      <c r="X102" s="38" t="str">
        <f>IF(VLOOKUP(X$2&amp;Balance_Sheet[[#This Row],[Aop]],Data[],1)=X$2&amp;Balance_Sheet[[#This Row],[Aop]],VLOOKUP(X$2&amp;Balance_Sheet[[#This Row],[Aop]],Data[],X$1)/Jedinica,"")</f>
        <v/>
      </c>
      <c r="Y102" s="38">
        <f>IF(VLOOKUP(Y$2&amp;Balance_Sheet[[#This Row],[Aop]],Data[],1)=Y$2&amp;Balance_Sheet[[#This Row],[Aop]],VLOOKUP(Y$2&amp;Balance_Sheet[[#This Row],[Aop]],Data[],Y$1)/Jedinica,"")</f>
        <v>0</v>
      </c>
      <c r="Z102" s="38">
        <f>IF(VLOOKUP(Z$2&amp;Balance_Sheet[[#This Row],[Aop]],Data[],1)=Z$2&amp;Balance_Sheet[[#This Row],[Aop]],VLOOKUP(Z$2&amp;Balance_Sheet[[#This Row],[Aop]],Data[],Z$1)/Jedinica,"")</f>
        <v>0</v>
      </c>
      <c r="AA102" s="38">
        <f>IF(VLOOKUP(AA$2&amp;Balance_Sheet[[#This Row],[Aop]],Data[],1)=AA$2&amp;Balance_Sheet[[#This Row],[Aop]],VLOOKUP(AA$2&amp;Balance_Sheet[[#This Row],[Aop]],Data[],AA$1)/Jedinica,"")</f>
        <v>142492</v>
      </c>
      <c r="AB102" s="38">
        <f>IF(VLOOKUP(AB$2&amp;Balance_Sheet[[#This Row],[Aop]],Data[],1)=AB$2&amp;Balance_Sheet[[#This Row],[Aop]],VLOOKUP(AB$2&amp;Balance_Sheet[[#This Row],[Aop]],Data[],AB$1)/Jedinica,"")</f>
        <v>0</v>
      </c>
      <c r="AC102" s="38" t="str">
        <f>IF(VLOOKUP(AC$2&amp;Balance_Sheet[[#This Row],[Aop]],Data[],1)=AC$2&amp;Balance_Sheet[[#This Row],[Aop]],VLOOKUP(AC$2&amp;Balance_Sheet[[#This Row],[Aop]],Data[],AC$1)/Jedinica,"")</f>
        <v/>
      </c>
      <c r="AD102" s="38" t="str">
        <f>IF(VLOOKUP(AD$2&amp;Balance_Sheet[[#This Row],[Aop]],Data[],1)=AD$2&amp;Balance_Sheet[[#This Row],[Aop]],VLOOKUP(AD$2&amp;Balance_Sheet[[#This Row],[Aop]],Data[],AD$1)/Jedinica,"")</f>
        <v/>
      </c>
      <c r="AE102" s="38" t="str">
        <f>IF(VLOOKUP(AE$2&amp;Balance_Sheet[[#This Row],[Aop]],Data[],1)=AE$2&amp;Balance_Sheet[[#This Row],[Aop]],VLOOKUP(AE$2&amp;Balance_Sheet[[#This Row],[Aop]],Data[],AE$1)/Jedinica,"")</f>
        <v/>
      </c>
      <c r="AF102" s="38" t="str">
        <f>IF(VLOOKUP(AF$2&amp;Balance_Sheet[[#This Row],[Aop]],Data[],1)=AF$2&amp;Balance_Sheet[[#This Row],[Aop]],VLOOKUP(AF$2&amp;Balance_Sheet[[#This Row],[Aop]],Data[],AF$1)/Jedinica,"")</f>
        <v/>
      </c>
    </row>
    <row r="103" spans="1:32" ht="12.75" customHeight="1" x14ac:dyDescent="0.2">
      <c r="A103" s="74">
        <v>98</v>
      </c>
      <c r="B103" s="75">
        <v>3</v>
      </c>
      <c r="C103" s="38" t="str">
        <f>VLOOKUP(Balance_Sheet[[#This Row],[No]],AOP_Balance,3,0)</f>
        <v>146</v>
      </c>
      <c r="D103" s="52" t="str">
        <f>VLOOKUP(Balance_Sheet[[#This Row],[No]],AOP_Balance,7,0)</f>
        <v xml:space="preserve">      g) Neraspoređeni višak prihoda nad rashodima iz prethodnih godina</v>
      </c>
      <c r="E103" s="38" t="str">
        <f>IF(VLOOKUP(E$2&amp;Balance_Sheet[[#This Row],[Aop]],Data[],1)=E$2&amp;Balance_Sheet[[#This Row],[Aop]],VLOOKUP(E$2&amp;Balance_Sheet[[#This Row],[Aop]],Data[],E$1)/Jedinica,"")</f>
        <v/>
      </c>
      <c r="F103" s="38" t="str">
        <f>IF(VLOOKUP(F$2&amp;Balance_Sheet[[#This Row],[Aop]],Data[],1)=F$2&amp;Balance_Sheet[[#This Row],[Aop]],VLOOKUP(F$2&amp;Balance_Sheet[[#This Row],[Aop]],Data[],F$1)/Jedinica,"")</f>
        <v/>
      </c>
      <c r="G103" s="38" t="str">
        <f>IF(VLOOKUP(G$2&amp;Balance_Sheet[[#This Row],[Aop]],Data[],1)=G$2&amp;Balance_Sheet[[#This Row],[Aop]],VLOOKUP(G$2&amp;Balance_Sheet[[#This Row],[Aop]],Data[],G$1)/Jedinica,"")</f>
        <v/>
      </c>
      <c r="H103" s="38" t="str">
        <f>IF(VLOOKUP(H$2&amp;Balance_Sheet[[#This Row],[Aop]],Data[],1)=H$2&amp;Balance_Sheet[[#This Row],[Aop]],VLOOKUP(H$2&amp;Balance_Sheet[[#This Row],[Aop]],Data[],H$1)/Jedinica,"")</f>
        <v/>
      </c>
      <c r="I103" s="38" t="str">
        <f>IF(VLOOKUP(I$2&amp;Balance_Sheet[[#This Row],[Aop]],Data[],1)=I$2&amp;Balance_Sheet[[#This Row],[Aop]],VLOOKUP(I$2&amp;Balance_Sheet[[#This Row],[Aop]],Data[],I$1)/Jedinica,"")</f>
        <v/>
      </c>
      <c r="J103" s="38" t="str">
        <f>IF(VLOOKUP(J$2&amp;Balance_Sheet[[#This Row],[Aop]],Data[],1)=J$2&amp;Balance_Sheet[[#This Row],[Aop]],VLOOKUP(J$2&amp;Balance_Sheet[[#This Row],[Aop]],Data[],J$1)/Jedinica,"")</f>
        <v/>
      </c>
      <c r="K103" s="38" t="str">
        <f>IF(VLOOKUP(K$2&amp;Balance_Sheet[[#This Row],[Aop]],Data[],1)=K$2&amp;Balance_Sheet[[#This Row],[Aop]],VLOOKUP(K$2&amp;Balance_Sheet[[#This Row],[Aop]],Data[],K$1)/Jedinica,"")</f>
        <v/>
      </c>
      <c r="L103" s="38" t="str">
        <f>IF(VLOOKUP(L$2&amp;Balance_Sheet[[#This Row],[Aop]],Data[],1)=L$2&amp;Balance_Sheet[[#This Row],[Aop]],VLOOKUP(L$2&amp;Balance_Sheet[[#This Row],[Aop]],Data[],L$1)/Jedinica,"")</f>
        <v/>
      </c>
      <c r="M103" s="38" t="str">
        <f>IF(VLOOKUP(M$2&amp;Balance_Sheet[[#This Row],[Aop]],Data[],1)=M$2&amp;Balance_Sheet[[#This Row],[Aop]],VLOOKUP(M$2&amp;Balance_Sheet[[#This Row],[Aop]],Data[],M$1)/Jedinica,"")</f>
        <v/>
      </c>
      <c r="N103" s="38" t="str">
        <f>IF(VLOOKUP(N$2&amp;Balance_Sheet[[#This Row],[Aop]],Data[],1)=N$2&amp;Balance_Sheet[[#This Row],[Aop]],VLOOKUP(N$2&amp;Balance_Sheet[[#This Row],[Aop]],Data[],N$1)/Jedinica,"")</f>
        <v/>
      </c>
      <c r="O103" s="38" t="str">
        <f>IF(VLOOKUP(O$2&amp;Balance_Sheet[[#This Row],[Aop]],Data[],1)=O$2&amp;Balance_Sheet[[#This Row],[Aop]],VLOOKUP(O$2&amp;Balance_Sheet[[#This Row],[Aop]],Data[],O$1)/Jedinica,"")</f>
        <v/>
      </c>
      <c r="P103" s="38" t="str">
        <f>IF(VLOOKUP(P$2&amp;Balance_Sheet[[#This Row],[Aop]],Data[],1)=P$2&amp;Balance_Sheet[[#This Row],[Aop]],VLOOKUP(P$2&amp;Balance_Sheet[[#This Row],[Aop]],Data[],P$1)/Jedinica,"")</f>
        <v/>
      </c>
      <c r="Q103" s="38" t="str">
        <f>IF(VLOOKUP(Q$2&amp;Balance_Sheet[[#This Row],[Aop]],Data[],1)=Q$2&amp;Balance_Sheet[[#This Row],[Aop]],VLOOKUP(Q$2&amp;Balance_Sheet[[#This Row],[Aop]],Data[],Q$1)/Jedinica,"")</f>
        <v/>
      </c>
      <c r="R103" s="38" t="str">
        <f>IF(VLOOKUP(R$2&amp;Balance_Sheet[[#This Row],[Aop]],Data[],1)=R$2&amp;Balance_Sheet[[#This Row],[Aop]],VLOOKUP(R$2&amp;Balance_Sheet[[#This Row],[Aop]],Data[],R$1)/Jedinica,"")</f>
        <v/>
      </c>
      <c r="S103" s="38" t="str">
        <f>IF(VLOOKUP(S$2&amp;Balance_Sheet[[#This Row],[Aop]],Data[],1)=S$2&amp;Balance_Sheet[[#This Row],[Aop]],VLOOKUP(S$2&amp;Balance_Sheet[[#This Row],[Aop]],Data[],S$1)/Jedinica,"")</f>
        <v/>
      </c>
      <c r="T103" s="38" t="str">
        <f>IF(VLOOKUP(T$2&amp;Balance_Sheet[[#This Row],[Aop]],Data[],1)=T$2&amp;Balance_Sheet[[#This Row],[Aop]],VLOOKUP(T$2&amp;Balance_Sheet[[#This Row],[Aop]],Data[],T$1)/Jedinica,"")</f>
        <v/>
      </c>
      <c r="U103" s="38" t="str">
        <f>IF(VLOOKUP(U$2&amp;Balance_Sheet[[#This Row],[Aop]],Data[],1)=U$2&amp;Balance_Sheet[[#This Row],[Aop]],VLOOKUP(U$2&amp;Balance_Sheet[[#This Row],[Aop]],Data[],U$1)/Jedinica,"")</f>
        <v/>
      </c>
      <c r="V103" s="38" t="str">
        <f>IF(VLOOKUP(V$2&amp;Balance_Sheet[[#This Row],[Aop]],Data[],1)=V$2&amp;Balance_Sheet[[#This Row],[Aop]],VLOOKUP(V$2&amp;Balance_Sheet[[#This Row],[Aop]],Data[],V$1)/Jedinica,"")</f>
        <v/>
      </c>
      <c r="W103" s="38" t="str">
        <f>IF(VLOOKUP(W$2&amp;Balance_Sheet[[#This Row],[Aop]],Data[],1)=W$2&amp;Balance_Sheet[[#This Row],[Aop]],VLOOKUP(W$2&amp;Balance_Sheet[[#This Row],[Aop]],Data[],W$1)/Jedinica,"")</f>
        <v/>
      </c>
      <c r="X103" s="38" t="str">
        <f>IF(VLOOKUP(X$2&amp;Balance_Sheet[[#This Row],[Aop]],Data[],1)=X$2&amp;Balance_Sheet[[#This Row],[Aop]],VLOOKUP(X$2&amp;Balance_Sheet[[#This Row],[Aop]],Data[],X$1)/Jedinica,"")</f>
        <v/>
      </c>
      <c r="Y103" s="38" t="str">
        <f>IF(VLOOKUP(Y$2&amp;Balance_Sheet[[#This Row],[Aop]],Data[],1)=Y$2&amp;Balance_Sheet[[#This Row],[Aop]],VLOOKUP(Y$2&amp;Balance_Sheet[[#This Row],[Aop]],Data[],Y$1)/Jedinica,"")</f>
        <v/>
      </c>
      <c r="Z103" s="38" t="str">
        <f>IF(VLOOKUP(Z$2&amp;Balance_Sheet[[#This Row],[Aop]],Data[],1)=Z$2&amp;Balance_Sheet[[#This Row],[Aop]],VLOOKUP(Z$2&amp;Balance_Sheet[[#This Row],[Aop]],Data[],Z$1)/Jedinica,"")</f>
        <v/>
      </c>
      <c r="AA103" s="38" t="str">
        <f>IF(VLOOKUP(AA$2&amp;Balance_Sheet[[#This Row],[Aop]],Data[],1)=AA$2&amp;Balance_Sheet[[#This Row],[Aop]],VLOOKUP(AA$2&amp;Balance_Sheet[[#This Row],[Aop]],Data[],AA$1)/Jedinica,"")</f>
        <v/>
      </c>
      <c r="AB103" s="38" t="str">
        <f>IF(VLOOKUP(AB$2&amp;Balance_Sheet[[#This Row],[Aop]],Data[],1)=AB$2&amp;Balance_Sheet[[#This Row],[Aop]],VLOOKUP(AB$2&amp;Balance_Sheet[[#This Row],[Aop]],Data[],AB$1)/Jedinica,"")</f>
        <v/>
      </c>
      <c r="AC103" s="38" t="str">
        <f>IF(VLOOKUP(AC$2&amp;Balance_Sheet[[#This Row],[Aop]],Data[],1)=AC$2&amp;Balance_Sheet[[#This Row],[Aop]],VLOOKUP(AC$2&amp;Balance_Sheet[[#This Row],[Aop]],Data[],AC$1)/Jedinica,"")</f>
        <v/>
      </c>
      <c r="AD103" s="38" t="str">
        <f>IF(VLOOKUP(AD$2&amp;Balance_Sheet[[#This Row],[Aop]],Data[],1)=AD$2&amp;Balance_Sheet[[#This Row],[Aop]],VLOOKUP(AD$2&amp;Balance_Sheet[[#This Row],[Aop]],Data[],AD$1)/Jedinica,"")</f>
        <v/>
      </c>
      <c r="AE103" s="38" t="str">
        <f>IF(VLOOKUP(AE$2&amp;Balance_Sheet[[#This Row],[Aop]],Data[],1)=AE$2&amp;Balance_Sheet[[#This Row],[Aop]],VLOOKUP(AE$2&amp;Balance_Sheet[[#This Row],[Aop]],Data[],AE$1)/Jedinica,"")</f>
        <v/>
      </c>
      <c r="AF103" s="38" t="str">
        <f>IF(VLOOKUP(AF$2&amp;Balance_Sheet[[#This Row],[Aop]],Data[],1)=AF$2&amp;Balance_Sheet[[#This Row],[Aop]],VLOOKUP(AF$2&amp;Balance_Sheet[[#This Row],[Aop]],Data[],AF$1)/Jedinica,"")</f>
        <v/>
      </c>
    </row>
    <row r="104" spans="1:32" ht="12.75" customHeight="1" x14ac:dyDescent="0.2">
      <c r="A104" s="74">
        <v>99</v>
      </c>
      <c r="B104" s="75">
        <v>3</v>
      </c>
      <c r="C104" s="38" t="str">
        <f>VLOOKUP(Balance_Sheet[[#This Row],[No]],AOP_Balance,3,0)</f>
        <v>147</v>
      </c>
      <c r="D104" s="52" t="str">
        <f>VLOOKUP(Balance_Sheet[[#This Row],[No]],AOP_Balance,7,0)</f>
        <v xml:space="preserve">      d) Zadržana zarada</v>
      </c>
      <c r="E104" s="38" t="str">
        <f>IF(VLOOKUP(E$2&amp;Balance_Sheet[[#This Row],[Aop]],Data[],1)=E$2&amp;Balance_Sheet[[#This Row],[Aop]],VLOOKUP(E$2&amp;Balance_Sheet[[#This Row],[Aop]],Data[],E$1)/Jedinica,"")</f>
        <v/>
      </c>
      <c r="F104" s="38" t="str">
        <f>IF(VLOOKUP(F$2&amp;Balance_Sheet[[#This Row],[Aop]],Data[],1)=F$2&amp;Balance_Sheet[[#This Row],[Aop]],VLOOKUP(F$2&amp;Balance_Sheet[[#This Row],[Aop]],Data[],F$1)/Jedinica,"")</f>
        <v/>
      </c>
      <c r="G104" s="38" t="str">
        <f>IF(VLOOKUP(G$2&amp;Balance_Sheet[[#This Row],[Aop]],Data[],1)=G$2&amp;Balance_Sheet[[#This Row],[Aop]],VLOOKUP(G$2&amp;Balance_Sheet[[#This Row],[Aop]],Data[],G$1)/Jedinica,"")</f>
        <v/>
      </c>
      <c r="H104" s="38" t="str">
        <f>IF(VLOOKUP(H$2&amp;Balance_Sheet[[#This Row],[Aop]],Data[],1)=H$2&amp;Balance_Sheet[[#This Row],[Aop]],VLOOKUP(H$2&amp;Balance_Sheet[[#This Row],[Aop]],Data[],H$1)/Jedinica,"")</f>
        <v/>
      </c>
      <c r="I104" s="38" t="str">
        <f>IF(VLOOKUP(I$2&amp;Balance_Sheet[[#This Row],[Aop]],Data[],1)=I$2&amp;Balance_Sheet[[#This Row],[Aop]],VLOOKUP(I$2&amp;Balance_Sheet[[#This Row],[Aop]],Data[],I$1)/Jedinica,"")</f>
        <v/>
      </c>
      <c r="J104" s="38" t="str">
        <f>IF(VLOOKUP(J$2&amp;Balance_Sheet[[#This Row],[Aop]],Data[],1)=J$2&amp;Balance_Sheet[[#This Row],[Aop]],VLOOKUP(J$2&amp;Balance_Sheet[[#This Row],[Aop]],Data[],J$1)/Jedinica,"")</f>
        <v/>
      </c>
      <c r="K104" s="38" t="str">
        <f>IF(VLOOKUP(K$2&amp;Balance_Sheet[[#This Row],[Aop]],Data[],1)=K$2&amp;Balance_Sheet[[#This Row],[Aop]],VLOOKUP(K$2&amp;Balance_Sheet[[#This Row],[Aop]],Data[],K$1)/Jedinica,"")</f>
        <v/>
      </c>
      <c r="L104" s="38" t="str">
        <f>IF(VLOOKUP(L$2&amp;Balance_Sheet[[#This Row],[Aop]],Data[],1)=L$2&amp;Balance_Sheet[[#This Row],[Aop]],VLOOKUP(L$2&amp;Balance_Sheet[[#This Row],[Aop]],Data[],L$1)/Jedinica,"")</f>
        <v/>
      </c>
      <c r="M104" s="38" t="str">
        <f>IF(VLOOKUP(M$2&amp;Balance_Sheet[[#This Row],[Aop]],Data[],1)=M$2&amp;Balance_Sheet[[#This Row],[Aop]],VLOOKUP(M$2&amp;Balance_Sheet[[#This Row],[Aop]],Data[],M$1)/Jedinica,"")</f>
        <v/>
      </c>
      <c r="N104" s="38" t="str">
        <f>IF(VLOOKUP(N$2&amp;Balance_Sheet[[#This Row],[Aop]],Data[],1)=N$2&amp;Balance_Sheet[[#This Row],[Aop]],VLOOKUP(N$2&amp;Balance_Sheet[[#This Row],[Aop]],Data[],N$1)/Jedinica,"")</f>
        <v/>
      </c>
      <c r="O104" s="38" t="str">
        <f>IF(VLOOKUP(O$2&amp;Balance_Sheet[[#This Row],[Aop]],Data[],1)=O$2&amp;Balance_Sheet[[#This Row],[Aop]],VLOOKUP(O$2&amp;Balance_Sheet[[#This Row],[Aop]],Data[],O$1)/Jedinica,"")</f>
        <v/>
      </c>
      <c r="P104" s="38" t="str">
        <f>IF(VLOOKUP(P$2&amp;Balance_Sheet[[#This Row],[Aop]],Data[],1)=P$2&amp;Balance_Sheet[[#This Row],[Aop]],VLOOKUP(P$2&amp;Balance_Sheet[[#This Row],[Aop]],Data[],P$1)/Jedinica,"")</f>
        <v/>
      </c>
      <c r="Q104" s="38" t="str">
        <f>IF(VLOOKUP(Q$2&amp;Balance_Sheet[[#This Row],[Aop]],Data[],1)=Q$2&amp;Balance_Sheet[[#This Row],[Aop]],VLOOKUP(Q$2&amp;Balance_Sheet[[#This Row],[Aop]],Data[],Q$1)/Jedinica,"")</f>
        <v/>
      </c>
      <c r="R104" s="38" t="str">
        <f>IF(VLOOKUP(R$2&amp;Balance_Sheet[[#This Row],[Aop]],Data[],1)=R$2&amp;Balance_Sheet[[#This Row],[Aop]],VLOOKUP(R$2&amp;Balance_Sheet[[#This Row],[Aop]],Data[],R$1)/Jedinica,"")</f>
        <v/>
      </c>
      <c r="S104" s="38" t="str">
        <f>IF(VLOOKUP(S$2&amp;Balance_Sheet[[#This Row],[Aop]],Data[],1)=S$2&amp;Balance_Sheet[[#This Row],[Aop]],VLOOKUP(S$2&amp;Balance_Sheet[[#This Row],[Aop]],Data[],S$1)/Jedinica,"")</f>
        <v/>
      </c>
      <c r="T104" s="38" t="str">
        <f>IF(VLOOKUP(T$2&amp;Balance_Sheet[[#This Row],[Aop]],Data[],1)=T$2&amp;Balance_Sheet[[#This Row],[Aop]],VLOOKUP(T$2&amp;Balance_Sheet[[#This Row],[Aop]],Data[],T$1)/Jedinica,"")</f>
        <v/>
      </c>
      <c r="U104" s="38">
        <f>IF(VLOOKUP(U$2&amp;Balance_Sheet[[#This Row],[Aop]],Data[],1)=U$2&amp;Balance_Sheet[[#This Row],[Aop]],VLOOKUP(U$2&amp;Balance_Sheet[[#This Row],[Aop]],Data[],U$1)/Jedinica,"")</f>
        <v>0</v>
      </c>
      <c r="V104" s="38">
        <f>IF(VLOOKUP(V$2&amp;Balance_Sheet[[#This Row],[Aop]],Data[],1)=V$2&amp;Balance_Sheet[[#This Row],[Aop]],VLOOKUP(V$2&amp;Balance_Sheet[[#This Row],[Aop]],Data[],V$1)/Jedinica,"")</f>
        <v>0</v>
      </c>
      <c r="W104" s="38">
        <f>IF(VLOOKUP(W$2&amp;Balance_Sheet[[#This Row],[Aop]],Data[],1)=W$2&amp;Balance_Sheet[[#This Row],[Aop]],VLOOKUP(W$2&amp;Balance_Sheet[[#This Row],[Aop]],Data[],W$1)/Jedinica,"")</f>
        <v>12622479</v>
      </c>
      <c r="X104" s="38">
        <f>IF(VLOOKUP(X$2&amp;Balance_Sheet[[#This Row],[Aop]],Data[],1)=X$2&amp;Balance_Sheet[[#This Row],[Aop]],VLOOKUP(X$2&amp;Balance_Sheet[[#This Row],[Aop]],Data[],X$1)/Jedinica,"")</f>
        <v>2194855</v>
      </c>
      <c r="Y104" s="38" t="str">
        <f>IF(VLOOKUP(Y$2&amp;Balance_Sheet[[#This Row],[Aop]],Data[],1)=Y$2&amp;Balance_Sheet[[#This Row],[Aop]],VLOOKUP(Y$2&amp;Balance_Sheet[[#This Row],[Aop]],Data[],Y$1)/Jedinica,"")</f>
        <v/>
      </c>
      <c r="Z104" s="38" t="str">
        <f>IF(VLOOKUP(Z$2&amp;Balance_Sheet[[#This Row],[Aop]],Data[],1)=Z$2&amp;Balance_Sheet[[#This Row],[Aop]],VLOOKUP(Z$2&amp;Balance_Sheet[[#This Row],[Aop]],Data[],Z$1)/Jedinica,"")</f>
        <v/>
      </c>
      <c r="AA104" s="38" t="str">
        <f>IF(VLOOKUP(AA$2&amp;Balance_Sheet[[#This Row],[Aop]],Data[],1)=AA$2&amp;Balance_Sheet[[#This Row],[Aop]],VLOOKUP(AA$2&amp;Balance_Sheet[[#This Row],[Aop]],Data[],AA$1)/Jedinica,"")</f>
        <v/>
      </c>
      <c r="AB104" s="38" t="str">
        <f>IF(VLOOKUP(AB$2&amp;Balance_Sheet[[#This Row],[Aop]],Data[],1)=AB$2&amp;Balance_Sheet[[#This Row],[Aop]],VLOOKUP(AB$2&amp;Balance_Sheet[[#This Row],[Aop]],Data[],AB$1)/Jedinica,"")</f>
        <v/>
      </c>
      <c r="AC104" s="38" t="str">
        <f>IF(VLOOKUP(AC$2&amp;Balance_Sheet[[#This Row],[Aop]],Data[],1)=AC$2&amp;Balance_Sheet[[#This Row],[Aop]],VLOOKUP(AC$2&amp;Balance_Sheet[[#This Row],[Aop]],Data[],AC$1)/Jedinica,"")</f>
        <v/>
      </c>
      <c r="AD104" s="38" t="str">
        <f>IF(VLOOKUP(AD$2&amp;Balance_Sheet[[#This Row],[Aop]],Data[],1)=AD$2&amp;Balance_Sheet[[#This Row],[Aop]],VLOOKUP(AD$2&amp;Balance_Sheet[[#This Row],[Aop]],Data[],AD$1)/Jedinica,"")</f>
        <v/>
      </c>
      <c r="AE104" s="38" t="str">
        <f>IF(VLOOKUP(AE$2&amp;Balance_Sheet[[#This Row],[Aop]],Data[],1)=AE$2&amp;Balance_Sheet[[#This Row],[Aop]],VLOOKUP(AE$2&amp;Balance_Sheet[[#This Row],[Aop]],Data[],AE$1)/Jedinica,"")</f>
        <v/>
      </c>
      <c r="AF104" s="38" t="str">
        <f>IF(VLOOKUP(AF$2&amp;Balance_Sheet[[#This Row],[Aop]],Data[],1)=AF$2&amp;Balance_Sheet[[#This Row],[Aop]],VLOOKUP(AF$2&amp;Balance_Sheet[[#This Row],[Aop]],Data[],AF$1)/Jedinica,"")</f>
        <v/>
      </c>
    </row>
    <row r="105" spans="1:32" ht="12.75" customHeight="1" x14ac:dyDescent="0.2">
      <c r="A105" s="74">
        <v>100</v>
      </c>
      <c r="B105" s="75">
        <v>2</v>
      </c>
      <c r="C105" s="38" t="str">
        <f>VLOOKUP(Balance_Sheet[[#This Row],[No]],AOP_Balance,3,0)</f>
        <v>148</v>
      </c>
      <c r="D105" s="52" t="str">
        <f>VLOOKUP(Balance_Sheet[[#This Row],[No]],AOP_Balance,7,0)</f>
        <v xml:space="preserve">    5. Gubitak (149 + 150)</v>
      </c>
      <c r="E105" s="38" t="str">
        <f>IF(VLOOKUP(E$2&amp;Balance_Sheet[[#This Row],[Aop]],Data[],1)=E$2&amp;Balance_Sheet[[#This Row],[Aop]],VLOOKUP(E$2&amp;Balance_Sheet[[#This Row],[Aop]],Data[],E$1)/Jedinica,"")</f>
        <v/>
      </c>
      <c r="F105" s="38" t="str">
        <f>IF(VLOOKUP(F$2&amp;Balance_Sheet[[#This Row],[Aop]],Data[],1)=F$2&amp;Balance_Sheet[[#This Row],[Aop]],VLOOKUP(F$2&amp;Balance_Sheet[[#This Row],[Aop]],Data[],F$1)/Jedinica,"")</f>
        <v/>
      </c>
      <c r="G105" s="38" t="str">
        <f>IF(VLOOKUP(G$2&amp;Balance_Sheet[[#This Row],[Aop]],Data[],1)=G$2&amp;Balance_Sheet[[#This Row],[Aop]],VLOOKUP(G$2&amp;Balance_Sheet[[#This Row],[Aop]],Data[],G$1)/Jedinica,"")</f>
        <v/>
      </c>
      <c r="H105" s="38" t="str">
        <f>IF(VLOOKUP(H$2&amp;Balance_Sheet[[#This Row],[Aop]],Data[],1)=H$2&amp;Balance_Sheet[[#This Row],[Aop]],VLOOKUP(H$2&amp;Balance_Sheet[[#This Row],[Aop]],Data[],H$1)/Jedinica,"")</f>
        <v/>
      </c>
      <c r="I105" s="38">
        <f>IF(VLOOKUP(I$2&amp;Balance_Sheet[[#This Row],[Aop]],Data[],1)=I$2&amp;Balance_Sheet[[#This Row],[Aop]],VLOOKUP(I$2&amp;Balance_Sheet[[#This Row],[Aop]],Data[],I$1)/Jedinica,"")</f>
        <v>0</v>
      </c>
      <c r="J105" s="38">
        <f>IF(VLOOKUP(J$2&amp;Balance_Sheet[[#This Row],[Aop]],Data[],1)=J$2&amp;Balance_Sheet[[#This Row],[Aop]],VLOOKUP(J$2&amp;Balance_Sheet[[#This Row],[Aop]],Data[],J$1)/Jedinica,"")</f>
        <v>0</v>
      </c>
      <c r="K105" s="38">
        <f>IF(VLOOKUP(K$2&amp;Balance_Sheet[[#This Row],[Aop]],Data[],1)=K$2&amp;Balance_Sheet[[#This Row],[Aop]],VLOOKUP(K$2&amp;Balance_Sheet[[#This Row],[Aop]],Data[],K$1)/Jedinica,"")</f>
        <v>394595</v>
      </c>
      <c r="L105" s="38">
        <f>IF(VLOOKUP(L$2&amp;Balance_Sheet[[#This Row],[Aop]],Data[],1)=L$2&amp;Balance_Sheet[[#This Row],[Aop]],VLOOKUP(L$2&amp;Balance_Sheet[[#This Row],[Aop]],Data[],L$1)/Jedinica,"")</f>
        <v>33634083</v>
      </c>
      <c r="M105" s="38" t="str">
        <f>IF(VLOOKUP(M$2&amp;Balance_Sheet[[#This Row],[Aop]],Data[],1)=M$2&amp;Balance_Sheet[[#This Row],[Aop]],VLOOKUP(M$2&amp;Balance_Sheet[[#This Row],[Aop]],Data[],M$1)/Jedinica,"")</f>
        <v/>
      </c>
      <c r="N105" s="38" t="str">
        <f>IF(VLOOKUP(N$2&amp;Balance_Sheet[[#This Row],[Aop]],Data[],1)=N$2&amp;Balance_Sheet[[#This Row],[Aop]],VLOOKUP(N$2&amp;Balance_Sheet[[#This Row],[Aop]],Data[],N$1)/Jedinica,"")</f>
        <v/>
      </c>
      <c r="O105" s="38" t="str">
        <f>IF(VLOOKUP(O$2&amp;Balance_Sheet[[#This Row],[Aop]],Data[],1)=O$2&amp;Balance_Sheet[[#This Row],[Aop]],VLOOKUP(O$2&amp;Balance_Sheet[[#This Row],[Aop]],Data[],O$1)/Jedinica,"")</f>
        <v/>
      </c>
      <c r="P105" s="38" t="str">
        <f>IF(VLOOKUP(P$2&amp;Balance_Sheet[[#This Row],[Aop]],Data[],1)=P$2&amp;Balance_Sheet[[#This Row],[Aop]],VLOOKUP(P$2&amp;Balance_Sheet[[#This Row],[Aop]],Data[],P$1)/Jedinica,"")</f>
        <v/>
      </c>
      <c r="Q105" s="38">
        <f>IF(VLOOKUP(Q$2&amp;Balance_Sheet[[#This Row],[Aop]],Data[],1)=Q$2&amp;Balance_Sheet[[#This Row],[Aop]],VLOOKUP(Q$2&amp;Balance_Sheet[[#This Row],[Aop]],Data[],Q$1)/Jedinica,"")</f>
        <v>0</v>
      </c>
      <c r="R105" s="38">
        <f>IF(VLOOKUP(R$2&amp;Balance_Sheet[[#This Row],[Aop]],Data[],1)=R$2&amp;Balance_Sheet[[#This Row],[Aop]],VLOOKUP(R$2&amp;Balance_Sheet[[#This Row],[Aop]],Data[],R$1)/Jedinica,"")</f>
        <v>0</v>
      </c>
      <c r="S105" s="38">
        <f>IF(VLOOKUP(S$2&amp;Balance_Sheet[[#This Row],[Aop]],Data[],1)=S$2&amp;Balance_Sheet[[#This Row],[Aop]],VLOOKUP(S$2&amp;Balance_Sheet[[#This Row],[Aop]],Data[],S$1)/Jedinica,"")</f>
        <v>6469490</v>
      </c>
      <c r="T105" s="38">
        <f>IF(VLOOKUP(T$2&amp;Balance_Sheet[[#This Row],[Aop]],Data[],1)=T$2&amp;Balance_Sheet[[#This Row],[Aop]],VLOOKUP(T$2&amp;Balance_Sheet[[#This Row],[Aop]],Data[],T$1)/Jedinica,"")</f>
        <v>6469490</v>
      </c>
      <c r="U105" s="38" t="str">
        <f>IF(VLOOKUP(U$2&amp;Balance_Sheet[[#This Row],[Aop]],Data[],1)=U$2&amp;Balance_Sheet[[#This Row],[Aop]],VLOOKUP(U$2&amp;Balance_Sheet[[#This Row],[Aop]],Data[],U$1)/Jedinica,"")</f>
        <v/>
      </c>
      <c r="V105" s="38" t="str">
        <f>IF(VLOOKUP(V$2&amp;Balance_Sheet[[#This Row],[Aop]],Data[],1)=V$2&amp;Balance_Sheet[[#This Row],[Aop]],VLOOKUP(V$2&amp;Balance_Sheet[[#This Row],[Aop]],Data[],V$1)/Jedinica,"")</f>
        <v/>
      </c>
      <c r="W105" s="38" t="str">
        <f>IF(VLOOKUP(W$2&amp;Balance_Sheet[[#This Row],[Aop]],Data[],1)=W$2&amp;Balance_Sheet[[#This Row],[Aop]],VLOOKUP(W$2&amp;Balance_Sheet[[#This Row],[Aop]],Data[],W$1)/Jedinica,"")</f>
        <v/>
      </c>
      <c r="X105" s="38" t="str">
        <f>IF(VLOOKUP(X$2&amp;Balance_Sheet[[#This Row],[Aop]],Data[],1)=X$2&amp;Balance_Sheet[[#This Row],[Aop]],VLOOKUP(X$2&amp;Balance_Sheet[[#This Row],[Aop]],Data[],X$1)/Jedinica,"")</f>
        <v/>
      </c>
      <c r="Y105" s="38">
        <f>IF(VLOOKUP(Y$2&amp;Balance_Sheet[[#This Row],[Aop]],Data[],1)=Y$2&amp;Balance_Sheet[[#This Row],[Aop]],VLOOKUP(Y$2&amp;Balance_Sheet[[#This Row],[Aop]],Data[],Y$1)/Jedinica,"")</f>
        <v>0</v>
      </c>
      <c r="Z105" s="38">
        <f>IF(VLOOKUP(Z$2&amp;Balance_Sheet[[#This Row],[Aop]],Data[],1)=Z$2&amp;Balance_Sheet[[#This Row],[Aop]],VLOOKUP(Z$2&amp;Balance_Sheet[[#This Row],[Aop]],Data[],Z$1)/Jedinica,"")</f>
        <v>0</v>
      </c>
      <c r="AA105" s="38">
        <f>IF(VLOOKUP(AA$2&amp;Balance_Sheet[[#This Row],[Aop]],Data[],1)=AA$2&amp;Balance_Sheet[[#This Row],[Aop]],VLOOKUP(AA$2&amp;Balance_Sheet[[#This Row],[Aop]],Data[],AA$1)/Jedinica,"")</f>
        <v>6469490</v>
      </c>
      <c r="AB105" s="38">
        <f>IF(VLOOKUP(AB$2&amp;Balance_Sheet[[#This Row],[Aop]],Data[],1)=AB$2&amp;Balance_Sheet[[#This Row],[Aop]],VLOOKUP(AB$2&amp;Balance_Sheet[[#This Row],[Aop]],Data[],AB$1)/Jedinica,"")</f>
        <v>6469490</v>
      </c>
      <c r="AC105" s="38" t="str">
        <f>IF(VLOOKUP(AC$2&amp;Balance_Sheet[[#This Row],[Aop]],Data[],1)=AC$2&amp;Balance_Sheet[[#This Row],[Aop]],VLOOKUP(AC$2&amp;Balance_Sheet[[#This Row],[Aop]],Data[],AC$1)/Jedinica,"")</f>
        <v/>
      </c>
      <c r="AD105" s="38" t="str">
        <f>IF(VLOOKUP(AD$2&amp;Balance_Sheet[[#This Row],[Aop]],Data[],1)=AD$2&amp;Balance_Sheet[[#This Row],[Aop]],VLOOKUP(AD$2&amp;Balance_Sheet[[#This Row],[Aop]],Data[],AD$1)/Jedinica,"")</f>
        <v/>
      </c>
      <c r="AE105" s="38" t="str">
        <f>IF(VLOOKUP(AE$2&amp;Balance_Sheet[[#This Row],[Aop]],Data[],1)=AE$2&amp;Balance_Sheet[[#This Row],[Aop]],VLOOKUP(AE$2&amp;Balance_Sheet[[#This Row],[Aop]],Data[],AE$1)/Jedinica,"")</f>
        <v/>
      </c>
      <c r="AF105" s="38" t="str">
        <f>IF(VLOOKUP(AF$2&amp;Balance_Sheet[[#This Row],[Aop]],Data[],1)=AF$2&amp;Balance_Sheet[[#This Row],[Aop]],VLOOKUP(AF$2&amp;Balance_Sheet[[#This Row],[Aop]],Data[],AF$1)/Jedinica,"")</f>
        <v/>
      </c>
    </row>
    <row r="106" spans="1:32" ht="12.75" customHeight="1" x14ac:dyDescent="0.2">
      <c r="A106" s="74">
        <v>101</v>
      </c>
      <c r="B106" s="75">
        <v>3</v>
      </c>
      <c r="C106" s="38" t="str">
        <f>VLOOKUP(Balance_Sheet[[#This Row],[No]],AOP_Balance,3,0)</f>
        <v>149</v>
      </c>
      <c r="D106" s="52" t="str">
        <f>VLOOKUP(Balance_Sheet[[#This Row],[No]],AOP_Balance,7,0)</f>
        <v xml:space="preserve">      a) Gubitak tekuće godine</v>
      </c>
      <c r="E106" s="38" t="str">
        <f>IF(VLOOKUP(E$2&amp;Balance_Sheet[[#This Row],[Aop]],Data[],1)=E$2&amp;Balance_Sheet[[#This Row],[Aop]],VLOOKUP(E$2&amp;Balance_Sheet[[#This Row],[Aop]],Data[],E$1)/Jedinica,"")</f>
        <v/>
      </c>
      <c r="F106" s="38" t="str">
        <f>IF(VLOOKUP(F$2&amp;Balance_Sheet[[#This Row],[Aop]],Data[],1)=F$2&amp;Balance_Sheet[[#This Row],[Aop]],VLOOKUP(F$2&amp;Balance_Sheet[[#This Row],[Aop]],Data[],F$1)/Jedinica,"")</f>
        <v/>
      </c>
      <c r="G106" s="38" t="str">
        <f>IF(VLOOKUP(G$2&amp;Balance_Sheet[[#This Row],[Aop]],Data[],1)=G$2&amp;Balance_Sheet[[#This Row],[Aop]],VLOOKUP(G$2&amp;Balance_Sheet[[#This Row],[Aop]],Data[],G$1)/Jedinica,"")</f>
        <v/>
      </c>
      <c r="H106" s="38" t="str">
        <f>IF(VLOOKUP(H$2&amp;Balance_Sheet[[#This Row],[Aop]],Data[],1)=H$2&amp;Balance_Sheet[[#This Row],[Aop]],VLOOKUP(H$2&amp;Balance_Sheet[[#This Row],[Aop]],Data[],H$1)/Jedinica,"")</f>
        <v/>
      </c>
      <c r="I106" s="38">
        <f>IF(VLOOKUP(I$2&amp;Balance_Sheet[[#This Row],[Aop]],Data[],1)=I$2&amp;Balance_Sheet[[#This Row],[Aop]],VLOOKUP(I$2&amp;Balance_Sheet[[#This Row],[Aop]],Data[],I$1)/Jedinica,"")</f>
        <v>0</v>
      </c>
      <c r="J106" s="38">
        <f>IF(VLOOKUP(J$2&amp;Balance_Sheet[[#This Row],[Aop]],Data[],1)=J$2&amp;Balance_Sheet[[#This Row],[Aop]],VLOOKUP(J$2&amp;Balance_Sheet[[#This Row],[Aop]],Data[],J$1)/Jedinica,"")</f>
        <v>0</v>
      </c>
      <c r="K106" s="38">
        <f>IF(VLOOKUP(K$2&amp;Balance_Sheet[[#This Row],[Aop]],Data[],1)=K$2&amp;Balance_Sheet[[#This Row],[Aop]],VLOOKUP(K$2&amp;Balance_Sheet[[#This Row],[Aop]],Data[],K$1)/Jedinica,"")</f>
        <v>394595</v>
      </c>
      <c r="L106" s="38">
        <f>IF(VLOOKUP(L$2&amp;Balance_Sheet[[#This Row],[Aop]],Data[],1)=L$2&amp;Balance_Sheet[[#This Row],[Aop]],VLOOKUP(L$2&amp;Balance_Sheet[[#This Row],[Aop]],Data[],L$1)/Jedinica,"")</f>
        <v>33634083</v>
      </c>
      <c r="M106" s="38" t="str">
        <f>IF(VLOOKUP(M$2&amp;Balance_Sheet[[#This Row],[Aop]],Data[],1)=M$2&amp;Balance_Sheet[[#This Row],[Aop]],VLOOKUP(M$2&amp;Balance_Sheet[[#This Row],[Aop]],Data[],M$1)/Jedinica,"")</f>
        <v/>
      </c>
      <c r="N106" s="38" t="str">
        <f>IF(VLOOKUP(N$2&amp;Balance_Sheet[[#This Row],[Aop]],Data[],1)=N$2&amp;Balance_Sheet[[#This Row],[Aop]],VLOOKUP(N$2&amp;Balance_Sheet[[#This Row],[Aop]],Data[],N$1)/Jedinica,"")</f>
        <v/>
      </c>
      <c r="O106" s="38" t="str">
        <f>IF(VLOOKUP(O$2&amp;Balance_Sheet[[#This Row],[Aop]],Data[],1)=O$2&amp;Balance_Sheet[[#This Row],[Aop]],VLOOKUP(O$2&amp;Balance_Sheet[[#This Row],[Aop]],Data[],O$1)/Jedinica,"")</f>
        <v/>
      </c>
      <c r="P106" s="38" t="str">
        <f>IF(VLOOKUP(P$2&amp;Balance_Sheet[[#This Row],[Aop]],Data[],1)=P$2&amp;Balance_Sheet[[#This Row],[Aop]],VLOOKUP(P$2&amp;Balance_Sheet[[#This Row],[Aop]],Data[],P$1)/Jedinica,"")</f>
        <v/>
      </c>
      <c r="Q106" s="38" t="str">
        <f>IF(VLOOKUP(Q$2&amp;Balance_Sheet[[#This Row],[Aop]],Data[],1)=Q$2&amp;Balance_Sheet[[#This Row],[Aop]],VLOOKUP(Q$2&amp;Balance_Sheet[[#This Row],[Aop]],Data[],Q$1)/Jedinica,"")</f>
        <v/>
      </c>
      <c r="R106" s="38" t="str">
        <f>IF(VLOOKUP(R$2&amp;Balance_Sheet[[#This Row],[Aop]],Data[],1)=R$2&amp;Balance_Sheet[[#This Row],[Aop]],VLOOKUP(R$2&amp;Balance_Sheet[[#This Row],[Aop]],Data[],R$1)/Jedinica,"")</f>
        <v/>
      </c>
      <c r="S106" s="38" t="str">
        <f>IF(VLOOKUP(S$2&amp;Balance_Sheet[[#This Row],[Aop]],Data[],1)=S$2&amp;Balance_Sheet[[#This Row],[Aop]],VLOOKUP(S$2&amp;Balance_Sheet[[#This Row],[Aop]],Data[],S$1)/Jedinica,"")</f>
        <v/>
      </c>
      <c r="T106" s="38" t="str">
        <f>IF(VLOOKUP(T$2&amp;Balance_Sheet[[#This Row],[Aop]],Data[],1)=T$2&amp;Balance_Sheet[[#This Row],[Aop]],VLOOKUP(T$2&amp;Balance_Sheet[[#This Row],[Aop]],Data[],T$1)/Jedinica,"")</f>
        <v/>
      </c>
      <c r="U106" s="38" t="str">
        <f>IF(VLOOKUP(U$2&amp;Balance_Sheet[[#This Row],[Aop]],Data[],1)=U$2&amp;Balance_Sheet[[#This Row],[Aop]],VLOOKUP(U$2&amp;Balance_Sheet[[#This Row],[Aop]],Data[],U$1)/Jedinica,"")</f>
        <v/>
      </c>
      <c r="V106" s="38" t="str">
        <f>IF(VLOOKUP(V$2&amp;Balance_Sheet[[#This Row],[Aop]],Data[],1)=V$2&amp;Balance_Sheet[[#This Row],[Aop]],VLOOKUP(V$2&amp;Balance_Sheet[[#This Row],[Aop]],Data[],V$1)/Jedinica,"")</f>
        <v/>
      </c>
      <c r="W106" s="38" t="str">
        <f>IF(VLOOKUP(W$2&amp;Balance_Sheet[[#This Row],[Aop]],Data[],1)=W$2&amp;Balance_Sheet[[#This Row],[Aop]],VLOOKUP(W$2&amp;Balance_Sheet[[#This Row],[Aop]],Data[],W$1)/Jedinica,"")</f>
        <v/>
      </c>
      <c r="X106" s="38" t="str">
        <f>IF(VLOOKUP(X$2&amp;Balance_Sheet[[#This Row],[Aop]],Data[],1)=X$2&amp;Balance_Sheet[[#This Row],[Aop]],VLOOKUP(X$2&amp;Balance_Sheet[[#This Row],[Aop]],Data[],X$1)/Jedinica,"")</f>
        <v/>
      </c>
      <c r="Y106" s="38" t="str">
        <f>IF(VLOOKUP(Y$2&amp;Balance_Sheet[[#This Row],[Aop]],Data[],1)=Y$2&amp;Balance_Sheet[[#This Row],[Aop]],VLOOKUP(Y$2&amp;Balance_Sheet[[#This Row],[Aop]],Data[],Y$1)/Jedinica,"")</f>
        <v/>
      </c>
      <c r="Z106" s="38" t="str">
        <f>IF(VLOOKUP(Z$2&amp;Balance_Sheet[[#This Row],[Aop]],Data[],1)=Z$2&amp;Balance_Sheet[[#This Row],[Aop]],VLOOKUP(Z$2&amp;Balance_Sheet[[#This Row],[Aop]],Data[],Z$1)/Jedinica,"")</f>
        <v/>
      </c>
      <c r="AA106" s="38" t="str">
        <f>IF(VLOOKUP(AA$2&amp;Balance_Sheet[[#This Row],[Aop]],Data[],1)=AA$2&amp;Balance_Sheet[[#This Row],[Aop]],VLOOKUP(AA$2&amp;Balance_Sheet[[#This Row],[Aop]],Data[],AA$1)/Jedinica,"")</f>
        <v/>
      </c>
      <c r="AB106" s="38" t="str">
        <f>IF(VLOOKUP(AB$2&amp;Balance_Sheet[[#This Row],[Aop]],Data[],1)=AB$2&amp;Balance_Sheet[[#This Row],[Aop]],VLOOKUP(AB$2&amp;Balance_Sheet[[#This Row],[Aop]],Data[],AB$1)/Jedinica,"")</f>
        <v/>
      </c>
      <c r="AC106" s="38" t="str">
        <f>IF(VLOOKUP(AC$2&amp;Balance_Sheet[[#This Row],[Aop]],Data[],1)=AC$2&amp;Balance_Sheet[[#This Row],[Aop]],VLOOKUP(AC$2&amp;Balance_Sheet[[#This Row],[Aop]],Data[],AC$1)/Jedinica,"")</f>
        <v/>
      </c>
      <c r="AD106" s="38" t="str">
        <f>IF(VLOOKUP(AD$2&amp;Balance_Sheet[[#This Row],[Aop]],Data[],1)=AD$2&amp;Balance_Sheet[[#This Row],[Aop]],VLOOKUP(AD$2&amp;Balance_Sheet[[#This Row],[Aop]],Data[],AD$1)/Jedinica,"")</f>
        <v/>
      </c>
      <c r="AE106" s="38" t="str">
        <f>IF(VLOOKUP(AE$2&amp;Balance_Sheet[[#This Row],[Aop]],Data[],1)=AE$2&amp;Balance_Sheet[[#This Row],[Aop]],VLOOKUP(AE$2&amp;Balance_Sheet[[#This Row],[Aop]],Data[],AE$1)/Jedinica,"")</f>
        <v/>
      </c>
      <c r="AF106" s="38" t="str">
        <f>IF(VLOOKUP(AF$2&amp;Balance_Sheet[[#This Row],[Aop]],Data[],1)=AF$2&amp;Balance_Sheet[[#This Row],[Aop]],VLOOKUP(AF$2&amp;Balance_Sheet[[#This Row],[Aop]],Data[],AF$1)/Jedinica,"")</f>
        <v/>
      </c>
    </row>
    <row r="107" spans="1:32" ht="12.75" customHeight="1" x14ac:dyDescent="0.2">
      <c r="A107" s="74">
        <v>102</v>
      </c>
      <c r="B107" s="75">
        <v>3</v>
      </c>
      <c r="C107" s="38" t="str">
        <f>VLOOKUP(Balance_Sheet[[#This Row],[No]],AOP_Balance,3,0)</f>
        <v>150</v>
      </c>
      <c r="D107" s="52" t="str">
        <f>VLOOKUP(Balance_Sheet[[#This Row],[No]],AOP_Balance,7,0)</f>
        <v xml:space="preserve">      b) Gubitak iz ranijih godina</v>
      </c>
      <c r="E107" s="38" t="str">
        <f>IF(VLOOKUP(E$2&amp;Balance_Sheet[[#This Row],[Aop]],Data[],1)=E$2&amp;Balance_Sheet[[#This Row],[Aop]],VLOOKUP(E$2&amp;Balance_Sheet[[#This Row],[Aop]],Data[],E$1)/Jedinica,"")</f>
        <v/>
      </c>
      <c r="F107" s="38" t="str">
        <f>IF(VLOOKUP(F$2&amp;Balance_Sheet[[#This Row],[Aop]],Data[],1)=F$2&amp;Balance_Sheet[[#This Row],[Aop]],VLOOKUP(F$2&amp;Balance_Sheet[[#This Row],[Aop]],Data[],F$1)/Jedinica,"")</f>
        <v/>
      </c>
      <c r="G107" s="38" t="str">
        <f>IF(VLOOKUP(G$2&amp;Balance_Sheet[[#This Row],[Aop]],Data[],1)=G$2&amp;Balance_Sheet[[#This Row],[Aop]],VLOOKUP(G$2&amp;Balance_Sheet[[#This Row],[Aop]],Data[],G$1)/Jedinica,"")</f>
        <v/>
      </c>
      <c r="H107" s="38" t="str">
        <f>IF(VLOOKUP(H$2&amp;Balance_Sheet[[#This Row],[Aop]],Data[],1)=H$2&amp;Balance_Sheet[[#This Row],[Aop]],VLOOKUP(H$2&amp;Balance_Sheet[[#This Row],[Aop]],Data[],H$1)/Jedinica,"")</f>
        <v/>
      </c>
      <c r="I107" s="38" t="str">
        <f>IF(VLOOKUP(I$2&amp;Balance_Sheet[[#This Row],[Aop]],Data[],1)=I$2&amp;Balance_Sheet[[#This Row],[Aop]],VLOOKUP(I$2&amp;Balance_Sheet[[#This Row],[Aop]],Data[],I$1)/Jedinica,"")</f>
        <v/>
      </c>
      <c r="J107" s="38" t="str">
        <f>IF(VLOOKUP(J$2&amp;Balance_Sheet[[#This Row],[Aop]],Data[],1)=J$2&amp;Balance_Sheet[[#This Row],[Aop]],VLOOKUP(J$2&amp;Balance_Sheet[[#This Row],[Aop]],Data[],J$1)/Jedinica,"")</f>
        <v/>
      </c>
      <c r="K107" s="38" t="str">
        <f>IF(VLOOKUP(K$2&amp;Balance_Sheet[[#This Row],[Aop]],Data[],1)=K$2&amp;Balance_Sheet[[#This Row],[Aop]],VLOOKUP(K$2&amp;Balance_Sheet[[#This Row],[Aop]],Data[],K$1)/Jedinica,"")</f>
        <v/>
      </c>
      <c r="L107" s="38" t="str">
        <f>IF(VLOOKUP(L$2&amp;Balance_Sheet[[#This Row],[Aop]],Data[],1)=L$2&amp;Balance_Sheet[[#This Row],[Aop]],VLOOKUP(L$2&amp;Balance_Sheet[[#This Row],[Aop]],Data[],L$1)/Jedinica,"")</f>
        <v/>
      </c>
      <c r="M107" s="38" t="str">
        <f>IF(VLOOKUP(M$2&amp;Balance_Sheet[[#This Row],[Aop]],Data[],1)=M$2&amp;Balance_Sheet[[#This Row],[Aop]],VLOOKUP(M$2&amp;Balance_Sheet[[#This Row],[Aop]],Data[],M$1)/Jedinica,"")</f>
        <v/>
      </c>
      <c r="N107" s="38" t="str">
        <f>IF(VLOOKUP(N$2&amp;Balance_Sheet[[#This Row],[Aop]],Data[],1)=N$2&amp;Balance_Sheet[[#This Row],[Aop]],VLOOKUP(N$2&amp;Balance_Sheet[[#This Row],[Aop]],Data[],N$1)/Jedinica,"")</f>
        <v/>
      </c>
      <c r="O107" s="38" t="str">
        <f>IF(VLOOKUP(O$2&amp;Balance_Sheet[[#This Row],[Aop]],Data[],1)=O$2&amp;Balance_Sheet[[#This Row],[Aop]],VLOOKUP(O$2&amp;Balance_Sheet[[#This Row],[Aop]],Data[],O$1)/Jedinica,"")</f>
        <v/>
      </c>
      <c r="P107" s="38" t="str">
        <f>IF(VLOOKUP(P$2&amp;Balance_Sheet[[#This Row],[Aop]],Data[],1)=P$2&amp;Balance_Sheet[[#This Row],[Aop]],VLOOKUP(P$2&amp;Balance_Sheet[[#This Row],[Aop]],Data[],P$1)/Jedinica,"")</f>
        <v/>
      </c>
      <c r="Q107" s="38">
        <f>IF(VLOOKUP(Q$2&amp;Balance_Sheet[[#This Row],[Aop]],Data[],1)=Q$2&amp;Balance_Sheet[[#This Row],[Aop]],VLOOKUP(Q$2&amp;Balance_Sheet[[#This Row],[Aop]],Data[],Q$1)/Jedinica,"")</f>
        <v>0</v>
      </c>
      <c r="R107" s="38">
        <f>IF(VLOOKUP(R$2&amp;Balance_Sheet[[#This Row],[Aop]],Data[],1)=R$2&amp;Balance_Sheet[[#This Row],[Aop]],VLOOKUP(R$2&amp;Balance_Sheet[[#This Row],[Aop]],Data[],R$1)/Jedinica,"")</f>
        <v>0</v>
      </c>
      <c r="S107" s="38">
        <f>IF(VLOOKUP(S$2&amp;Balance_Sheet[[#This Row],[Aop]],Data[],1)=S$2&amp;Balance_Sheet[[#This Row],[Aop]],VLOOKUP(S$2&amp;Balance_Sheet[[#This Row],[Aop]],Data[],S$1)/Jedinica,"")</f>
        <v>6469490</v>
      </c>
      <c r="T107" s="38">
        <f>IF(VLOOKUP(T$2&amp;Balance_Sheet[[#This Row],[Aop]],Data[],1)=T$2&amp;Balance_Sheet[[#This Row],[Aop]],VLOOKUP(T$2&amp;Balance_Sheet[[#This Row],[Aop]],Data[],T$1)/Jedinica,"")</f>
        <v>6469490</v>
      </c>
      <c r="U107" s="38" t="str">
        <f>IF(VLOOKUP(U$2&amp;Balance_Sheet[[#This Row],[Aop]],Data[],1)=U$2&amp;Balance_Sheet[[#This Row],[Aop]],VLOOKUP(U$2&amp;Balance_Sheet[[#This Row],[Aop]],Data[],U$1)/Jedinica,"")</f>
        <v/>
      </c>
      <c r="V107" s="38" t="str">
        <f>IF(VLOOKUP(V$2&amp;Balance_Sheet[[#This Row],[Aop]],Data[],1)=V$2&amp;Balance_Sheet[[#This Row],[Aop]],VLOOKUP(V$2&amp;Balance_Sheet[[#This Row],[Aop]],Data[],V$1)/Jedinica,"")</f>
        <v/>
      </c>
      <c r="W107" s="38" t="str">
        <f>IF(VLOOKUP(W$2&amp;Balance_Sheet[[#This Row],[Aop]],Data[],1)=W$2&amp;Balance_Sheet[[#This Row],[Aop]],VLOOKUP(W$2&amp;Balance_Sheet[[#This Row],[Aop]],Data[],W$1)/Jedinica,"")</f>
        <v/>
      </c>
      <c r="X107" s="38" t="str">
        <f>IF(VLOOKUP(X$2&amp;Balance_Sheet[[#This Row],[Aop]],Data[],1)=X$2&amp;Balance_Sheet[[#This Row],[Aop]],VLOOKUP(X$2&amp;Balance_Sheet[[#This Row],[Aop]],Data[],X$1)/Jedinica,"")</f>
        <v/>
      </c>
      <c r="Y107" s="38">
        <f>IF(VLOOKUP(Y$2&amp;Balance_Sheet[[#This Row],[Aop]],Data[],1)=Y$2&amp;Balance_Sheet[[#This Row],[Aop]],VLOOKUP(Y$2&amp;Balance_Sheet[[#This Row],[Aop]],Data[],Y$1)/Jedinica,"")</f>
        <v>0</v>
      </c>
      <c r="Z107" s="38">
        <f>IF(VLOOKUP(Z$2&amp;Balance_Sheet[[#This Row],[Aop]],Data[],1)=Z$2&amp;Balance_Sheet[[#This Row],[Aop]],VLOOKUP(Z$2&amp;Balance_Sheet[[#This Row],[Aop]],Data[],Z$1)/Jedinica,"")</f>
        <v>0</v>
      </c>
      <c r="AA107" s="38">
        <f>IF(VLOOKUP(AA$2&amp;Balance_Sheet[[#This Row],[Aop]],Data[],1)=AA$2&amp;Balance_Sheet[[#This Row],[Aop]],VLOOKUP(AA$2&amp;Balance_Sheet[[#This Row],[Aop]],Data[],AA$1)/Jedinica,"")</f>
        <v>6469490</v>
      </c>
      <c r="AB107" s="38">
        <f>IF(VLOOKUP(AB$2&amp;Balance_Sheet[[#This Row],[Aop]],Data[],1)=AB$2&amp;Balance_Sheet[[#This Row],[Aop]],VLOOKUP(AB$2&amp;Balance_Sheet[[#This Row],[Aop]],Data[],AB$1)/Jedinica,"")</f>
        <v>6469490</v>
      </c>
      <c r="AC107" s="38" t="str">
        <f>IF(VLOOKUP(AC$2&amp;Balance_Sheet[[#This Row],[Aop]],Data[],1)=AC$2&amp;Balance_Sheet[[#This Row],[Aop]],VLOOKUP(AC$2&amp;Balance_Sheet[[#This Row],[Aop]],Data[],AC$1)/Jedinica,"")</f>
        <v/>
      </c>
      <c r="AD107" s="38" t="str">
        <f>IF(VLOOKUP(AD$2&amp;Balance_Sheet[[#This Row],[Aop]],Data[],1)=AD$2&amp;Balance_Sheet[[#This Row],[Aop]],VLOOKUP(AD$2&amp;Balance_Sheet[[#This Row],[Aop]],Data[],AD$1)/Jedinica,"")</f>
        <v/>
      </c>
      <c r="AE107" s="38" t="str">
        <f>IF(VLOOKUP(AE$2&amp;Balance_Sheet[[#This Row],[Aop]],Data[],1)=AE$2&amp;Balance_Sheet[[#This Row],[Aop]],VLOOKUP(AE$2&amp;Balance_Sheet[[#This Row],[Aop]],Data[],AE$1)/Jedinica,"")</f>
        <v/>
      </c>
      <c r="AF107" s="38" t="str">
        <f>IF(VLOOKUP(AF$2&amp;Balance_Sheet[[#This Row],[Aop]],Data[],1)=AF$2&amp;Balance_Sheet[[#This Row],[Aop]],VLOOKUP(AF$2&amp;Balance_Sheet[[#This Row],[Aop]],Data[],AF$1)/Jedinica,"")</f>
        <v/>
      </c>
    </row>
    <row r="108" spans="1:32" ht="12.75" customHeight="1" x14ac:dyDescent="0.2">
      <c r="A108" s="74">
        <v>103</v>
      </c>
      <c r="B108" s="75">
        <v>1</v>
      </c>
      <c r="C108" s="38" t="str">
        <f>VLOOKUP(Balance_Sheet[[#This Row],[No]],AOP_Balance,3,0)</f>
        <v>151</v>
      </c>
      <c r="D108" s="52" t="str">
        <f>VLOOKUP(Balance_Sheet[[#This Row],[No]],AOP_Balance,7,0)</f>
        <v xml:space="preserve">  V. POSLOVNA PASIVA (101+125)</v>
      </c>
      <c r="E108" s="38">
        <f>IF(VLOOKUP(E$2&amp;Balance_Sheet[[#This Row],[Aop]],Data[],1)=E$2&amp;Balance_Sheet[[#This Row],[Aop]],VLOOKUP(E$2&amp;Balance_Sheet[[#This Row],[Aop]],Data[],E$1)/Jedinica,"")</f>
        <v>0</v>
      </c>
      <c r="F108" s="38">
        <f>IF(VLOOKUP(F$2&amp;Balance_Sheet[[#This Row],[Aop]],Data[],1)=F$2&amp;Balance_Sheet[[#This Row],[Aop]],VLOOKUP(F$2&amp;Balance_Sheet[[#This Row],[Aop]],Data[],F$1)/Jedinica,"")</f>
        <v>0</v>
      </c>
      <c r="G108" s="38">
        <f>IF(VLOOKUP(G$2&amp;Balance_Sheet[[#This Row],[Aop]],Data[],1)=G$2&amp;Balance_Sheet[[#This Row],[Aop]],VLOOKUP(G$2&amp;Balance_Sheet[[#This Row],[Aop]],Data[],G$1)/Jedinica,"")</f>
        <v>282024382</v>
      </c>
      <c r="H108" s="38">
        <f>IF(VLOOKUP(H$2&amp;Balance_Sheet[[#This Row],[Aop]],Data[],1)=H$2&amp;Balance_Sheet[[#This Row],[Aop]],VLOOKUP(H$2&amp;Balance_Sheet[[#This Row],[Aop]],Data[],H$1)/Jedinica,"")</f>
        <v>253241038</v>
      </c>
      <c r="I108" s="38">
        <f>IF(VLOOKUP(I$2&amp;Balance_Sheet[[#This Row],[Aop]],Data[],1)=I$2&amp;Balance_Sheet[[#This Row],[Aop]],VLOOKUP(I$2&amp;Balance_Sheet[[#This Row],[Aop]],Data[],I$1)/Jedinica,"")</f>
        <v>0</v>
      </c>
      <c r="J108" s="38">
        <f>IF(VLOOKUP(J$2&amp;Balance_Sheet[[#This Row],[Aop]],Data[],1)=J$2&amp;Balance_Sheet[[#This Row],[Aop]],VLOOKUP(J$2&amp;Balance_Sheet[[#This Row],[Aop]],Data[],J$1)/Jedinica,"")</f>
        <v>0</v>
      </c>
      <c r="K108" s="38">
        <f>IF(VLOOKUP(K$2&amp;Balance_Sheet[[#This Row],[Aop]],Data[],1)=K$2&amp;Balance_Sheet[[#This Row],[Aop]],VLOOKUP(K$2&amp;Balance_Sheet[[#This Row],[Aop]],Data[],K$1)/Jedinica,"")</f>
        <v>253051203</v>
      </c>
      <c r="L108" s="38">
        <f>IF(VLOOKUP(L$2&amp;Balance_Sheet[[#This Row],[Aop]],Data[],1)=L$2&amp;Balance_Sheet[[#This Row],[Aop]],VLOOKUP(L$2&amp;Balance_Sheet[[#This Row],[Aop]],Data[],L$1)/Jedinica,"")</f>
        <v>245526256</v>
      </c>
      <c r="M108" s="38">
        <f>IF(VLOOKUP(M$2&amp;Balance_Sheet[[#This Row],[Aop]],Data[],1)=M$2&amp;Balance_Sheet[[#This Row],[Aop]],VLOOKUP(M$2&amp;Balance_Sheet[[#This Row],[Aop]],Data[],M$1)/Jedinica,"")</f>
        <v>0</v>
      </c>
      <c r="N108" s="38">
        <f>IF(VLOOKUP(N$2&amp;Balance_Sheet[[#This Row],[Aop]],Data[],1)=N$2&amp;Balance_Sheet[[#This Row],[Aop]],VLOOKUP(N$2&amp;Balance_Sheet[[#This Row],[Aop]],Data[],N$1)/Jedinica,"")</f>
        <v>0</v>
      </c>
      <c r="O108" s="38">
        <f>IF(VLOOKUP(O$2&amp;Balance_Sheet[[#This Row],[Aop]],Data[],1)=O$2&amp;Balance_Sheet[[#This Row],[Aop]],VLOOKUP(O$2&amp;Balance_Sheet[[#This Row],[Aop]],Data[],O$1)/Jedinica,"")</f>
        <v>257355103</v>
      </c>
      <c r="P108" s="38">
        <f>IF(VLOOKUP(P$2&amp;Balance_Sheet[[#This Row],[Aop]],Data[],1)=P$2&amp;Balance_Sheet[[#This Row],[Aop]],VLOOKUP(P$2&amp;Balance_Sheet[[#This Row],[Aop]],Data[],P$1)/Jedinica,"")</f>
        <v>239134420</v>
      </c>
      <c r="Q108" s="38">
        <f>IF(VLOOKUP(Q$2&amp;Balance_Sheet[[#This Row],[Aop]],Data[],1)=Q$2&amp;Balance_Sheet[[#This Row],[Aop]],VLOOKUP(Q$2&amp;Balance_Sheet[[#This Row],[Aop]],Data[],Q$1)/Jedinica,"")</f>
        <v>0</v>
      </c>
      <c r="R108" s="38">
        <f>IF(VLOOKUP(R$2&amp;Balance_Sheet[[#This Row],[Aop]],Data[],1)=R$2&amp;Balance_Sheet[[#This Row],[Aop]],VLOOKUP(R$2&amp;Balance_Sheet[[#This Row],[Aop]],Data[],R$1)/Jedinica,"")</f>
        <v>0</v>
      </c>
      <c r="S108" s="38">
        <f>IF(VLOOKUP(S$2&amp;Balance_Sheet[[#This Row],[Aop]],Data[],1)=S$2&amp;Balance_Sheet[[#This Row],[Aop]],VLOOKUP(S$2&amp;Balance_Sheet[[#This Row],[Aop]],Data[],S$1)/Jedinica,"")</f>
        <v>120362318</v>
      </c>
      <c r="T108" s="38">
        <f>IF(VLOOKUP(T$2&amp;Balance_Sheet[[#This Row],[Aop]],Data[],1)=T$2&amp;Balance_Sheet[[#This Row],[Aop]],VLOOKUP(T$2&amp;Balance_Sheet[[#This Row],[Aop]],Data[],T$1)/Jedinica,"")</f>
        <v>103453686</v>
      </c>
      <c r="U108" s="38">
        <f>IF(VLOOKUP(U$2&amp;Balance_Sheet[[#This Row],[Aop]],Data[],1)=U$2&amp;Balance_Sheet[[#This Row],[Aop]],VLOOKUP(U$2&amp;Balance_Sheet[[#This Row],[Aop]],Data[],U$1)/Jedinica,"")</f>
        <v>0</v>
      </c>
      <c r="V108" s="38">
        <f>IF(VLOOKUP(V$2&amp;Balance_Sheet[[#This Row],[Aop]],Data[],1)=V$2&amp;Balance_Sheet[[#This Row],[Aop]],VLOOKUP(V$2&amp;Balance_Sheet[[#This Row],[Aop]],Data[],V$1)/Jedinica,"")</f>
        <v>0</v>
      </c>
      <c r="W108" s="38">
        <f>IF(VLOOKUP(W$2&amp;Balance_Sheet[[#This Row],[Aop]],Data[],1)=W$2&amp;Balance_Sheet[[#This Row],[Aop]],VLOOKUP(W$2&amp;Balance_Sheet[[#This Row],[Aop]],Data[],W$1)/Jedinica,"")</f>
        <v>873716290</v>
      </c>
      <c r="X108" s="38">
        <f>IF(VLOOKUP(X$2&amp;Balance_Sheet[[#This Row],[Aop]],Data[],1)=X$2&amp;Balance_Sheet[[#This Row],[Aop]],VLOOKUP(X$2&amp;Balance_Sheet[[#This Row],[Aop]],Data[],X$1)/Jedinica,"")</f>
        <v>911657949</v>
      </c>
      <c r="Y108" s="38">
        <f>IF(VLOOKUP(Y$2&amp;Balance_Sheet[[#This Row],[Aop]],Data[],1)=Y$2&amp;Balance_Sheet[[#This Row],[Aop]],VLOOKUP(Y$2&amp;Balance_Sheet[[#This Row],[Aop]],Data[],Y$1)/Jedinica,"")</f>
        <v>0</v>
      </c>
      <c r="Z108" s="38">
        <f>IF(VLOOKUP(Z$2&amp;Balance_Sheet[[#This Row],[Aop]],Data[],1)=Z$2&amp;Balance_Sheet[[#This Row],[Aop]],VLOOKUP(Z$2&amp;Balance_Sheet[[#This Row],[Aop]],Data[],Z$1)/Jedinica,"")</f>
        <v>0</v>
      </c>
      <c r="AA108" s="38">
        <f>IF(VLOOKUP(AA$2&amp;Balance_Sheet[[#This Row],[Aop]],Data[],1)=AA$2&amp;Balance_Sheet[[#This Row],[Aop]],VLOOKUP(AA$2&amp;Balance_Sheet[[#This Row],[Aop]],Data[],AA$1)/Jedinica,"")</f>
        <v>120362318</v>
      </c>
      <c r="AB108" s="38">
        <f>IF(VLOOKUP(AB$2&amp;Balance_Sheet[[#This Row],[Aop]],Data[],1)=AB$2&amp;Balance_Sheet[[#This Row],[Aop]],VLOOKUP(AB$2&amp;Balance_Sheet[[#This Row],[Aop]],Data[],AB$1)/Jedinica,"")</f>
        <v>103453686</v>
      </c>
      <c r="AC108" s="38">
        <f>IF(VLOOKUP(AC$2&amp;Balance_Sheet[[#This Row],[Aop]],Data[],1)=AC$2&amp;Balance_Sheet[[#This Row],[Aop]],VLOOKUP(AC$2&amp;Balance_Sheet[[#This Row],[Aop]],Data[],AC$1)/Jedinica,"")</f>
        <v>0</v>
      </c>
      <c r="AD108" s="38">
        <f>IF(VLOOKUP(AD$2&amp;Balance_Sheet[[#This Row],[Aop]],Data[],1)=AD$2&amp;Balance_Sheet[[#This Row],[Aop]],VLOOKUP(AD$2&amp;Balance_Sheet[[#This Row],[Aop]],Data[],AD$1)/Jedinica,"")</f>
        <v>0</v>
      </c>
      <c r="AE108" s="38">
        <f>IF(VLOOKUP(AE$2&amp;Balance_Sheet[[#This Row],[Aop]],Data[],1)=AE$2&amp;Balance_Sheet[[#This Row],[Aop]],VLOOKUP(AE$2&amp;Balance_Sheet[[#This Row],[Aop]],Data[],AE$1)/Jedinica,"")</f>
        <v>1128482574</v>
      </c>
      <c r="AF108" s="38">
        <f>IF(VLOOKUP(AF$2&amp;Balance_Sheet[[#This Row],[Aop]],Data[],1)=AF$2&amp;Balance_Sheet[[#This Row],[Aop]],VLOOKUP(AF$2&amp;Balance_Sheet[[#This Row],[Aop]],Data[],AF$1)/Jedinica,"")</f>
        <v>1110426079</v>
      </c>
    </row>
    <row r="109" spans="1:32" ht="12.75" customHeight="1" x14ac:dyDescent="0.2">
      <c r="A109" s="74">
        <v>104</v>
      </c>
      <c r="B109" s="75">
        <v>1</v>
      </c>
      <c r="C109" s="38" t="str">
        <f>VLOOKUP(Balance_Sheet[[#This Row],[No]],AOP_Balance,3,0)</f>
        <v>152</v>
      </c>
      <c r="D109" s="52" t="str">
        <f>VLOOKUP(Balance_Sheet[[#This Row],[No]],AOP_Balance,7,0)</f>
        <v xml:space="preserve">  G. VANBILANSNA PASIVA</v>
      </c>
      <c r="E109" s="38">
        <f>IF(VLOOKUP(E$2&amp;Balance_Sheet[[#This Row],[Aop]],Data[],1)=E$2&amp;Balance_Sheet[[#This Row],[Aop]],VLOOKUP(E$2&amp;Balance_Sheet[[#This Row],[Aop]],Data[],E$1)/Jedinica,"")</f>
        <v>0</v>
      </c>
      <c r="F109" s="38">
        <f>IF(VLOOKUP(F$2&amp;Balance_Sheet[[#This Row],[Aop]],Data[],1)=F$2&amp;Balance_Sheet[[#This Row],[Aop]],VLOOKUP(F$2&amp;Balance_Sheet[[#This Row],[Aop]],Data[],F$1)/Jedinica,"")</f>
        <v>0</v>
      </c>
      <c r="G109" s="38">
        <f>IF(VLOOKUP(G$2&amp;Balance_Sheet[[#This Row],[Aop]],Data[],1)=G$2&amp;Balance_Sheet[[#This Row],[Aop]],VLOOKUP(G$2&amp;Balance_Sheet[[#This Row],[Aop]],Data[],G$1)/Jedinica,"")</f>
        <v>18367257</v>
      </c>
      <c r="H109" s="38">
        <f>IF(VLOOKUP(H$2&amp;Balance_Sheet[[#This Row],[Aop]],Data[],1)=H$2&amp;Balance_Sheet[[#This Row],[Aop]],VLOOKUP(H$2&amp;Balance_Sheet[[#This Row],[Aop]],Data[],H$1)/Jedinica,"")</f>
        <v>25111739</v>
      </c>
      <c r="I109" s="38">
        <f>IF(VLOOKUP(I$2&amp;Balance_Sheet[[#This Row],[Aop]],Data[],1)=I$2&amp;Balance_Sheet[[#This Row],[Aop]],VLOOKUP(I$2&amp;Balance_Sheet[[#This Row],[Aop]],Data[],I$1)/Jedinica,"")</f>
        <v>0</v>
      </c>
      <c r="J109" s="38">
        <f>IF(VLOOKUP(J$2&amp;Balance_Sheet[[#This Row],[Aop]],Data[],1)=J$2&amp;Balance_Sheet[[#This Row],[Aop]],VLOOKUP(J$2&amp;Balance_Sheet[[#This Row],[Aop]],Data[],J$1)/Jedinica,"")</f>
        <v>0</v>
      </c>
      <c r="K109" s="38">
        <f>IF(VLOOKUP(K$2&amp;Balance_Sheet[[#This Row],[Aop]],Data[],1)=K$2&amp;Balance_Sheet[[#This Row],[Aop]],VLOOKUP(K$2&amp;Balance_Sheet[[#This Row],[Aop]],Data[],K$1)/Jedinica,"")</f>
        <v>66482000</v>
      </c>
      <c r="L109" s="38">
        <f>IF(VLOOKUP(L$2&amp;Balance_Sheet[[#This Row],[Aop]],Data[],1)=L$2&amp;Balance_Sheet[[#This Row],[Aop]],VLOOKUP(L$2&amp;Balance_Sheet[[#This Row],[Aop]],Data[],L$1)/Jedinica,"")</f>
        <v>76324721</v>
      </c>
      <c r="M109" s="38">
        <f>IF(VLOOKUP(M$2&amp;Balance_Sheet[[#This Row],[Aop]],Data[],1)=M$2&amp;Balance_Sheet[[#This Row],[Aop]],VLOOKUP(M$2&amp;Balance_Sheet[[#This Row],[Aop]],Data[],M$1)/Jedinica,"")</f>
        <v>0</v>
      </c>
      <c r="N109" s="38">
        <f>IF(VLOOKUP(N$2&amp;Balance_Sheet[[#This Row],[Aop]],Data[],1)=N$2&amp;Balance_Sheet[[#This Row],[Aop]],VLOOKUP(N$2&amp;Balance_Sheet[[#This Row],[Aop]],Data[],N$1)/Jedinica,"")</f>
        <v>0</v>
      </c>
      <c r="O109" s="38">
        <f>IF(VLOOKUP(O$2&amp;Balance_Sheet[[#This Row],[Aop]],Data[],1)=O$2&amp;Balance_Sheet[[#This Row],[Aop]],VLOOKUP(O$2&amp;Balance_Sheet[[#This Row],[Aop]],Data[],O$1)/Jedinica,"")</f>
        <v>264224575</v>
      </c>
      <c r="P109" s="38">
        <f>IF(VLOOKUP(P$2&amp;Balance_Sheet[[#This Row],[Aop]],Data[],1)=P$2&amp;Balance_Sheet[[#This Row],[Aop]],VLOOKUP(P$2&amp;Balance_Sheet[[#This Row],[Aop]],Data[],P$1)/Jedinica,"")</f>
        <v>303061962</v>
      </c>
      <c r="Q109" s="38">
        <f>IF(VLOOKUP(Q$2&amp;Balance_Sheet[[#This Row],[Aop]],Data[],1)=Q$2&amp;Balance_Sheet[[#This Row],[Aop]],VLOOKUP(Q$2&amp;Balance_Sheet[[#This Row],[Aop]],Data[],Q$1)/Jedinica,"")</f>
        <v>0</v>
      </c>
      <c r="R109" s="38">
        <f>IF(VLOOKUP(R$2&amp;Balance_Sheet[[#This Row],[Aop]],Data[],1)=R$2&amp;Balance_Sheet[[#This Row],[Aop]],VLOOKUP(R$2&amp;Balance_Sheet[[#This Row],[Aop]],Data[],R$1)/Jedinica,"")</f>
        <v>0</v>
      </c>
      <c r="S109" s="38">
        <f>IF(VLOOKUP(S$2&amp;Balance_Sheet[[#This Row],[Aop]],Data[],1)=S$2&amp;Balance_Sheet[[#This Row],[Aop]],VLOOKUP(S$2&amp;Balance_Sheet[[#This Row],[Aop]],Data[],S$1)/Jedinica,"")</f>
        <v>106683646</v>
      </c>
      <c r="T109" s="38">
        <f>IF(VLOOKUP(T$2&amp;Balance_Sheet[[#This Row],[Aop]],Data[],1)=T$2&amp;Balance_Sheet[[#This Row],[Aop]],VLOOKUP(T$2&amp;Balance_Sheet[[#This Row],[Aop]],Data[],T$1)/Jedinica,"")</f>
        <v>93330377</v>
      </c>
      <c r="U109" s="38">
        <f>IF(VLOOKUP(U$2&amp;Balance_Sheet[[#This Row],[Aop]],Data[],1)=U$2&amp;Balance_Sheet[[#This Row],[Aop]],VLOOKUP(U$2&amp;Balance_Sheet[[#This Row],[Aop]],Data[],U$1)/Jedinica,"")</f>
        <v>0</v>
      </c>
      <c r="V109" s="38">
        <f>IF(VLOOKUP(V$2&amp;Balance_Sheet[[#This Row],[Aop]],Data[],1)=V$2&amp;Balance_Sheet[[#This Row],[Aop]],VLOOKUP(V$2&amp;Balance_Sheet[[#This Row],[Aop]],Data[],V$1)/Jedinica,"")</f>
        <v>0</v>
      </c>
      <c r="W109" s="38">
        <f>IF(VLOOKUP(W$2&amp;Balance_Sheet[[#This Row],[Aop]],Data[],1)=W$2&amp;Balance_Sheet[[#This Row],[Aop]],VLOOKUP(W$2&amp;Balance_Sheet[[#This Row],[Aop]],Data[],W$1)/Jedinica,"")</f>
        <v>126227508</v>
      </c>
      <c r="X109" s="38">
        <f>IF(VLOOKUP(X$2&amp;Balance_Sheet[[#This Row],[Aop]],Data[],1)=X$2&amp;Balance_Sheet[[#This Row],[Aop]],VLOOKUP(X$2&amp;Balance_Sheet[[#This Row],[Aop]],Data[],X$1)/Jedinica,"")</f>
        <v>126638761</v>
      </c>
      <c r="Y109" s="38">
        <f>IF(VLOOKUP(Y$2&amp;Balance_Sheet[[#This Row],[Aop]],Data[],1)=Y$2&amp;Balance_Sheet[[#This Row],[Aop]],VLOOKUP(Y$2&amp;Balance_Sheet[[#This Row],[Aop]],Data[],Y$1)/Jedinica,"")</f>
        <v>0</v>
      </c>
      <c r="Z109" s="38">
        <f>IF(VLOOKUP(Z$2&amp;Balance_Sheet[[#This Row],[Aop]],Data[],1)=Z$2&amp;Balance_Sheet[[#This Row],[Aop]],VLOOKUP(Z$2&amp;Balance_Sheet[[#This Row],[Aop]],Data[],Z$1)/Jedinica,"")</f>
        <v>0</v>
      </c>
      <c r="AA109" s="38">
        <f>IF(VLOOKUP(AA$2&amp;Balance_Sheet[[#This Row],[Aop]],Data[],1)=AA$2&amp;Balance_Sheet[[#This Row],[Aop]],VLOOKUP(AA$2&amp;Balance_Sheet[[#This Row],[Aop]],Data[],AA$1)/Jedinica,"")</f>
        <v>106683646</v>
      </c>
      <c r="AB109" s="38">
        <f>IF(VLOOKUP(AB$2&amp;Balance_Sheet[[#This Row],[Aop]],Data[],1)=AB$2&amp;Balance_Sheet[[#This Row],[Aop]],VLOOKUP(AB$2&amp;Balance_Sheet[[#This Row],[Aop]],Data[],AB$1)/Jedinica,"")</f>
        <v>93330377</v>
      </c>
      <c r="AC109" s="38">
        <f>IF(VLOOKUP(AC$2&amp;Balance_Sheet[[#This Row],[Aop]],Data[],1)=AC$2&amp;Balance_Sheet[[#This Row],[Aop]],VLOOKUP(AC$2&amp;Balance_Sheet[[#This Row],[Aop]],Data[],AC$1)/Jedinica,"")</f>
        <v>0</v>
      </c>
      <c r="AD109" s="38">
        <f>IF(VLOOKUP(AD$2&amp;Balance_Sheet[[#This Row],[Aop]],Data[],1)=AD$2&amp;Balance_Sheet[[#This Row],[Aop]],VLOOKUP(AD$2&amp;Balance_Sheet[[#This Row],[Aop]],Data[],AD$1)/Jedinica,"")</f>
        <v>0</v>
      </c>
      <c r="AE109" s="38">
        <f>IF(VLOOKUP(AE$2&amp;Balance_Sheet[[#This Row],[Aop]],Data[],1)=AE$2&amp;Balance_Sheet[[#This Row],[Aop]],VLOOKUP(AE$2&amp;Balance_Sheet[[#This Row],[Aop]],Data[],AE$1)/Jedinica,"")</f>
        <v>225131328</v>
      </c>
      <c r="AF109" s="38">
        <f>IF(VLOOKUP(AF$2&amp;Balance_Sheet[[#This Row],[Aop]],Data[],1)=AF$2&amp;Balance_Sheet[[#This Row],[Aop]],VLOOKUP(AF$2&amp;Balance_Sheet[[#This Row],[Aop]],Data[],AF$1)/Jedinica,"")</f>
        <v>236364891</v>
      </c>
    </row>
    <row r="110" spans="1:32" ht="12.75" customHeight="1" x14ac:dyDescent="0.2">
      <c r="A110" s="74">
        <v>105</v>
      </c>
      <c r="B110" s="75">
        <v>1</v>
      </c>
      <c r="C110" s="38" t="str">
        <f>VLOOKUP(Balance_Sheet[[#This Row],[No]],AOP_Balance,3,0)</f>
        <v>153</v>
      </c>
      <c r="D110" s="52" t="str">
        <f>VLOOKUP(Balance_Sheet[[#This Row],[No]],AOP_Balance,7,0)</f>
        <v xml:space="preserve">  D. UKUPNA PASIVA (152 + 152)</v>
      </c>
      <c r="E110" s="38">
        <f>IF(VLOOKUP(E$2&amp;Balance_Sheet[[#This Row],[Aop]],Data[],1)=E$2&amp;Balance_Sheet[[#This Row],[Aop]],VLOOKUP(E$2&amp;Balance_Sheet[[#This Row],[Aop]],Data[],E$1)/Jedinica,"")</f>
        <v>0</v>
      </c>
      <c r="F110" s="38">
        <f>IF(VLOOKUP(F$2&amp;Balance_Sheet[[#This Row],[Aop]],Data[],1)=F$2&amp;Balance_Sheet[[#This Row],[Aop]],VLOOKUP(F$2&amp;Balance_Sheet[[#This Row],[Aop]],Data[],F$1)/Jedinica,"")</f>
        <v>0</v>
      </c>
      <c r="G110" s="38">
        <f>IF(VLOOKUP(G$2&amp;Balance_Sheet[[#This Row],[Aop]],Data[],1)=G$2&amp;Balance_Sheet[[#This Row],[Aop]],VLOOKUP(G$2&amp;Balance_Sheet[[#This Row],[Aop]],Data[],G$1)/Jedinica,"")</f>
        <v>300391639</v>
      </c>
      <c r="H110" s="38">
        <f>IF(VLOOKUP(H$2&amp;Balance_Sheet[[#This Row],[Aop]],Data[],1)=H$2&amp;Balance_Sheet[[#This Row],[Aop]],VLOOKUP(H$2&amp;Balance_Sheet[[#This Row],[Aop]],Data[],H$1)/Jedinica,"")</f>
        <v>278352777</v>
      </c>
      <c r="I110" s="38">
        <f>IF(VLOOKUP(I$2&amp;Balance_Sheet[[#This Row],[Aop]],Data[],1)=I$2&amp;Balance_Sheet[[#This Row],[Aop]],VLOOKUP(I$2&amp;Balance_Sheet[[#This Row],[Aop]],Data[],I$1)/Jedinica,"")</f>
        <v>0</v>
      </c>
      <c r="J110" s="38">
        <f>IF(VLOOKUP(J$2&amp;Balance_Sheet[[#This Row],[Aop]],Data[],1)=J$2&amp;Balance_Sheet[[#This Row],[Aop]],VLOOKUP(J$2&amp;Balance_Sheet[[#This Row],[Aop]],Data[],J$1)/Jedinica,"")</f>
        <v>0</v>
      </c>
      <c r="K110" s="38">
        <f>IF(VLOOKUP(K$2&amp;Balance_Sheet[[#This Row],[Aop]],Data[],1)=K$2&amp;Balance_Sheet[[#This Row],[Aop]],VLOOKUP(K$2&amp;Balance_Sheet[[#This Row],[Aop]],Data[],K$1)/Jedinica,"")</f>
        <v>319533203</v>
      </c>
      <c r="L110" s="38">
        <f>IF(VLOOKUP(L$2&amp;Balance_Sheet[[#This Row],[Aop]],Data[],1)=L$2&amp;Balance_Sheet[[#This Row],[Aop]],VLOOKUP(L$2&amp;Balance_Sheet[[#This Row],[Aop]],Data[],L$1)/Jedinica,"")</f>
        <v>321850977</v>
      </c>
      <c r="M110" s="38">
        <f>IF(VLOOKUP(M$2&amp;Balance_Sheet[[#This Row],[Aop]],Data[],1)=M$2&amp;Balance_Sheet[[#This Row],[Aop]],VLOOKUP(M$2&amp;Balance_Sheet[[#This Row],[Aop]],Data[],M$1)/Jedinica,"")</f>
        <v>0</v>
      </c>
      <c r="N110" s="38">
        <f>IF(VLOOKUP(N$2&amp;Balance_Sheet[[#This Row],[Aop]],Data[],1)=N$2&amp;Balance_Sheet[[#This Row],[Aop]],VLOOKUP(N$2&amp;Balance_Sheet[[#This Row],[Aop]],Data[],N$1)/Jedinica,"")</f>
        <v>0</v>
      </c>
      <c r="O110" s="38">
        <f>IF(VLOOKUP(O$2&amp;Balance_Sheet[[#This Row],[Aop]],Data[],1)=O$2&amp;Balance_Sheet[[#This Row],[Aop]],VLOOKUP(O$2&amp;Balance_Sheet[[#This Row],[Aop]],Data[],O$1)/Jedinica,"")</f>
        <v>521579678</v>
      </c>
      <c r="P110" s="38">
        <f>IF(VLOOKUP(P$2&amp;Balance_Sheet[[#This Row],[Aop]],Data[],1)=P$2&amp;Balance_Sheet[[#This Row],[Aop]],VLOOKUP(P$2&amp;Balance_Sheet[[#This Row],[Aop]],Data[],P$1)/Jedinica,"")</f>
        <v>542196382</v>
      </c>
      <c r="Q110" s="38">
        <f>IF(VLOOKUP(Q$2&amp;Balance_Sheet[[#This Row],[Aop]],Data[],1)=Q$2&amp;Balance_Sheet[[#This Row],[Aop]],VLOOKUP(Q$2&amp;Balance_Sheet[[#This Row],[Aop]],Data[],Q$1)/Jedinica,"")</f>
        <v>0</v>
      </c>
      <c r="R110" s="38">
        <f>IF(VLOOKUP(R$2&amp;Balance_Sheet[[#This Row],[Aop]],Data[],1)=R$2&amp;Balance_Sheet[[#This Row],[Aop]],VLOOKUP(R$2&amp;Balance_Sheet[[#This Row],[Aop]],Data[],R$1)/Jedinica,"")</f>
        <v>0</v>
      </c>
      <c r="S110" s="38">
        <f>IF(VLOOKUP(S$2&amp;Balance_Sheet[[#This Row],[Aop]],Data[],1)=S$2&amp;Balance_Sheet[[#This Row],[Aop]],VLOOKUP(S$2&amp;Balance_Sheet[[#This Row],[Aop]],Data[],S$1)/Jedinica,"")</f>
        <v>227045964</v>
      </c>
      <c r="T110" s="38">
        <f>IF(VLOOKUP(T$2&amp;Balance_Sheet[[#This Row],[Aop]],Data[],1)=T$2&amp;Balance_Sheet[[#This Row],[Aop]],VLOOKUP(T$2&amp;Balance_Sheet[[#This Row],[Aop]],Data[],T$1)/Jedinica,"")</f>
        <v>196784063</v>
      </c>
      <c r="U110" s="38">
        <f>IF(VLOOKUP(U$2&amp;Balance_Sheet[[#This Row],[Aop]],Data[],1)=U$2&amp;Balance_Sheet[[#This Row],[Aop]],VLOOKUP(U$2&amp;Balance_Sheet[[#This Row],[Aop]],Data[],U$1)/Jedinica,"")</f>
        <v>0</v>
      </c>
      <c r="V110" s="38">
        <f>IF(VLOOKUP(V$2&amp;Balance_Sheet[[#This Row],[Aop]],Data[],1)=V$2&amp;Balance_Sheet[[#This Row],[Aop]],VLOOKUP(V$2&amp;Balance_Sheet[[#This Row],[Aop]],Data[],V$1)/Jedinica,"")</f>
        <v>0</v>
      </c>
      <c r="W110" s="38">
        <f>IF(VLOOKUP(W$2&amp;Balance_Sheet[[#This Row],[Aop]],Data[],1)=W$2&amp;Balance_Sheet[[#This Row],[Aop]],VLOOKUP(W$2&amp;Balance_Sheet[[#This Row],[Aop]],Data[],W$1)/Jedinica,"")</f>
        <v>999943798</v>
      </c>
      <c r="X110" s="38">
        <f>IF(VLOOKUP(X$2&amp;Balance_Sheet[[#This Row],[Aop]],Data[],1)=X$2&amp;Balance_Sheet[[#This Row],[Aop]],VLOOKUP(X$2&amp;Balance_Sheet[[#This Row],[Aop]],Data[],X$1)/Jedinica,"")</f>
        <v>1038296710</v>
      </c>
      <c r="Y110" s="38">
        <f>IF(VLOOKUP(Y$2&amp;Balance_Sheet[[#This Row],[Aop]],Data[],1)=Y$2&amp;Balance_Sheet[[#This Row],[Aop]],VLOOKUP(Y$2&amp;Balance_Sheet[[#This Row],[Aop]],Data[],Y$1)/Jedinica,"")</f>
        <v>0</v>
      </c>
      <c r="Z110" s="38">
        <f>IF(VLOOKUP(Z$2&amp;Balance_Sheet[[#This Row],[Aop]],Data[],1)=Z$2&amp;Balance_Sheet[[#This Row],[Aop]],VLOOKUP(Z$2&amp;Balance_Sheet[[#This Row],[Aop]],Data[],Z$1)/Jedinica,"")</f>
        <v>0</v>
      </c>
      <c r="AA110" s="38">
        <f>IF(VLOOKUP(AA$2&amp;Balance_Sheet[[#This Row],[Aop]],Data[],1)=AA$2&amp;Balance_Sheet[[#This Row],[Aop]],VLOOKUP(AA$2&amp;Balance_Sheet[[#This Row],[Aop]],Data[],AA$1)/Jedinica,"")</f>
        <v>227045964</v>
      </c>
      <c r="AB110" s="38">
        <f>IF(VLOOKUP(AB$2&amp;Balance_Sheet[[#This Row],[Aop]],Data[],1)=AB$2&amp;Balance_Sheet[[#This Row],[Aop]],VLOOKUP(AB$2&amp;Balance_Sheet[[#This Row],[Aop]],Data[],AB$1)/Jedinica,"")</f>
        <v>196784063</v>
      </c>
      <c r="AC110" s="38">
        <f>IF(VLOOKUP(AC$2&amp;Balance_Sheet[[#This Row],[Aop]],Data[],1)=AC$2&amp;Balance_Sheet[[#This Row],[Aop]],VLOOKUP(AC$2&amp;Balance_Sheet[[#This Row],[Aop]],Data[],AC$1)/Jedinica,"")</f>
        <v>0</v>
      </c>
      <c r="AD110" s="38">
        <f>IF(VLOOKUP(AD$2&amp;Balance_Sheet[[#This Row],[Aop]],Data[],1)=AD$2&amp;Balance_Sheet[[#This Row],[Aop]],VLOOKUP(AD$2&amp;Balance_Sheet[[#This Row],[Aop]],Data[],AD$1)/Jedinica,"")</f>
        <v>0</v>
      </c>
      <c r="AE110" s="38">
        <f>IF(VLOOKUP(AE$2&amp;Balance_Sheet[[#This Row],[Aop]],Data[],1)=AE$2&amp;Balance_Sheet[[#This Row],[Aop]],VLOOKUP(AE$2&amp;Balance_Sheet[[#This Row],[Aop]],Data[],AE$1)/Jedinica,"")</f>
        <v>1353613902</v>
      </c>
      <c r="AF110" s="38">
        <f>IF(VLOOKUP(AF$2&amp;Balance_Sheet[[#This Row],[Aop]],Data[],1)=AF$2&amp;Balance_Sheet[[#This Row],[Aop]],VLOOKUP(AF$2&amp;Balance_Sheet[[#This Row],[Aop]],Data[],AF$1)/Jedinica,"")</f>
        <v>1346790970</v>
      </c>
    </row>
  </sheetData>
  <sheetProtection password="CBEB" sheet="1" objects="1" scenarios="1"/>
  <mergeCells count="7">
    <mergeCell ref="AC3:AF3"/>
    <mergeCell ref="E3:H3"/>
    <mergeCell ref="I3:L3"/>
    <mergeCell ref="M3:P3"/>
    <mergeCell ref="Q3:T3"/>
    <mergeCell ref="U3:X3"/>
    <mergeCell ref="Y3:AB3"/>
  </mergeCells>
  <conditionalFormatting sqref="A6:AF110">
    <cfRule type="expression" dxfId="2" priority="1" stopIfTrue="1">
      <formula>$B6&lt;3</formula>
    </cfRule>
  </conditionalFormatting>
  <dataValidations count="1">
    <dataValidation type="list" allowBlank="1" showInputMessage="1" sqref="E3:AF3">
      <formula1>Simbol_Naziv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/>
  </sheetPr>
  <dimension ref="A1:T137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3" sqref="C3"/>
    </sheetView>
  </sheetViews>
  <sheetFormatPr defaultRowHeight="12.75" x14ac:dyDescent="0.2"/>
  <cols>
    <col min="1" max="1" width="5.5703125" style="7" hidden="1" customWidth="1"/>
    <col min="2" max="2" width="7.42578125" style="7" hidden="1" customWidth="1"/>
    <col min="3" max="3" width="7.5703125" style="7" customWidth="1"/>
    <col min="4" max="4" width="81.42578125" style="7" customWidth="1"/>
    <col min="5" max="20" width="14.28515625" style="7" customWidth="1"/>
    <col min="21" max="16384" width="9.140625" style="7"/>
  </cols>
  <sheetData>
    <row r="1" spans="1:20" hidden="1" x14ac:dyDescent="0.2">
      <c r="A1" s="86"/>
      <c r="B1" s="86"/>
      <c r="E1" s="8">
        <v>4</v>
      </c>
      <c r="F1" s="8">
        <v>5</v>
      </c>
      <c r="G1" s="8">
        <v>4</v>
      </c>
      <c r="H1" s="8">
        <v>5</v>
      </c>
      <c r="I1" s="8">
        <v>4</v>
      </c>
      <c r="J1" s="8">
        <v>5</v>
      </c>
      <c r="K1" s="8">
        <v>4</v>
      </c>
      <c r="L1" s="8">
        <v>5</v>
      </c>
      <c r="M1" s="8">
        <v>4</v>
      </c>
      <c r="N1" s="8">
        <v>5</v>
      </c>
      <c r="O1" s="8">
        <v>4</v>
      </c>
      <c r="P1" s="8">
        <v>5</v>
      </c>
      <c r="Q1" s="8">
        <v>4</v>
      </c>
      <c r="R1" s="8">
        <v>5</v>
      </c>
      <c r="S1" s="8">
        <v>4</v>
      </c>
      <c r="T1" s="8">
        <v>5</v>
      </c>
    </row>
    <row r="2" spans="1:20" hidden="1" x14ac:dyDescent="0.2">
      <c r="A2" s="86"/>
      <c r="B2" s="86"/>
      <c r="E2" s="8" t="str">
        <f>LEFT(E3,4)</f>
        <v>BBRB</v>
      </c>
      <c r="F2" s="8" t="str">
        <f>LEFT(E3,4)</f>
        <v>BBRB</v>
      </c>
      <c r="G2" s="8" t="str">
        <f>LEFT(G3,4)</f>
        <v>BLKB</v>
      </c>
      <c r="H2" s="8" t="str">
        <f>LEFT(G3,4)</f>
        <v>BLKB</v>
      </c>
      <c r="I2" s="8" t="str">
        <f>LEFT(I3,4)</f>
        <v>IEFB</v>
      </c>
      <c r="J2" s="8" t="str">
        <f>LEFT(I3,4)</f>
        <v>IEFB</v>
      </c>
      <c r="K2" s="8" t="str">
        <f>LEFT(K3,4)</f>
        <v>KMCB</v>
      </c>
      <c r="L2" s="8" t="str">
        <f>LEFT(K3,4)</f>
        <v>KMCB</v>
      </c>
      <c r="M2" s="8" t="str">
        <f>LEFT(M3,4)</f>
        <v>NOVB</v>
      </c>
      <c r="N2" s="8" t="str">
        <f>LEFT(M3,4)</f>
        <v>NOVB</v>
      </c>
      <c r="O2" s="8" t="str">
        <f>LEFT(O3,4)</f>
        <v>KMCB</v>
      </c>
      <c r="P2" s="8" t="str">
        <f>LEFT(O3,4)</f>
        <v>KMCB</v>
      </c>
      <c r="Q2" s="8" t="str">
        <f>LEFT(Q3,4)</f>
        <v>PIBB</v>
      </c>
      <c r="R2" s="8" t="str">
        <f>LEFT(Q3,4)</f>
        <v>PIBB</v>
      </c>
      <c r="S2" s="8" t="str">
        <f>LEFT(S3,4)</f>
        <v>VBBB</v>
      </c>
      <c r="T2" s="8" t="str">
        <f>LEFT(S3,4)</f>
        <v>VBBB</v>
      </c>
    </row>
    <row r="3" spans="1:20" ht="38.25" customHeight="1" x14ac:dyDescent="0.2">
      <c r="A3" s="55" t="s">
        <v>21</v>
      </c>
      <c r="C3" s="72" t="str">
        <f>Current</f>
        <v>2013 (PG)</v>
      </c>
      <c r="D3" s="58" t="str">
        <f>IF(Jezik=2,"Issuer","Emitent")</f>
        <v>Emitent</v>
      </c>
      <c r="E3" s="89" t="s">
        <v>1883</v>
      </c>
      <c r="F3" s="89"/>
      <c r="G3" s="89" t="s">
        <v>1884</v>
      </c>
      <c r="H3" s="89"/>
      <c r="I3" s="89" t="s">
        <v>1885</v>
      </c>
      <c r="J3" s="89"/>
      <c r="K3" s="89" t="s">
        <v>1886</v>
      </c>
      <c r="L3" s="89"/>
      <c r="M3" s="89" t="s">
        <v>1888</v>
      </c>
      <c r="N3" s="89"/>
      <c r="O3" s="89" t="s">
        <v>1886</v>
      </c>
      <c r="P3" s="89"/>
      <c r="Q3" s="89" t="s">
        <v>2550</v>
      </c>
      <c r="R3" s="89"/>
      <c r="S3" s="89" t="s">
        <v>1889</v>
      </c>
      <c r="T3" s="89"/>
    </row>
    <row r="4" spans="1:20" ht="12.75" customHeight="1" x14ac:dyDescent="0.2">
      <c r="C4" s="59" t="s">
        <v>0</v>
      </c>
      <c r="D4" s="59" t="str">
        <f>Item</f>
        <v>Pozicija (KM)</v>
      </c>
      <c r="E4" s="60" t="str">
        <f>Net_Current</f>
        <v>Neto tekuća</v>
      </c>
      <c r="F4" s="60" t="str">
        <f>Net_Previous</f>
        <v>Neto prethodna</v>
      </c>
      <c r="G4" s="60" t="str">
        <f>Net_Current</f>
        <v>Neto tekuća</v>
      </c>
      <c r="H4" s="60" t="str">
        <f>Net_Previous</f>
        <v>Neto prethodna</v>
      </c>
      <c r="I4" s="60" t="str">
        <f>Net_Current</f>
        <v>Neto tekuća</v>
      </c>
      <c r="J4" s="60" t="str">
        <f>Net_Previous</f>
        <v>Neto prethodna</v>
      </c>
      <c r="K4" s="60" t="str">
        <f>Net_Current</f>
        <v>Neto tekuća</v>
      </c>
      <c r="L4" s="60" t="str">
        <f>Net_Previous</f>
        <v>Neto prethodna</v>
      </c>
      <c r="M4" s="60" t="str">
        <f>Net_Current</f>
        <v>Neto tekuća</v>
      </c>
      <c r="N4" s="60" t="str">
        <f>Net_Previous</f>
        <v>Neto prethodna</v>
      </c>
      <c r="O4" s="60" t="str">
        <f>Net_Current</f>
        <v>Neto tekuća</v>
      </c>
      <c r="P4" s="60" t="str">
        <f>Net_Previous</f>
        <v>Neto prethodna</v>
      </c>
      <c r="Q4" s="60" t="str">
        <f>Net_Current</f>
        <v>Neto tekuća</v>
      </c>
      <c r="R4" s="60" t="str">
        <f>Net_Previous</f>
        <v>Neto prethodna</v>
      </c>
      <c r="S4" s="60" t="str">
        <f>Net_Current</f>
        <v>Neto tekuća</v>
      </c>
      <c r="T4" s="60" t="str">
        <f>Net_Previous</f>
        <v>Neto prethodna</v>
      </c>
    </row>
    <row r="5" spans="1:20" hidden="1" x14ac:dyDescent="0.2">
      <c r="A5" s="54" t="s">
        <v>65</v>
      </c>
      <c r="B5" s="54" t="s">
        <v>102</v>
      </c>
      <c r="C5" s="57" t="s">
        <v>110</v>
      </c>
      <c r="D5" s="43" t="s">
        <v>73</v>
      </c>
      <c r="E5" s="44" t="s">
        <v>74</v>
      </c>
      <c r="F5" s="45" t="s">
        <v>75</v>
      </c>
      <c r="G5" s="44" t="s">
        <v>76</v>
      </c>
      <c r="H5" s="45" t="s">
        <v>77</v>
      </c>
      <c r="I5" s="44" t="s">
        <v>78</v>
      </c>
      <c r="J5" s="45" t="s">
        <v>79</v>
      </c>
      <c r="K5" s="44" t="s">
        <v>80</v>
      </c>
      <c r="L5" s="45" t="s">
        <v>81</v>
      </c>
      <c r="M5" s="44" t="s">
        <v>82</v>
      </c>
      <c r="N5" s="45" t="s">
        <v>83</v>
      </c>
      <c r="O5" s="44" t="s">
        <v>84</v>
      </c>
      <c r="P5" s="45" t="s">
        <v>85</v>
      </c>
      <c r="Q5" s="44" t="s">
        <v>86</v>
      </c>
      <c r="R5" s="45" t="s">
        <v>87</v>
      </c>
      <c r="S5" s="44" t="s">
        <v>88</v>
      </c>
      <c r="T5" s="46" t="s">
        <v>89</v>
      </c>
    </row>
    <row r="6" spans="1:20" ht="12.75" customHeight="1" x14ac:dyDescent="0.2">
      <c r="A6" s="74">
        <v>106</v>
      </c>
      <c r="B6" s="74">
        <v>1</v>
      </c>
      <c r="C6" s="78" t="str">
        <f>VLOOKUP(Income_Statement[[#This Row],[No]],AOP_Balance,3,0)</f>
        <v/>
      </c>
      <c r="D6" s="52" t="str">
        <f>VLOOKUP(Income_Statement[[#This Row],[No]],AOP_Balance,7,0)</f>
        <v xml:space="preserve">  A. PRIHODI I RASHODI IZ POSLOVA FINANSIRANJA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2.75" customHeight="1" x14ac:dyDescent="0.2">
      <c r="A7" s="74">
        <v>107</v>
      </c>
      <c r="B7" s="74">
        <v>2</v>
      </c>
      <c r="C7" s="78" t="str">
        <f>VLOOKUP(Income_Statement[[#This Row],[No]],AOP_Balance,3,0)</f>
        <v>201</v>
      </c>
      <c r="D7" s="52" t="str">
        <f>VLOOKUP(Income_Statement[[#This Row],[No]],AOP_Balance,7,0)</f>
        <v xml:space="preserve">    1. Prihodi od kamata (202 do 204)</v>
      </c>
      <c r="E7" s="38">
        <f>IF(VLOOKUP(E$2&amp;Income_Statement[[#This Row],[Aop]],Data[],1)=E$2&amp;Income_Statement[[#This Row],[Aop]],VLOOKUP(E$2&amp;Income_Statement[[#This Row],[Aop]],Data[],E$1)/Jedinica,"")</f>
        <v>8723247</v>
      </c>
      <c r="F7" s="38">
        <f>IF(VLOOKUP(F$2&amp;Income_Statement[[#This Row],[Aop]],Data[],1)=F$2&amp;Income_Statement[[#This Row],[Aop]],VLOOKUP(F$2&amp;Income_Statement[[#This Row],[Aop]],Data[],F$1)/Jedinica,"")</f>
        <v>8416619</v>
      </c>
      <c r="G7" s="38">
        <f>IF(VLOOKUP(G$2&amp;Income_Statement[[#This Row],[Aop]],Data[],1)=G$2&amp;Income_Statement[[#This Row],[Aop]],VLOOKUP(G$2&amp;Income_Statement[[#This Row],[Aop]],Data[],G$1)/Jedinica,"")</f>
        <v>6543457</v>
      </c>
      <c r="H7" s="38">
        <f>IF(VLOOKUP(H$2&amp;Income_Statement[[#This Row],[Aop]],Data[],1)=H$2&amp;Income_Statement[[#This Row],[Aop]],VLOOKUP(H$2&amp;Income_Statement[[#This Row],[Aop]],Data[],H$1)/Jedinica,"")</f>
        <v>9057624</v>
      </c>
      <c r="I7" s="38">
        <f>IF(VLOOKUP(I$2&amp;Income_Statement[[#This Row],[Aop]],Data[],1)=I$2&amp;Income_Statement[[#This Row],[Aop]],VLOOKUP(I$2&amp;Income_Statement[[#This Row],[Aop]],Data[],I$1)/Jedinica,"")</f>
        <v>4812710</v>
      </c>
      <c r="J7" s="38">
        <f>IF(VLOOKUP(J$2&amp;Income_Statement[[#This Row],[Aop]],Data[],1)=J$2&amp;Income_Statement[[#This Row],[Aop]],VLOOKUP(J$2&amp;Income_Statement[[#This Row],[Aop]],Data[],J$1)/Jedinica,"")</f>
        <v>2608569</v>
      </c>
      <c r="K7" s="38">
        <f>IF(VLOOKUP(K$2&amp;Income_Statement[[#This Row],[Aop]],Data[],1)=K$2&amp;Income_Statement[[#This Row],[Aop]],VLOOKUP(K$2&amp;Income_Statement[[#This Row],[Aop]],Data[],K$1)/Jedinica,"")</f>
        <v>7177791</v>
      </c>
      <c r="L7" s="38">
        <f>IF(VLOOKUP(L$2&amp;Income_Statement[[#This Row],[Aop]],Data[],1)=L$2&amp;Income_Statement[[#This Row],[Aop]],VLOOKUP(L$2&amp;Income_Statement[[#This Row],[Aop]],Data[],L$1)/Jedinica,"")</f>
        <v>7820957</v>
      </c>
      <c r="M7" s="38">
        <f>IF(VLOOKUP(M$2&amp;Income_Statement[[#This Row],[Aop]],Data[],1)=M$2&amp;Income_Statement[[#This Row],[Aop]],VLOOKUP(M$2&amp;Income_Statement[[#This Row],[Aop]],Data[],M$1)/Jedinica,"")</f>
        <v>35263523</v>
      </c>
      <c r="N7" s="38">
        <f>IF(VLOOKUP(N$2&amp;Income_Statement[[#This Row],[Aop]],Data[],1)=N$2&amp;Income_Statement[[#This Row],[Aop]],VLOOKUP(N$2&amp;Income_Statement[[#This Row],[Aop]],Data[],N$1)/Jedinica,"")</f>
        <v>31033775</v>
      </c>
      <c r="O7" s="38">
        <f>IF(VLOOKUP(O$2&amp;Income_Statement[[#This Row],[Aop]],Data[],1)=O$2&amp;Income_Statement[[#This Row],[Aop]],VLOOKUP(O$2&amp;Income_Statement[[#This Row],[Aop]],Data[],O$1)/Jedinica,"")</f>
        <v>7177791</v>
      </c>
      <c r="P7" s="38">
        <f>IF(VLOOKUP(P$2&amp;Income_Statement[[#This Row],[Aop]],Data[],1)=P$2&amp;Income_Statement[[#This Row],[Aop]],VLOOKUP(P$2&amp;Income_Statement[[#This Row],[Aop]],Data[],P$1)/Jedinica,"")</f>
        <v>7820957</v>
      </c>
      <c r="Q7" s="38">
        <f>IF(VLOOKUP(Q$2&amp;Income_Statement[[#This Row],[Aop]],Data[],1)=Q$2&amp;Income_Statement[[#This Row],[Aop]],VLOOKUP(Q$2&amp;Income_Statement[[#This Row],[Aop]],Data[],Q$1)/Jedinica,"")</f>
        <v>6651297</v>
      </c>
      <c r="R7" s="38">
        <f>IF(VLOOKUP(R$2&amp;Income_Statement[[#This Row],[Aop]],Data[],1)=R$2&amp;Income_Statement[[#This Row],[Aop]],VLOOKUP(R$2&amp;Income_Statement[[#This Row],[Aop]],Data[],R$1)/Jedinica,"")</f>
        <v>5307568</v>
      </c>
      <c r="S7" s="38">
        <f>IF(VLOOKUP(S$2&amp;Income_Statement[[#This Row],[Aop]],Data[],1)=S$2&amp;Income_Statement[[#This Row],[Aop]],VLOOKUP(S$2&amp;Income_Statement[[#This Row],[Aop]],Data[],S$1)/Jedinica,"")</f>
        <v>23848614</v>
      </c>
      <c r="T7" s="38">
        <f>IF(VLOOKUP(T$2&amp;Income_Statement[[#This Row],[Aop]],Data[],1)=T$2&amp;Income_Statement[[#This Row],[Aop]],VLOOKUP(T$2&amp;Income_Statement[[#This Row],[Aop]],Data[],T$1)/Jedinica,"")</f>
        <v>26918496</v>
      </c>
    </row>
    <row r="8" spans="1:20" ht="12.75" customHeight="1" x14ac:dyDescent="0.2">
      <c r="A8" s="74">
        <v>108</v>
      </c>
      <c r="B8" s="74">
        <v>3</v>
      </c>
      <c r="C8" s="78" t="str">
        <f>VLOOKUP(Income_Statement[[#This Row],[No]],AOP_Balance,3,0)</f>
        <v>202</v>
      </c>
      <c r="D8" s="52" t="str">
        <f>VLOOKUP(Income_Statement[[#This Row],[No]],AOP_Balance,7,0)</f>
        <v xml:space="preserve">      a) Prihodi od kamata po osnovu kredita, depozita i HOV u domaćoj valuti</v>
      </c>
      <c r="E8" s="38">
        <f>IF(VLOOKUP(E$2&amp;Income_Statement[[#This Row],[Aop]],Data[],1)=E$2&amp;Income_Statement[[#This Row],[Aop]],VLOOKUP(E$2&amp;Income_Statement[[#This Row],[Aop]],Data[],E$1)/Jedinica,"")</f>
        <v>8633232</v>
      </c>
      <c r="F8" s="38">
        <f>IF(VLOOKUP(F$2&amp;Income_Statement[[#This Row],[Aop]],Data[],1)=F$2&amp;Income_Statement[[#This Row],[Aop]],VLOOKUP(F$2&amp;Income_Statement[[#This Row],[Aop]],Data[],F$1)/Jedinica,"")</f>
        <v>8277927</v>
      </c>
      <c r="G8" s="38">
        <f>IF(VLOOKUP(G$2&amp;Income_Statement[[#This Row],[Aop]],Data[],1)=G$2&amp;Income_Statement[[#This Row],[Aop]],VLOOKUP(G$2&amp;Income_Statement[[#This Row],[Aop]],Data[],G$1)/Jedinica,"")</f>
        <v>2270213</v>
      </c>
      <c r="H8" s="38">
        <f>IF(VLOOKUP(H$2&amp;Income_Statement[[#This Row],[Aop]],Data[],1)=H$2&amp;Income_Statement[[#This Row],[Aop]],VLOOKUP(H$2&amp;Income_Statement[[#This Row],[Aop]],Data[],H$1)/Jedinica,"")</f>
        <v>2696159</v>
      </c>
      <c r="I8" s="38">
        <f>IF(VLOOKUP(I$2&amp;Income_Statement[[#This Row],[Aop]],Data[],1)=I$2&amp;Income_Statement[[#This Row],[Aop]],VLOOKUP(I$2&amp;Income_Statement[[#This Row],[Aop]],Data[],I$1)/Jedinica,"")</f>
        <v>1162696</v>
      </c>
      <c r="J8" s="38">
        <f>IF(VLOOKUP(J$2&amp;Income_Statement[[#This Row],[Aop]],Data[],1)=J$2&amp;Income_Statement[[#This Row],[Aop]],VLOOKUP(J$2&amp;Income_Statement[[#This Row],[Aop]],Data[],J$1)/Jedinica,"")</f>
        <v>789103</v>
      </c>
      <c r="K8" s="38">
        <f>IF(VLOOKUP(K$2&amp;Income_Statement[[#This Row],[Aop]],Data[],1)=K$2&amp;Income_Statement[[#This Row],[Aop]],VLOOKUP(K$2&amp;Income_Statement[[#This Row],[Aop]],Data[],K$1)/Jedinica,"")</f>
        <v>2108637</v>
      </c>
      <c r="L8" s="38">
        <f>IF(VLOOKUP(L$2&amp;Income_Statement[[#This Row],[Aop]],Data[],1)=L$2&amp;Income_Statement[[#This Row],[Aop]],VLOOKUP(L$2&amp;Income_Statement[[#This Row],[Aop]],Data[],L$1)/Jedinica,"")</f>
        <v>2171154</v>
      </c>
      <c r="M8" s="38">
        <f>IF(VLOOKUP(M$2&amp;Income_Statement[[#This Row],[Aop]],Data[],1)=M$2&amp;Income_Statement[[#This Row],[Aop]],VLOOKUP(M$2&amp;Income_Statement[[#This Row],[Aop]],Data[],M$1)/Jedinica,"")</f>
        <v>2423531</v>
      </c>
      <c r="N8" s="38">
        <f>IF(VLOOKUP(N$2&amp;Income_Statement[[#This Row],[Aop]],Data[],1)=N$2&amp;Income_Statement[[#This Row],[Aop]],VLOOKUP(N$2&amp;Income_Statement[[#This Row],[Aop]],Data[],N$1)/Jedinica,"")</f>
        <v>2217184</v>
      </c>
      <c r="O8" s="38">
        <f>IF(VLOOKUP(O$2&amp;Income_Statement[[#This Row],[Aop]],Data[],1)=O$2&amp;Income_Statement[[#This Row],[Aop]],VLOOKUP(O$2&amp;Income_Statement[[#This Row],[Aop]],Data[],O$1)/Jedinica,"")</f>
        <v>2108637</v>
      </c>
      <c r="P8" s="38">
        <f>IF(VLOOKUP(P$2&amp;Income_Statement[[#This Row],[Aop]],Data[],1)=P$2&amp;Income_Statement[[#This Row],[Aop]],VLOOKUP(P$2&amp;Income_Statement[[#This Row],[Aop]],Data[],P$1)/Jedinica,"")</f>
        <v>2171154</v>
      </c>
      <c r="Q8" s="38">
        <f>IF(VLOOKUP(Q$2&amp;Income_Statement[[#This Row],[Aop]],Data[],1)=Q$2&amp;Income_Statement[[#This Row],[Aop]],VLOOKUP(Q$2&amp;Income_Statement[[#This Row],[Aop]],Data[],Q$1)/Jedinica,"")</f>
        <v>1973800</v>
      </c>
      <c r="R8" s="38">
        <f>IF(VLOOKUP(R$2&amp;Income_Statement[[#This Row],[Aop]],Data[],1)=R$2&amp;Income_Statement[[#This Row],[Aop]],VLOOKUP(R$2&amp;Income_Statement[[#This Row],[Aop]],Data[],R$1)/Jedinica,"")</f>
        <v>1943926</v>
      </c>
      <c r="S8" s="38">
        <f>IF(VLOOKUP(S$2&amp;Income_Statement[[#This Row],[Aop]],Data[],1)=S$2&amp;Income_Statement[[#This Row],[Aop]],VLOOKUP(S$2&amp;Income_Statement[[#This Row],[Aop]],Data[],S$1)/Jedinica,"")</f>
        <v>5900488</v>
      </c>
      <c r="T8" s="38">
        <f>IF(VLOOKUP(T$2&amp;Income_Statement[[#This Row],[Aop]],Data[],1)=T$2&amp;Income_Statement[[#This Row],[Aop]],VLOOKUP(T$2&amp;Income_Statement[[#This Row],[Aop]],Data[],T$1)/Jedinica,"")</f>
        <v>6031298</v>
      </c>
    </row>
    <row r="9" spans="1:20" ht="12.75" customHeight="1" x14ac:dyDescent="0.2">
      <c r="A9" s="74">
        <v>109</v>
      </c>
      <c r="B9" s="74">
        <v>3</v>
      </c>
      <c r="C9" s="78" t="str">
        <f>VLOOKUP(Income_Statement[[#This Row],[No]],AOP_Balance,3,0)</f>
        <v>203</v>
      </c>
      <c r="D9" s="52" t="str">
        <f>VLOOKUP(Income_Statement[[#This Row],[No]],AOP_Balance,7,0)</f>
        <v xml:space="preserve">      b) Prihodi od kamata po osnovu kredita, depozita i HOV sa ugovorenom zaštitom od rizika</v>
      </c>
      <c r="E9" s="38" t="str">
        <f>IF(VLOOKUP(E$2&amp;Income_Statement[[#This Row],[Aop]],Data[],1)=E$2&amp;Income_Statement[[#This Row],[Aop]],VLOOKUP(E$2&amp;Income_Statement[[#This Row],[Aop]],Data[],E$1)/Jedinica,"")</f>
        <v/>
      </c>
      <c r="F9" s="38" t="str">
        <f>IF(VLOOKUP(F$2&amp;Income_Statement[[#This Row],[Aop]],Data[],1)=F$2&amp;Income_Statement[[#This Row],[Aop]],VLOOKUP(F$2&amp;Income_Statement[[#This Row],[Aop]],Data[],F$1)/Jedinica,"")</f>
        <v/>
      </c>
      <c r="G9" s="38">
        <f>IF(VLOOKUP(G$2&amp;Income_Statement[[#This Row],[Aop]],Data[],1)=G$2&amp;Income_Statement[[#This Row],[Aop]],VLOOKUP(G$2&amp;Income_Statement[[#This Row],[Aop]],Data[],G$1)/Jedinica,"")</f>
        <v>4261759</v>
      </c>
      <c r="H9" s="38">
        <f>IF(VLOOKUP(H$2&amp;Income_Statement[[#This Row],[Aop]],Data[],1)=H$2&amp;Income_Statement[[#This Row],[Aop]],VLOOKUP(H$2&amp;Income_Statement[[#This Row],[Aop]],Data[],H$1)/Jedinica,"")</f>
        <v>6124097</v>
      </c>
      <c r="I9" s="38">
        <f>IF(VLOOKUP(I$2&amp;Income_Statement[[#This Row],[Aop]],Data[],1)=I$2&amp;Income_Statement[[#This Row],[Aop]],VLOOKUP(I$2&amp;Income_Statement[[#This Row],[Aop]],Data[],I$1)/Jedinica,"")</f>
        <v>3650014</v>
      </c>
      <c r="J9" s="38">
        <f>IF(VLOOKUP(J$2&amp;Income_Statement[[#This Row],[Aop]],Data[],1)=J$2&amp;Income_Statement[[#This Row],[Aop]],VLOOKUP(J$2&amp;Income_Statement[[#This Row],[Aop]],Data[],J$1)/Jedinica,"")</f>
        <v>1818097</v>
      </c>
      <c r="K9" s="38">
        <f>IF(VLOOKUP(K$2&amp;Income_Statement[[#This Row],[Aop]],Data[],1)=K$2&amp;Income_Statement[[#This Row],[Aop]],VLOOKUP(K$2&amp;Income_Statement[[#This Row],[Aop]],Data[],K$1)/Jedinica,"")</f>
        <v>4780975</v>
      </c>
      <c r="L9" s="38">
        <f>IF(VLOOKUP(L$2&amp;Income_Statement[[#This Row],[Aop]],Data[],1)=L$2&amp;Income_Statement[[#This Row],[Aop]],VLOOKUP(L$2&amp;Income_Statement[[#This Row],[Aop]],Data[],L$1)/Jedinica,"")</f>
        <v>5424989</v>
      </c>
      <c r="M9" s="38">
        <f>IF(VLOOKUP(M$2&amp;Income_Statement[[#This Row],[Aop]],Data[],1)=M$2&amp;Income_Statement[[#This Row],[Aop]],VLOOKUP(M$2&amp;Income_Statement[[#This Row],[Aop]],Data[],M$1)/Jedinica,"")</f>
        <v>32601238</v>
      </c>
      <c r="N9" s="38">
        <f>IF(VLOOKUP(N$2&amp;Income_Statement[[#This Row],[Aop]],Data[],1)=N$2&amp;Income_Statement[[#This Row],[Aop]],VLOOKUP(N$2&amp;Income_Statement[[#This Row],[Aop]],Data[],N$1)/Jedinica,"")</f>
        <v>28333623</v>
      </c>
      <c r="O9" s="38">
        <f>IF(VLOOKUP(O$2&amp;Income_Statement[[#This Row],[Aop]],Data[],1)=O$2&amp;Income_Statement[[#This Row],[Aop]],VLOOKUP(O$2&amp;Income_Statement[[#This Row],[Aop]],Data[],O$1)/Jedinica,"")</f>
        <v>4780975</v>
      </c>
      <c r="P9" s="38">
        <f>IF(VLOOKUP(P$2&amp;Income_Statement[[#This Row],[Aop]],Data[],1)=P$2&amp;Income_Statement[[#This Row],[Aop]],VLOOKUP(P$2&amp;Income_Statement[[#This Row],[Aop]],Data[],P$1)/Jedinica,"")</f>
        <v>5424989</v>
      </c>
      <c r="Q9" s="38">
        <f>IF(VLOOKUP(Q$2&amp;Income_Statement[[#This Row],[Aop]],Data[],1)=Q$2&amp;Income_Statement[[#This Row],[Aop]],VLOOKUP(Q$2&amp;Income_Statement[[#This Row],[Aop]],Data[],Q$1)/Jedinica,"")</f>
        <v>4676455</v>
      </c>
      <c r="R9" s="38">
        <f>IF(VLOOKUP(R$2&amp;Income_Statement[[#This Row],[Aop]],Data[],1)=R$2&amp;Income_Statement[[#This Row],[Aop]],VLOOKUP(R$2&amp;Income_Statement[[#This Row],[Aop]],Data[],R$1)/Jedinica,"")</f>
        <v>3362838</v>
      </c>
      <c r="S9" s="38">
        <f>IF(VLOOKUP(S$2&amp;Income_Statement[[#This Row],[Aop]],Data[],1)=S$2&amp;Income_Statement[[#This Row],[Aop]],VLOOKUP(S$2&amp;Income_Statement[[#This Row],[Aop]],Data[],S$1)/Jedinica,"")</f>
        <v>16320740</v>
      </c>
      <c r="T9" s="38">
        <f>IF(VLOOKUP(T$2&amp;Income_Statement[[#This Row],[Aop]],Data[],1)=T$2&amp;Income_Statement[[#This Row],[Aop]],VLOOKUP(T$2&amp;Income_Statement[[#This Row],[Aop]],Data[],T$1)/Jedinica,"")</f>
        <v>18640895</v>
      </c>
    </row>
    <row r="10" spans="1:20" ht="12.75" customHeight="1" x14ac:dyDescent="0.2">
      <c r="A10" s="74">
        <v>110</v>
      </c>
      <c r="B10" s="74">
        <v>3</v>
      </c>
      <c r="C10" s="78" t="str">
        <f>VLOOKUP(Income_Statement[[#This Row],[No]],AOP_Balance,3,0)</f>
        <v>204</v>
      </c>
      <c r="D10" s="52" t="str">
        <f>VLOOKUP(Income_Statement[[#This Row],[No]],AOP_Balance,7,0)</f>
        <v xml:space="preserve">      v) Prihodi od kamata po osnovu kredita, depozita i HOV u stranoj valuti</v>
      </c>
      <c r="E10" s="38">
        <f>IF(VLOOKUP(E$2&amp;Income_Statement[[#This Row],[Aop]],Data[],1)=E$2&amp;Income_Statement[[#This Row],[Aop]],VLOOKUP(E$2&amp;Income_Statement[[#This Row],[Aop]],Data[],E$1)/Jedinica,"")</f>
        <v>90015</v>
      </c>
      <c r="F10" s="38">
        <f>IF(VLOOKUP(F$2&amp;Income_Statement[[#This Row],[Aop]],Data[],1)=F$2&amp;Income_Statement[[#This Row],[Aop]],VLOOKUP(F$2&amp;Income_Statement[[#This Row],[Aop]],Data[],F$1)/Jedinica,"")</f>
        <v>138692</v>
      </c>
      <c r="G10" s="38">
        <f>IF(VLOOKUP(G$2&amp;Income_Statement[[#This Row],[Aop]],Data[],1)=G$2&amp;Income_Statement[[#This Row],[Aop]],VLOOKUP(G$2&amp;Income_Statement[[#This Row],[Aop]],Data[],G$1)/Jedinica,"")</f>
        <v>11485</v>
      </c>
      <c r="H10" s="38">
        <f>IF(VLOOKUP(H$2&amp;Income_Statement[[#This Row],[Aop]],Data[],1)=H$2&amp;Income_Statement[[#This Row],[Aop]],VLOOKUP(H$2&amp;Income_Statement[[#This Row],[Aop]],Data[],H$1)/Jedinica,"")</f>
        <v>237368</v>
      </c>
      <c r="I10" s="38">
        <f>IF(VLOOKUP(I$2&amp;Income_Statement[[#This Row],[Aop]],Data[],1)=I$2&amp;Income_Statement[[#This Row],[Aop]],VLOOKUP(I$2&amp;Income_Statement[[#This Row],[Aop]],Data[],I$1)/Jedinica,"")</f>
        <v>0</v>
      </c>
      <c r="J10" s="38">
        <f>IF(VLOOKUP(J$2&amp;Income_Statement[[#This Row],[Aop]],Data[],1)=J$2&amp;Income_Statement[[#This Row],[Aop]],VLOOKUP(J$2&amp;Income_Statement[[#This Row],[Aop]],Data[],J$1)/Jedinica,"")</f>
        <v>1369</v>
      </c>
      <c r="K10" s="38">
        <f>IF(VLOOKUP(K$2&amp;Income_Statement[[#This Row],[Aop]],Data[],1)=K$2&amp;Income_Statement[[#This Row],[Aop]],VLOOKUP(K$2&amp;Income_Statement[[#This Row],[Aop]],Data[],K$1)/Jedinica,"")</f>
        <v>288179</v>
      </c>
      <c r="L10" s="38">
        <f>IF(VLOOKUP(L$2&amp;Income_Statement[[#This Row],[Aop]],Data[],1)=L$2&amp;Income_Statement[[#This Row],[Aop]],VLOOKUP(L$2&amp;Income_Statement[[#This Row],[Aop]],Data[],L$1)/Jedinica,"")</f>
        <v>224814</v>
      </c>
      <c r="M10" s="38">
        <f>IF(VLOOKUP(M$2&amp;Income_Statement[[#This Row],[Aop]],Data[],1)=M$2&amp;Income_Statement[[#This Row],[Aop]],VLOOKUP(M$2&amp;Income_Statement[[#This Row],[Aop]],Data[],M$1)/Jedinica,"")</f>
        <v>238754</v>
      </c>
      <c r="N10" s="38">
        <f>IF(VLOOKUP(N$2&amp;Income_Statement[[#This Row],[Aop]],Data[],1)=N$2&amp;Income_Statement[[#This Row],[Aop]],VLOOKUP(N$2&amp;Income_Statement[[#This Row],[Aop]],Data[],N$1)/Jedinica,"")</f>
        <v>482968</v>
      </c>
      <c r="O10" s="38">
        <f>IF(VLOOKUP(O$2&amp;Income_Statement[[#This Row],[Aop]],Data[],1)=O$2&amp;Income_Statement[[#This Row],[Aop]],VLOOKUP(O$2&amp;Income_Statement[[#This Row],[Aop]],Data[],O$1)/Jedinica,"")</f>
        <v>288179</v>
      </c>
      <c r="P10" s="38">
        <f>IF(VLOOKUP(P$2&amp;Income_Statement[[#This Row],[Aop]],Data[],1)=P$2&amp;Income_Statement[[#This Row],[Aop]],VLOOKUP(P$2&amp;Income_Statement[[#This Row],[Aop]],Data[],P$1)/Jedinica,"")</f>
        <v>224814</v>
      </c>
      <c r="Q10" s="38">
        <f>IF(VLOOKUP(Q$2&amp;Income_Statement[[#This Row],[Aop]],Data[],1)=Q$2&amp;Income_Statement[[#This Row],[Aop]],VLOOKUP(Q$2&amp;Income_Statement[[#This Row],[Aop]],Data[],Q$1)/Jedinica,"")</f>
        <v>1042</v>
      </c>
      <c r="R10" s="38">
        <f>IF(VLOOKUP(R$2&amp;Income_Statement[[#This Row],[Aop]],Data[],1)=R$2&amp;Income_Statement[[#This Row],[Aop]],VLOOKUP(R$2&amp;Income_Statement[[#This Row],[Aop]],Data[],R$1)/Jedinica,"")</f>
        <v>804</v>
      </c>
      <c r="S10" s="38">
        <f>IF(VLOOKUP(S$2&amp;Income_Statement[[#This Row],[Aop]],Data[],1)=S$2&amp;Income_Statement[[#This Row],[Aop]],VLOOKUP(S$2&amp;Income_Statement[[#This Row],[Aop]],Data[],S$1)/Jedinica,"")</f>
        <v>1627386</v>
      </c>
      <c r="T10" s="38">
        <f>IF(VLOOKUP(T$2&amp;Income_Statement[[#This Row],[Aop]],Data[],1)=T$2&amp;Income_Statement[[#This Row],[Aop]],VLOOKUP(T$2&amp;Income_Statement[[#This Row],[Aop]],Data[],T$1)/Jedinica,"")</f>
        <v>2246303</v>
      </c>
    </row>
    <row r="11" spans="1:20" ht="12.75" customHeight="1" x14ac:dyDescent="0.2">
      <c r="A11" s="74">
        <v>111</v>
      </c>
      <c r="B11" s="74">
        <v>2</v>
      </c>
      <c r="C11" s="78" t="str">
        <f>VLOOKUP(Income_Statement[[#This Row],[No]],AOP_Balance,3,0)</f>
        <v>205</v>
      </c>
      <c r="D11" s="52" t="str">
        <f>VLOOKUP(Income_Statement[[#This Row],[No]],AOP_Balance,7,0)</f>
        <v xml:space="preserve">    2. Rashodi kamata (206 do 208)</v>
      </c>
      <c r="E11" s="38">
        <f>IF(VLOOKUP(E$2&amp;Income_Statement[[#This Row],[Aop]],Data[],1)=E$2&amp;Income_Statement[[#This Row],[Aop]],VLOOKUP(E$2&amp;Income_Statement[[#This Row],[Aop]],Data[],E$1)/Jedinica,"")</f>
        <v>3747306</v>
      </c>
      <c r="F11" s="38">
        <f>IF(VLOOKUP(F$2&amp;Income_Statement[[#This Row],[Aop]],Data[],1)=F$2&amp;Income_Statement[[#This Row],[Aop]],VLOOKUP(F$2&amp;Income_Statement[[#This Row],[Aop]],Data[],F$1)/Jedinica,"")</f>
        <v>3256768</v>
      </c>
      <c r="G11" s="38">
        <f>IF(VLOOKUP(G$2&amp;Income_Statement[[#This Row],[Aop]],Data[],1)=G$2&amp;Income_Statement[[#This Row],[Aop]],VLOOKUP(G$2&amp;Income_Statement[[#This Row],[Aop]],Data[],G$1)/Jedinica,"")</f>
        <v>3291551</v>
      </c>
      <c r="H11" s="38">
        <f>IF(VLOOKUP(H$2&amp;Income_Statement[[#This Row],[Aop]],Data[],1)=H$2&amp;Income_Statement[[#This Row],[Aop]],VLOOKUP(H$2&amp;Income_Statement[[#This Row],[Aop]],Data[],H$1)/Jedinica,"")</f>
        <v>4234089</v>
      </c>
      <c r="I11" s="38">
        <f>IF(VLOOKUP(I$2&amp;Income_Statement[[#This Row],[Aop]],Data[],1)=I$2&amp;Income_Statement[[#This Row],[Aop]],VLOOKUP(I$2&amp;Income_Statement[[#This Row],[Aop]],Data[],I$1)/Jedinica,"")</f>
        <v>1810129</v>
      </c>
      <c r="J11" s="38">
        <f>IF(VLOOKUP(J$2&amp;Income_Statement[[#This Row],[Aop]],Data[],1)=J$2&amp;Income_Statement[[#This Row],[Aop]],VLOOKUP(J$2&amp;Income_Statement[[#This Row],[Aop]],Data[],J$1)/Jedinica,"")</f>
        <v>636428</v>
      </c>
      <c r="K11" s="38">
        <f>IF(VLOOKUP(K$2&amp;Income_Statement[[#This Row],[Aop]],Data[],1)=K$2&amp;Income_Statement[[#This Row],[Aop]],VLOOKUP(K$2&amp;Income_Statement[[#This Row],[Aop]],Data[],K$1)/Jedinica,"")</f>
        <v>2048360</v>
      </c>
      <c r="L11" s="38">
        <f>IF(VLOOKUP(L$2&amp;Income_Statement[[#This Row],[Aop]],Data[],1)=L$2&amp;Income_Statement[[#This Row],[Aop]],VLOOKUP(L$2&amp;Income_Statement[[#This Row],[Aop]],Data[],L$1)/Jedinica,"")</f>
        <v>1933100</v>
      </c>
      <c r="M11" s="38">
        <f>IF(VLOOKUP(M$2&amp;Income_Statement[[#This Row],[Aop]],Data[],1)=M$2&amp;Income_Statement[[#This Row],[Aop]],VLOOKUP(M$2&amp;Income_Statement[[#This Row],[Aop]],Data[],M$1)/Jedinica,"")</f>
        <v>17939185</v>
      </c>
      <c r="N11" s="38">
        <f>IF(VLOOKUP(N$2&amp;Income_Statement[[#This Row],[Aop]],Data[],1)=N$2&amp;Income_Statement[[#This Row],[Aop]],VLOOKUP(N$2&amp;Income_Statement[[#This Row],[Aop]],Data[],N$1)/Jedinica,"")</f>
        <v>12741972</v>
      </c>
      <c r="O11" s="38">
        <f>IF(VLOOKUP(O$2&amp;Income_Statement[[#This Row],[Aop]],Data[],1)=O$2&amp;Income_Statement[[#This Row],[Aop]],VLOOKUP(O$2&amp;Income_Statement[[#This Row],[Aop]],Data[],O$1)/Jedinica,"")</f>
        <v>2048360</v>
      </c>
      <c r="P11" s="38">
        <f>IF(VLOOKUP(P$2&amp;Income_Statement[[#This Row],[Aop]],Data[],1)=P$2&amp;Income_Statement[[#This Row],[Aop]],VLOOKUP(P$2&amp;Income_Statement[[#This Row],[Aop]],Data[],P$1)/Jedinica,"")</f>
        <v>1933100</v>
      </c>
      <c r="Q11" s="38">
        <f>IF(VLOOKUP(Q$2&amp;Income_Statement[[#This Row],[Aop]],Data[],1)=Q$2&amp;Income_Statement[[#This Row],[Aop]],VLOOKUP(Q$2&amp;Income_Statement[[#This Row],[Aop]],Data[],Q$1)/Jedinica,"")</f>
        <v>2313553</v>
      </c>
      <c r="R11" s="38">
        <f>IF(VLOOKUP(R$2&amp;Income_Statement[[#This Row],[Aop]],Data[],1)=R$2&amp;Income_Statement[[#This Row],[Aop]],VLOOKUP(R$2&amp;Income_Statement[[#This Row],[Aop]],Data[],R$1)/Jedinica,"")</f>
        <v>1454558</v>
      </c>
      <c r="S11" s="38">
        <f>IF(VLOOKUP(S$2&amp;Income_Statement[[#This Row],[Aop]],Data[],1)=S$2&amp;Income_Statement[[#This Row],[Aop]],VLOOKUP(S$2&amp;Income_Statement[[#This Row],[Aop]],Data[],S$1)/Jedinica,"")</f>
        <v>9625145</v>
      </c>
      <c r="T11" s="38">
        <f>IF(VLOOKUP(T$2&amp;Income_Statement[[#This Row],[Aop]],Data[],1)=T$2&amp;Income_Statement[[#This Row],[Aop]],VLOOKUP(T$2&amp;Income_Statement[[#This Row],[Aop]],Data[],T$1)/Jedinica,"")</f>
        <v>10235348</v>
      </c>
    </row>
    <row r="12" spans="1:20" ht="12.75" customHeight="1" x14ac:dyDescent="0.2">
      <c r="A12" s="74">
        <v>112</v>
      </c>
      <c r="B12" s="74">
        <v>3</v>
      </c>
      <c r="C12" s="78" t="str">
        <f>VLOOKUP(Income_Statement[[#This Row],[No]],AOP_Balance,3,0)</f>
        <v>206</v>
      </c>
      <c r="D12" s="52" t="str">
        <f>VLOOKUP(Income_Statement[[#This Row],[No]],AOP_Balance,7,0)</f>
        <v xml:space="preserve">      a) Rashodi kamata po osnovu kredita, depozita i HOV u domaćoj valuti</v>
      </c>
      <c r="E12" s="38">
        <f>IF(VLOOKUP(E$2&amp;Income_Statement[[#This Row],[Aop]],Data[],1)=E$2&amp;Income_Statement[[#This Row],[Aop]],VLOOKUP(E$2&amp;Income_Statement[[#This Row],[Aop]],Data[],E$1)/Jedinica,"")</f>
        <v>2226417</v>
      </c>
      <c r="F12" s="38">
        <f>IF(VLOOKUP(F$2&amp;Income_Statement[[#This Row],[Aop]],Data[],1)=F$2&amp;Income_Statement[[#This Row],[Aop]],VLOOKUP(F$2&amp;Income_Statement[[#This Row],[Aop]],Data[],F$1)/Jedinica,"")</f>
        <v>2010718</v>
      </c>
      <c r="G12" s="38">
        <f>IF(VLOOKUP(G$2&amp;Income_Statement[[#This Row],[Aop]],Data[],1)=G$2&amp;Income_Statement[[#This Row],[Aop]],VLOOKUP(G$2&amp;Income_Statement[[#This Row],[Aop]],Data[],G$1)/Jedinica,"")</f>
        <v>973105</v>
      </c>
      <c r="H12" s="38">
        <f>IF(VLOOKUP(H$2&amp;Income_Statement[[#This Row],[Aop]],Data[],1)=H$2&amp;Income_Statement[[#This Row],[Aop]],VLOOKUP(H$2&amp;Income_Statement[[#This Row],[Aop]],Data[],H$1)/Jedinica,"")</f>
        <v>1184542</v>
      </c>
      <c r="I12" s="38">
        <f>IF(VLOOKUP(I$2&amp;Income_Statement[[#This Row],[Aop]],Data[],1)=I$2&amp;Income_Statement[[#This Row],[Aop]],VLOOKUP(I$2&amp;Income_Statement[[#This Row],[Aop]],Data[],I$1)/Jedinica,"")</f>
        <v>207503</v>
      </c>
      <c r="J12" s="38">
        <f>IF(VLOOKUP(J$2&amp;Income_Statement[[#This Row],[Aop]],Data[],1)=J$2&amp;Income_Statement[[#This Row],[Aop]],VLOOKUP(J$2&amp;Income_Statement[[#This Row],[Aop]],Data[],J$1)/Jedinica,"")</f>
        <v>93447</v>
      </c>
      <c r="K12" s="38">
        <f>IF(VLOOKUP(K$2&amp;Income_Statement[[#This Row],[Aop]],Data[],1)=K$2&amp;Income_Statement[[#This Row],[Aop]],VLOOKUP(K$2&amp;Income_Statement[[#This Row],[Aop]],Data[],K$1)/Jedinica,"")</f>
        <v>1809939</v>
      </c>
      <c r="L12" s="38">
        <f>IF(VLOOKUP(L$2&amp;Income_Statement[[#This Row],[Aop]],Data[],1)=L$2&amp;Income_Statement[[#This Row],[Aop]],VLOOKUP(L$2&amp;Income_Statement[[#This Row],[Aop]],Data[],L$1)/Jedinica,"")</f>
        <v>1753794</v>
      </c>
      <c r="M12" s="38">
        <f>IF(VLOOKUP(M$2&amp;Income_Statement[[#This Row],[Aop]],Data[],1)=M$2&amp;Income_Statement[[#This Row],[Aop]],VLOOKUP(M$2&amp;Income_Statement[[#This Row],[Aop]],Data[],M$1)/Jedinica,"")</f>
        <v>7810705</v>
      </c>
      <c r="N12" s="38">
        <f>IF(VLOOKUP(N$2&amp;Income_Statement[[#This Row],[Aop]],Data[],1)=N$2&amp;Income_Statement[[#This Row],[Aop]],VLOOKUP(N$2&amp;Income_Statement[[#This Row],[Aop]],Data[],N$1)/Jedinica,"")</f>
        <v>6986849</v>
      </c>
      <c r="O12" s="38">
        <f>IF(VLOOKUP(O$2&amp;Income_Statement[[#This Row],[Aop]],Data[],1)=O$2&amp;Income_Statement[[#This Row],[Aop]],VLOOKUP(O$2&amp;Income_Statement[[#This Row],[Aop]],Data[],O$1)/Jedinica,"")</f>
        <v>1809939</v>
      </c>
      <c r="P12" s="38">
        <f>IF(VLOOKUP(P$2&amp;Income_Statement[[#This Row],[Aop]],Data[],1)=P$2&amp;Income_Statement[[#This Row],[Aop]],VLOOKUP(P$2&amp;Income_Statement[[#This Row],[Aop]],Data[],P$1)/Jedinica,"")</f>
        <v>1753794</v>
      </c>
      <c r="Q12" s="38">
        <f>IF(VLOOKUP(Q$2&amp;Income_Statement[[#This Row],[Aop]],Data[],1)=Q$2&amp;Income_Statement[[#This Row],[Aop]],VLOOKUP(Q$2&amp;Income_Statement[[#This Row],[Aop]],Data[],Q$1)/Jedinica,"")</f>
        <v>613565</v>
      </c>
      <c r="R12" s="38">
        <f>IF(VLOOKUP(R$2&amp;Income_Statement[[#This Row],[Aop]],Data[],1)=R$2&amp;Income_Statement[[#This Row],[Aop]],VLOOKUP(R$2&amp;Income_Statement[[#This Row],[Aop]],Data[],R$1)/Jedinica,"")</f>
        <v>354404</v>
      </c>
      <c r="S12" s="38">
        <f>IF(VLOOKUP(S$2&amp;Income_Statement[[#This Row],[Aop]],Data[],1)=S$2&amp;Income_Statement[[#This Row],[Aop]],VLOOKUP(S$2&amp;Income_Statement[[#This Row],[Aop]],Data[],S$1)/Jedinica,"")</f>
        <v>251487</v>
      </c>
      <c r="T12" s="38">
        <f>IF(VLOOKUP(T$2&amp;Income_Statement[[#This Row],[Aop]],Data[],1)=T$2&amp;Income_Statement[[#This Row],[Aop]],VLOOKUP(T$2&amp;Income_Statement[[#This Row],[Aop]],Data[],T$1)/Jedinica,"")</f>
        <v>320458</v>
      </c>
    </row>
    <row r="13" spans="1:20" ht="12.75" customHeight="1" x14ac:dyDescent="0.2">
      <c r="A13" s="74">
        <v>113</v>
      </c>
      <c r="B13" s="74">
        <v>3</v>
      </c>
      <c r="C13" s="78" t="str">
        <f>VLOOKUP(Income_Statement[[#This Row],[No]],AOP_Balance,3,0)</f>
        <v>207</v>
      </c>
      <c r="D13" s="52" t="str">
        <f>VLOOKUP(Income_Statement[[#This Row],[No]],AOP_Balance,7,0)</f>
        <v xml:space="preserve">      b) Rashodi kamata po osnovu kredita, depozita i HOV sa ugovorenom zaštitom od rizika</v>
      </c>
      <c r="E13" s="38" t="str">
        <f>IF(VLOOKUP(E$2&amp;Income_Statement[[#This Row],[Aop]],Data[],1)=E$2&amp;Income_Statement[[#This Row],[Aop]],VLOOKUP(E$2&amp;Income_Statement[[#This Row],[Aop]],Data[],E$1)/Jedinica,"")</f>
        <v/>
      </c>
      <c r="F13" s="38" t="str">
        <f>IF(VLOOKUP(F$2&amp;Income_Statement[[#This Row],[Aop]],Data[],1)=F$2&amp;Income_Statement[[#This Row],[Aop]],VLOOKUP(F$2&amp;Income_Statement[[#This Row],[Aop]],Data[],F$1)/Jedinica,"")</f>
        <v/>
      </c>
      <c r="G13" s="38">
        <f>IF(VLOOKUP(G$2&amp;Income_Statement[[#This Row],[Aop]],Data[],1)=G$2&amp;Income_Statement[[#This Row],[Aop]],VLOOKUP(G$2&amp;Income_Statement[[#This Row],[Aop]],Data[],G$1)/Jedinica,"")</f>
        <v>1179614</v>
      </c>
      <c r="H13" s="38">
        <f>IF(VLOOKUP(H$2&amp;Income_Statement[[#This Row],[Aop]],Data[],1)=H$2&amp;Income_Statement[[#This Row],[Aop]],VLOOKUP(H$2&amp;Income_Statement[[#This Row],[Aop]],Data[],H$1)/Jedinica,"")</f>
        <v>1631149</v>
      </c>
      <c r="I13" s="38">
        <f>IF(VLOOKUP(I$2&amp;Income_Statement[[#This Row],[Aop]],Data[],1)=I$2&amp;Income_Statement[[#This Row],[Aop]],VLOOKUP(I$2&amp;Income_Statement[[#This Row],[Aop]],Data[],I$1)/Jedinica,"")</f>
        <v>801784</v>
      </c>
      <c r="J13" s="38">
        <f>IF(VLOOKUP(J$2&amp;Income_Statement[[#This Row],[Aop]],Data[],1)=J$2&amp;Income_Statement[[#This Row],[Aop]],VLOOKUP(J$2&amp;Income_Statement[[#This Row],[Aop]],Data[],J$1)/Jedinica,"")</f>
        <v>452063</v>
      </c>
      <c r="K13" s="38">
        <f>IF(VLOOKUP(K$2&amp;Income_Statement[[#This Row],[Aop]],Data[],1)=K$2&amp;Income_Statement[[#This Row],[Aop]],VLOOKUP(K$2&amp;Income_Statement[[#This Row],[Aop]],Data[],K$1)/Jedinica,"")</f>
        <v>179427</v>
      </c>
      <c r="L13" s="38">
        <f>IF(VLOOKUP(L$2&amp;Income_Statement[[#This Row],[Aop]],Data[],1)=L$2&amp;Income_Statement[[#This Row],[Aop]],VLOOKUP(L$2&amp;Income_Statement[[#This Row],[Aop]],Data[],L$1)/Jedinica,"")</f>
        <v>118151</v>
      </c>
      <c r="M13" s="38">
        <f>IF(VLOOKUP(M$2&amp;Income_Statement[[#This Row],[Aop]],Data[],1)=M$2&amp;Income_Statement[[#This Row],[Aop]],VLOOKUP(M$2&amp;Income_Statement[[#This Row],[Aop]],Data[],M$1)/Jedinica,"")</f>
        <v>3331062</v>
      </c>
      <c r="N13" s="38">
        <f>IF(VLOOKUP(N$2&amp;Income_Statement[[#This Row],[Aop]],Data[],1)=N$2&amp;Income_Statement[[#This Row],[Aop]],VLOOKUP(N$2&amp;Income_Statement[[#This Row],[Aop]],Data[],N$1)/Jedinica,"")</f>
        <v>525186</v>
      </c>
      <c r="O13" s="38">
        <f>IF(VLOOKUP(O$2&amp;Income_Statement[[#This Row],[Aop]],Data[],1)=O$2&amp;Income_Statement[[#This Row],[Aop]],VLOOKUP(O$2&amp;Income_Statement[[#This Row],[Aop]],Data[],O$1)/Jedinica,"")</f>
        <v>179427</v>
      </c>
      <c r="P13" s="38">
        <f>IF(VLOOKUP(P$2&amp;Income_Statement[[#This Row],[Aop]],Data[],1)=P$2&amp;Income_Statement[[#This Row],[Aop]],VLOOKUP(P$2&amp;Income_Statement[[#This Row],[Aop]],Data[],P$1)/Jedinica,"")</f>
        <v>118151</v>
      </c>
      <c r="Q13" s="38">
        <f>IF(VLOOKUP(Q$2&amp;Income_Statement[[#This Row],[Aop]],Data[],1)=Q$2&amp;Income_Statement[[#This Row],[Aop]],VLOOKUP(Q$2&amp;Income_Statement[[#This Row],[Aop]],Data[],Q$1)/Jedinica,"")</f>
        <v>636001</v>
      </c>
      <c r="R13" s="38">
        <f>IF(VLOOKUP(R$2&amp;Income_Statement[[#This Row],[Aop]],Data[],1)=R$2&amp;Income_Statement[[#This Row],[Aop]],VLOOKUP(R$2&amp;Income_Statement[[#This Row],[Aop]],Data[],R$1)/Jedinica,"")</f>
        <v>345352</v>
      </c>
      <c r="S13" s="38">
        <f>IF(VLOOKUP(S$2&amp;Income_Statement[[#This Row],[Aop]],Data[],1)=S$2&amp;Income_Statement[[#This Row],[Aop]],VLOOKUP(S$2&amp;Income_Statement[[#This Row],[Aop]],Data[],S$1)/Jedinica,"")</f>
        <v>3636906</v>
      </c>
      <c r="T13" s="38">
        <f>IF(VLOOKUP(T$2&amp;Income_Statement[[#This Row],[Aop]],Data[],1)=T$2&amp;Income_Statement[[#This Row],[Aop]],VLOOKUP(T$2&amp;Income_Statement[[#This Row],[Aop]],Data[],T$1)/Jedinica,"")</f>
        <v>3705040</v>
      </c>
    </row>
    <row r="14" spans="1:20" ht="12.75" customHeight="1" x14ac:dyDescent="0.2">
      <c r="A14" s="74">
        <v>114</v>
      </c>
      <c r="B14" s="74">
        <v>3</v>
      </c>
      <c r="C14" s="78" t="str">
        <f>VLOOKUP(Income_Statement[[#This Row],[No]],AOP_Balance,3,0)</f>
        <v>208</v>
      </c>
      <c r="D14" s="52" t="str">
        <f>VLOOKUP(Income_Statement[[#This Row],[No]],AOP_Balance,7,0)</f>
        <v xml:space="preserve">      v) Rashodi kamata po osnovu kredita, depozita i HOV u stranoj valuti</v>
      </c>
      <c r="E14" s="38">
        <f>IF(VLOOKUP(E$2&amp;Income_Statement[[#This Row],[Aop]],Data[],1)=E$2&amp;Income_Statement[[#This Row],[Aop]],VLOOKUP(E$2&amp;Income_Statement[[#This Row],[Aop]],Data[],E$1)/Jedinica,"")</f>
        <v>1520889</v>
      </c>
      <c r="F14" s="38">
        <f>IF(VLOOKUP(F$2&amp;Income_Statement[[#This Row],[Aop]],Data[],1)=F$2&amp;Income_Statement[[#This Row],[Aop]],VLOOKUP(F$2&amp;Income_Statement[[#This Row],[Aop]],Data[],F$1)/Jedinica,"")</f>
        <v>1246050</v>
      </c>
      <c r="G14" s="38">
        <f>IF(VLOOKUP(G$2&amp;Income_Statement[[#This Row],[Aop]],Data[],1)=G$2&amp;Income_Statement[[#This Row],[Aop]],VLOOKUP(G$2&amp;Income_Statement[[#This Row],[Aop]],Data[],G$1)/Jedinica,"")</f>
        <v>1138832</v>
      </c>
      <c r="H14" s="38">
        <f>IF(VLOOKUP(H$2&amp;Income_Statement[[#This Row],[Aop]],Data[],1)=H$2&amp;Income_Statement[[#This Row],[Aop]],VLOOKUP(H$2&amp;Income_Statement[[#This Row],[Aop]],Data[],H$1)/Jedinica,"")</f>
        <v>1418398</v>
      </c>
      <c r="I14" s="38">
        <f>IF(VLOOKUP(I$2&amp;Income_Statement[[#This Row],[Aop]],Data[],1)=I$2&amp;Income_Statement[[#This Row],[Aop]],VLOOKUP(I$2&amp;Income_Statement[[#This Row],[Aop]],Data[],I$1)/Jedinica,"")</f>
        <v>800842</v>
      </c>
      <c r="J14" s="38">
        <f>IF(VLOOKUP(J$2&amp;Income_Statement[[#This Row],[Aop]],Data[],1)=J$2&amp;Income_Statement[[#This Row],[Aop]],VLOOKUP(J$2&amp;Income_Statement[[#This Row],[Aop]],Data[],J$1)/Jedinica,"")</f>
        <v>90918</v>
      </c>
      <c r="K14" s="38">
        <f>IF(VLOOKUP(K$2&amp;Income_Statement[[#This Row],[Aop]],Data[],1)=K$2&amp;Income_Statement[[#This Row],[Aop]],VLOOKUP(K$2&amp;Income_Statement[[#This Row],[Aop]],Data[],K$1)/Jedinica,"")</f>
        <v>58994</v>
      </c>
      <c r="L14" s="38">
        <f>IF(VLOOKUP(L$2&amp;Income_Statement[[#This Row],[Aop]],Data[],1)=L$2&amp;Income_Statement[[#This Row],[Aop]],VLOOKUP(L$2&amp;Income_Statement[[#This Row],[Aop]],Data[],L$1)/Jedinica,"")</f>
        <v>61155</v>
      </c>
      <c r="M14" s="38">
        <f>IF(VLOOKUP(M$2&amp;Income_Statement[[#This Row],[Aop]],Data[],1)=M$2&amp;Income_Statement[[#This Row],[Aop]],VLOOKUP(M$2&amp;Income_Statement[[#This Row],[Aop]],Data[],M$1)/Jedinica,"")</f>
        <v>6797418</v>
      </c>
      <c r="N14" s="38">
        <f>IF(VLOOKUP(N$2&amp;Income_Statement[[#This Row],[Aop]],Data[],1)=N$2&amp;Income_Statement[[#This Row],[Aop]],VLOOKUP(N$2&amp;Income_Statement[[#This Row],[Aop]],Data[],N$1)/Jedinica,"")</f>
        <v>5229937</v>
      </c>
      <c r="O14" s="38">
        <f>IF(VLOOKUP(O$2&amp;Income_Statement[[#This Row],[Aop]],Data[],1)=O$2&amp;Income_Statement[[#This Row],[Aop]],VLOOKUP(O$2&amp;Income_Statement[[#This Row],[Aop]],Data[],O$1)/Jedinica,"")</f>
        <v>58994</v>
      </c>
      <c r="P14" s="38">
        <f>IF(VLOOKUP(P$2&amp;Income_Statement[[#This Row],[Aop]],Data[],1)=P$2&amp;Income_Statement[[#This Row],[Aop]],VLOOKUP(P$2&amp;Income_Statement[[#This Row],[Aop]],Data[],P$1)/Jedinica,"")</f>
        <v>61155</v>
      </c>
      <c r="Q14" s="38">
        <f>IF(VLOOKUP(Q$2&amp;Income_Statement[[#This Row],[Aop]],Data[],1)=Q$2&amp;Income_Statement[[#This Row],[Aop]],VLOOKUP(Q$2&amp;Income_Statement[[#This Row],[Aop]],Data[],Q$1)/Jedinica,"")</f>
        <v>1063987</v>
      </c>
      <c r="R14" s="38">
        <f>IF(VLOOKUP(R$2&amp;Income_Statement[[#This Row],[Aop]],Data[],1)=R$2&amp;Income_Statement[[#This Row],[Aop]],VLOOKUP(R$2&amp;Income_Statement[[#This Row],[Aop]],Data[],R$1)/Jedinica,"")</f>
        <v>754802</v>
      </c>
      <c r="S14" s="38">
        <f>IF(VLOOKUP(S$2&amp;Income_Statement[[#This Row],[Aop]],Data[],1)=S$2&amp;Income_Statement[[#This Row],[Aop]],VLOOKUP(S$2&amp;Income_Statement[[#This Row],[Aop]],Data[],S$1)/Jedinica,"")</f>
        <v>5736752</v>
      </c>
      <c r="T14" s="38">
        <f>IF(VLOOKUP(T$2&amp;Income_Statement[[#This Row],[Aop]],Data[],1)=T$2&amp;Income_Statement[[#This Row],[Aop]],VLOOKUP(T$2&amp;Income_Statement[[#This Row],[Aop]],Data[],T$1)/Jedinica,"")</f>
        <v>6209850</v>
      </c>
    </row>
    <row r="15" spans="1:20" ht="12.75" customHeight="1" x14ac:dyDescent="0.2">
      <c r="A15" s="74">
        <v>115</v>
      </c>
      <c r="B15" s="74">
        <v>2</v>
      </c>
      <c r="C15" s="78" t="str">
        <f>VLOOKUP(Income_Statement[[#This Row],[No]],AOP_Balance,3,0)</f>
        <v>209</v>
      </c>
      <c r="D15" s="52" t="str">
        <f>VLOOKUP(Income_Statement[[#This Row],[No]],AOP_Balance,7,0)</f>
        <v xml:space="preserve">    3. Neto prihodi od kamata (201-205)</v>
      </c>
      <c r="E15" s="38">
        <f>IF(VLOOKUP(E$2&amp;Income_Statement[[#This Row],[Aop]],Data[],1)=E$2&amp;Income_Statement[[#This Row],[Aop]],VLOOKUP(E$2&amp;Income_Statement[[#This Row],[Aop]],Data[],E$1)/Jedinica,"")</f>
        <v>4975941</v>
      </c>
      <c r="F15" s="38">
        <f>IF(VLOOKUP(F$2&amp;Income_Statement[[#This Row],[Aop]],Data[],1)=F$2&amp;Income_Statement[[#This Row],[Aop]],VLOOKUP(F$2&amp;Income_Statement[[#This Row],[Aop]],Data[],F$1)/Jedinica,"")</f>
        <v>5159851</v>
      </c>
      <c r="G15" s="38">
        <f>IF(VLOOKUP(G$2&amp;Income_Statement[[#This Row],[Aop]],Data[],1)=G$2&amp;Income_Statement[[#This Row],[Aop]],VLOOKUP(G$2&amp;Income_Statement[[#This Row],[Aop]],Data[],G$1)/Jedinica,"")</f>
        <v>3251906</v>
      </c>
      <c r="H15" s="38">
        <f>IF(VLOOKUP(H$2&amp;Income_Statement[[#This Row],[Aop]],Data[],1)=H$2&amp;Income_Statement[[#This Row],[Aop]],VLOOKUP(H$2&amp;Income_Statement[[#This Row],[Aop]],Data[],H$1)/Jedinica,"")</f>
        <v>4823535</v>
      </c>
      <c r="I15" s="38">
        <f>IF(VLOOKUP(I$2&amp;Income_Statement[[#This Row],[Aop]],Data[],1)=I$2&amp;Income_Statement[[#This Row],[Aop]],VLOOKUP(I$2&amp;Income_Statement[[#This Row],[Aop]],Data[],I$1)/Jedinica,"")</f>
        <v>3002581</v>
      </c>
      <c r="J15" s="38">
        <f>IF(VLOOKUP(J$2&amp;Income_Statement[[#This Row],[Aop]],Data[],1)=J$2&amp;Income_Statement[[#This Row],[Aop]],VLOOKUP(J$2&amp;Income_Statement[[#This Row],[Aop]],Data[],J$1)/Jedinica,"")</f>
        <v>1972141</v>
      </c>
      <c r="K15" s="38">
        <f>IF(VLOOKUP(K$2&amp;Income_Statement[[#This Row],[Aop]],Data[],1)=K$2&amp;Income_Statement[[#This Row],[Aop]],VLOOKUP(K$2&amp;Income_Statement[[#This Row],[Aop]],Data[],K$1)/Jedinica,"")</f>
        <v>5129431</v>
      </c>
      <c r="L15" s="38">
        <f>IF(VLOOKUP(L$2&amp;Income_Statement[[#This Row],[Aop]],Data[],1)=L$2&amp;Income_Statement[[#This Row],[Aop]],VLOOKUP(L$2&amp;Income_Statement[[#This Row],[Aop]],Data[],L$1)/Jedinica,"")</f>
        <v>5887857</v>
      </c>
      <c r="M15" s="38">
        <f>IF(VLOOKUP(M$2&amp;Income_Statement[[#This Row],[Aop]],Data[],1)=M$2&amp;Income_Statement[[#This Row],[Aop]],VLOOKUP(M$2&amp;Income_Statement[[#This Row],[Aop]],Data[],M$1)/Jedinica,"")</f>
        <v>17324338</v>
      </c>
      <c r="N15" s="38">
        <f>IF(VLOOKUP(N$2&amp;Income_Statement[[#This Row],[Aop]],Data[],1)=N$2&amp;Income_Statement[[#This Row],[Aop]],VLOOKUP(N$2&amp;Income_Statement[[#This Row],[Aop]],Data[],N$1)/Jedinica,"")</f>
        <v>18291803</v>
      </c>
      <c r="O15" s="38">
        <f>IF(VLOOKUP(O$2&amp;Income_Statement[[#This Row],[Aop]],Data[],1)=O$2&amp;Income_Statement[[#This Row],[Aop]],VLOOKUP(O$2&amp;Income_Statement[[#This Row],[Aop]],Data[],O$1)/Jedinica,"")</f>
        <v>5129431</v>
      </c>
      <c r="P15" s="38">
        <f>IF(VLOOKUP(P$2&amp;Income_Statement[[#This Row],[Aop]],Data[],1)=P$2&amp;Income_Statement[[#This Row],[Aop]],VLOOKUP(P$2&amp;Income_Statement[[#This Row],[Aop]],Data[],P$1)/Jedinica,"")</f>
        <v>5887857</v>
      </c>
      <c r="Q15" s="38">
        <f>IF(VLOOKUP(Q$2&amp;Income_Statement[[#This Row],[Aop]],Data[],1)=Q$2&amp;Income_Statement[[#This Row],[Aop]],VLOOKUP(Q$2&amp;Income_Statement[[#This Row],[Aop]],Data[],Q$1)/Jedinica,"")</f>
        <v>4337744</v>
      </c>
      <c r="R15" s="38">
        <f>IF(VLOOKUP(R$2&amp;Income_Statement[[#This Row],[Aop]],Data[],1)=R$2&amp;Income_Statement[[#This Row],[Aop]],VLOOKUP(R$2&amp;Income_Statement[[#This Row],[Aop]],Data[],R$1)/Jedinica,"")</f>
        <v>3853010</v>
      </c>
      <c r="S15" s="38">
        <f>IF(VLOOKUP(S$2&amp;Income_Statement[[#This Row],[Aop]],Data[],1)=S$2&amp;Income_Statement[[#This Row],[Aop]],VLOOKUP(S$2&amp;Income_Statement[[#This Row],[Aop]],Data[],S$1)/Jedinica,"")</f>
        <v>14223469</v>
      </c>
      <c r="T15" s="38">
        <f>IF(VLOOKUP(T$2&amp;Income_Statement[[#This Row],[Aop]],Data[],1)=T$2&amp;Income_Statement[[#This Row],[Aop]],VLOOKUP(T$2&amp;Income_Statement[[#This Row],[Aop]],Data[],T$1)/Jedinica,"")</f>
        <v>16683148</v>
      </c>
    </row>
    <row r="16" spans="1:20" ht="12.75" customHeight="1" x14ac:dyDescent="0.2">
      <c r="A16" s="74">
        <v>116</v>
      </c>
      <c r="B16" s="74">
        <v>2</v>
      </c>
      <c r="C16" s="78" t="str">
        <f>VLOOKUP(Income_Statement[[#This Row],[No]],AOP_Balance,3,0)</f>
        <v>210</v>
      </c>
      <c r="D16" s="52" t="str">
        <f>VLOOKUP(Income_Statement[[#This Row],[No]],AOP_Balance,7,0)</f>
        <v xml:space="preserve">    4. Neto rashodi kamata (205-201)</v>
      </c>
      <c r="E16" s="38" t="str">
        <f>IF(VLOOKUP(E$2&amp;Income_Statement[[#This Row],[Aop]],Data[],1)=E$2&amp;Income_Statement[[#This Row],[Aop]],VLOOKUP(E$2&amp;Income_Statement[[#This Row],[Aop]],Data[],E$1)/Jedinica,"")</f>
        <v/>
      </c>
      <c r="F16" s="38" t="str">
        <f>IF(VLOOKUP(F$2&amp;Income_Statement[[#This Row],[Aop]],Data[],1)=F$2&amp;Income_Statement[[#This Row],[Aop]],VLOOKUP(F$2&amp;Income_Statement[[#This Row],[Aop]],Data[],F$1)/Jedinica,"")</f>
        <v/>
      </c>
      <c r="G16" s="38" t="str">
        <f>IF(VLOOKUP(G$2&amp;Income_Statement[[#This Row],[Aop]],Data[],1)=G$2&amp;Income_Statement[[#This Row],[Aop]],VLOOKUP(G$2&amp;Income_Statement[[#This Row],[Aop]],Data[],G$1)/Jedinica,"")</f>
        <v/>
      </c>
      <c r="H16" s="38" t="str">
        <f>IF(VLOOKUP(H$2&amp;Income_Statement[[#This Row],[Aop]],Data[],1)=H$2&amp;Income_Statement[[#This Row],[Aop]],VLOOKUP(H$2&amp;Income_Statement[[#This Row],[Aop]],Data[],H$1)/Jedinica,"")</f>
        <v/>
      </c>
      <c r="I16" s="38" t="str">
        <f>IF(VLOOKUP(I$2&amp;Income_Statement[[#This Row],[Aop]],Data[],1)=I$2&amp;Income_Statement[[#This Row],[Aop]],VLOOKUP(I$2&amp;Income_Statement[[#This Row],[Aop]],Data[],I$1)/Jedinica,"")</f>
        <v/>
      </c>
      <c r="J16" s="38" t="str">
        <f>IF(VLOOKUP(J$2&amp;Income_Statement[[#This Row],[Aop]],Data[],1)=J$2&amp;Income_Statement[[#This Row],[Aop]],VLOOKUP(J$2&amp;Income_Statement[[#This Row],[Aop]],Data[],J$1)/Jedinica,"")</f>
        <v/>
      </c>
      <c r="K16" s="38" t="str">
        <f>IF(VLOOKUP(K$2&amp;Income_Statement[[#This Row],[Aop]],Data[],1)=K$2&amp;Income_Statement[[#This Row],[Aop]],VLOOKUP(K$2&amp;Income_Statement[[#This Row],[Aop]],Data[],K$1)/Jedinica,"")</f>
        <v/>
      </c>
      <c r="L16" s="38" t="str">
        <f>IF(VLOOKUP(L$2&amp;Income_Statement[[#This Row],[Aop]],Data[],1)=L$2&amp;Income_Statement[[#This Row],[Aop]],VLOOKUP(L$2&amp;Income_Statement[[#This Row],[Aop]],Data[],L$1)/Jedinica,"")</f>
        <v/>
      </c>
      <c r="M16" s="38" t="str">
        <f>IF(VLOOKUP(M$2&amp;Income_Statement[[#This Row],[Aop]],Data[],1)=M$2&amp;Income_Statement[[#This Row],[Aop]],VLOOKUP(M$2&amp;Income_Statement[[#This Row],[Aop]],Data[],M$1)/Jedinica,"")</f>
        <v/>
      </c>
      <c r="N16" s="38" t="str">
        <f>IF(VLOOKUP(N$2&amp;Income_Statement[[#This Row],[Aop]],Data[],1)=N$2&amp;Income_Statement[[#This Row],[Aop]],VLOOKUP(N$2&amp;Income_Statement[[#This Row],[Aop]],Data[],N$1)/Jedinica,"")</f>
        <v/>
      </c>
      <c r="O16" s="38" t="str">
        <f>IF(VLOOKUP(O$2&amp;Income_Statement[[#This Row],[Aop]],Data[],1)=O$2&amp;Income_Statement[[#This Row],[Aop]],VLOOKUP(O$2&amp;Income_Statement[[#This Row],[Aop]],Data[],O$1)/Jedinica,"")</f>
        <v/>
      </c>
      <c r="P16" s="38" t="str">
        <f>IF(VLOOKUP(P$2&amp;Income_Statement[[#This Row],[Aop]],Data[],1)=P$2&amp;Income_Statement[[#This Row],[Aop]],VLOOKUP(P$2&amp;Income_Statement[[#This Row],[Aop]],Data[],P$1)/Jedinica,"")</f>
        <v/>
      </c>
      <c r="Q16" s="38" t="str">
        <f>IF(VLOOKUP(Q$2&amp;Income_Statement[[#This Row],[Aop]],Data[],1)=Q$2&amp;Income_Statement[[#This Row],[Aop]],VLOOKUP(Q$2&amp;Income_Statement[[#This Row],[Aop]],Data[],Q$1)/Jedinica,"")</f>
        <v/>
      </c>
      <c r="R16" s="38" t="str">
        <f>IF(VLOOKUP(R$2&amp;Income_Statement[[#This Row],[Aop]],Data[],1)=R$2&amp;Income_Statement[[#This Row],[Aop]],VLOOKUP(R$2&amp;Income_Statement[[#This Row],[Aop]],Data[],R$1)/Jedinica,"")</f>
        <v/>
      </c>
      <c r="S16" s="38" t="str">
        <f>IF(VLOOKUP(S$2&amp;Income_Statement[[#This Row],[Aop]],Data[],1)=S$2&amp;Income_Statement[[#This Row],[Aop]],VLOOKUP(S$2&amp;Income_Statement[[#This Row],[Aop]],Data[],S$1)/Jedinica,"")</f>
        <v/>
      </c>
      <c r="T16" s="38" t="str">
        <f>IF(VLOOKUP(T$2&amp;Income_Statement[[#This Row],[Aop]],Data[],1)=T$2&amp;Income_Statement[[#This Row],[Aop]],VLOOKUP(T$2&amp;Income_Statement[[#This Row],[Aop]],Data[],T$1)/Jedinica,"")</f>
        <v/>
      </c>
    </row>
    <row r="17" spans="1:20" ht="12.75" customHeight="1" x14ac:dyDescent="0.2">
      <c r="A17" s="74">
        <v>117</v>
      </c>
      <c r="B17" s="74">
        <v>2</v>
      </c>
      <c r="C17" s="78" t="str">
        <f>VLOOKUP(Income_Statement[[#This Row],[No]],AOP_Balance,3,0)</f>
        <v>211</v>
      </c>
      <c r="D17" s="52" t="str">
        <f>VLOOKUP(Income_Statement[[#This Row],[No]],AOP_Balance,7,0)</f>
        <v xml:space="preserve">    5. Prihodi od naknada i provizija (212 do 214)</v>
      </c>
      <c r="E17" s="38">
        <f>IF(VLOOKUP(E$2&amp;Income_Statement[[#This Row],[Aop]],Data[],1)=E$2&amp;Income_Statement[[#This Row],[Aop]],VLOOKUP(E$2&amp;Income_Statement[[#This Row],[Aop]],Data[],E$1)/Jedinica,"")</f>
        <v>2491073</v>
      </c>
      <c r="F17" s="38">
        <f>IF(VLOOKUP(F$2&amp;Income_Statement[[#This Row],[Aop]],Data[],1)=F$2&amp;Income_Statement[[#This Row],[Aop]],VLOOKUP(F$2&amp;Income_Statement[[#This Row],[Aop]],Data[],F$1)/Jedinica,"")</f>
        <v>2523240</v>
      </c>
      <c r="G17" s="38">
        <f>IF(VLOOKUP(G$2&amp;Income_Statement[[#This Row],[Aop]],Data[],1)=G$2&amp;Income_Statement[[#This Row],[Aop]],VLOOKUP(G$2&amp;Income_Statement[[#This Row],[Aop]],Data[],G$1)/Jedinica,"")</f>
        <v>3704600</v>
      </c>
      <c r="H17" s="38">
        <f>IF(VLOOKUP(H$2&amp;Income_Statement[[#This Row],[Aop]],Data[],1)=H$2&amp;Income_Statement[[#This Row],[Aop]],VLOOKUP(H$2&amp;Income_Statement[[#This Row],[Aop]],Data[],H$1)/Jedinica,"")</f>
        <v>4585200</v>
      </c>
      <c r="I17" s="38">
        <f>IF(VLOOKUP(I$2&amp;Income_Statement[[#This Row],[Aop]],Data[],1)=I$2&amp;Income_Statement[[#This Row],[Aop]],VLOOKUP(I$2&amp;Income_Statement[[#This Row],[Aop]],Data[],I$1)/Jedinica,"")</f>
        <v>772296</v>
      </c>
      <c r="J17" s="38">
        <f>IF(VLOOKUP(J$2&amp;Income_Statement[[#This Row],[Aop]],Data[],1)=J$2&amp;Income_Statement[[#This Row],[Aop]],VLOOKUP(J$2&amp;Income_Statement[[#This Row],[Aop]],Data[],J$1)/Jedinica,"")</f>
        <v>463407</v>
      </c>
      <c r="K17" s="38">
        <f>IF(VLOOKUP(K$2&amp;Income_Statement[[#This Row],[Aop]],Data[],1)=K$2&amp;Income_Statement[[#This Row],[Aop]],VLOOKUP(K$2&amp;Income_Statement[[#This Row],[Aop]],Data[],K$1)/Jedinica,"")</f>
        <v>1467763</v>
      </c>
      <c r="L17" s="38">
        <f>IF(VLOOKUP(L$2&amp;Income_Statement[[#This Row],[Aop]],Data[],1)=L$2&amp;Income_Statement[[#This Row],[Aop]],VLOOKUP(L$2&amp;Income_Statement[[#This Row],[Aop]],Data[],L$1)/Jedinica,"")</f>
        <v>1498704</v>
      </c>
      <c r="M17" s="38">
        <f>IF(VLOOKUP(M$2&amp;Income_Statement[[#This Row],[Aop]],Data[],1)=M$2&amp;Income_Statement[[#This Row],[Aop]],VLOOKUP(M$2&amp;Income_Statement[[#This Row],[Aop]],Data[],M$1)/Jedinica,"")</f>
        <v>13242628</v>
      </c>
      <c r="N17" s="38">
        <f>IF(VLOOKUP(N$2&amp;Income_Statement[[#This Row],[Aop]],Data[],1)=N$2&amp;Income_Statement[[#This Row],[Aop]],VLOOKUP(N$2&amp;Income_Statement[[#This Row],[Aop]],Data[],N$1)/Jedinica,"")</f>
        <v>9200745</v>
      </c>
      <c r="O17" s="38">
        <f>IF(VLOOKUP(O$2&amp;Income_Statement[[#This Row],[Aop]],Data[],1)=O$2&amp;Income_Statement[[#This Row],[Aop]],VLOOKUP(O$2&amp;Income_Statement[[#This Row],[Aop]],Data[],O$1)/Jedinica,"")</f>
        <v>1467763</v>
      </c>
      <c r="P17" s="38">
        <f>IF(VLOOKUP(P$2&amp;Income_Statement[[#This Row],[Aop]],Data[],1)=P$2&amp;Income_Statement[[#This Row],[Aop]],VLOOKUP(P$2&amp;Income_Statement[[#This Row],[Aop]],Data[],P$1)/Jedinica,"")</f>
        <v>1498704</v>
      </c>
      <c r="Q17" s="38">
        <f>IF(VLOOKUP(Q$2&amp;Income_Statement[[#This Row],[Aop]],Data[],1)=Q$2&amp;Income_Statement[[#This Row],[Aop]],VLOOKUP(Q$2&amp;Income_Statement[[#This Row],[Aop]],Data[],Q$1)/Jedinica,"")</f>
        <v>2674752</v>
      </c>
      <c r="R17" s="38">
        <f>IF(VLOOKUP(R$2&amp;Income_Statement[[#This Row],[Aop]],Data[],1)=R$2&amp;Income_Statement[[#This Row],[Aop]],VLOOKUP(R$2&amp;Income_Statement[[#This Row],[Aop]],Data[],R$1)/Jedinica,"")</f>
        <v>2192512</v>
      </c>
      <c r="S17" s="38">
        <f>IF(VLOOKUP(S$2&amp;Income_Statement[[#This Row],[Aop]],Data[],1)=S$2&amp;Income_Statement[[#This Row],[Aop]],VLOOKUP(S$2&amp;Income_Statement[[#This Row],[Aop]],Data[],S$1)/Jedinica,"")</f>
        <v>9692371</v>
      </c>
      <c r="T17" s="38">
        <f>IF(VLOOKUP(T$2&amp;Income_Statement[[#This Row],[Aop]],Data[],1)=T$2&amp;Income_Statement[[#This Row],[Aop]],VLOOKUP(T$2&amp;Income_Statement[[#This Row],[Aop]],Data[],T$1)/Jedinica,"")</f>
        <v>9424244</v>
      </c>
    </row>
    <row r="18" spans="1:20" ht="12.75" customHeight="1" x14ac:dyDescent="0.2">
      <c r="A18" s="74">
        <v>118</v>
      </c>
      <c r="B18" s="74">
        <v>3</v>
      </c>
      <c r="C18" s="78" t="str">
        <f>VLOOKUP(Income_Statement[[#This Row],[No]],AOP_Balance,3,0)</f>
        <v>212</v>
      </c>
      <c r="D18" s="52" t="str">
        <f>VLOOKUP(Income_Statement[[#This Row],[No]],AOP_Balance,7,0)</f>
        <v xml:space="preserve">      a) Prihodi od usluga platnog prometa</v>
      </c>
      <c r="E18" s="38">
        <f>IF(VLOOKUP(E$2&amp;Income_Statement[[#This Row],[Aop]],Data[],1)=E$2&amp;Income_Statement[[#This Row],[Aop]],VLOOKUP(E$2&amp;Income_Statement[[#This Row],[Aop]],Data[],E$1)/Jedinica,"")</f>
        <v>336751</v>
      </c>
      <c r="F18" s="38">
        <f>IF(VLOOKUP(F$2&amp;Income_Statement[[#This Row],[Aop]],Data[],1)=F$2&amp;Income_Statement[[#This Row],[Aop]],VLOOKUP(F$2&amp;Income_Statement[[#This Row],[Aop]],Data[],F$1)/Jedinica,"")</f>
        <v>333856</v>
      </c>
      <c r="G18" s="38">
        <f>IF(VLOOKUP(G$2&amp;Income_Statement[[#This Row],[Aop]],Data[],1)=G$2&amp;Income_Statement[[#This Row],[Aop]],VLOOKUP(G$2&amp;Income_Statement[[#This Row],[Aop]],Data[],G$1)/Jedinica,"")</f>
        <v>682071</v>
      </c>
      <c r="H18" s="38">
        <f>IF(VLOOKUP(H$2&amp;Income_Statement[[#This Row],[Aop]],Data[],1)=H$2&amp;Income_Statement[[#This Row],[Aop]],VLOOKUP(H$2&amp;Income_Statement[[#This Row],[Aop]],Data[],H$1)/Jedinica,"")</f>
        <v>651560</v>
      </c>
      <c r="I18" s="38">
        <f>IF(VLOOKUP(I$2&amp;Income_Statement[[#This Row],[Aop]],Data[],1)=I$2&amp;Income_Statement[[#This Row],[Aop]],VLOOKUP(I$2&amp;Income_Statement[[#This Row],[Aop]],Data[],I$1)/Jedinica,"")</f>
        <v>226218</v>
      </c>
      <c r="J18" s="38">
        <f>IF(VLOOKUP(J$2&amp;Income_Statement[[#This Row],[Aop]],Data[],1)=J$2&amp;Income_Statement[[#This Row],[Aop]],VLOOKUP(J$2&amp;Income_Statement[[#This Row],[Aop]],Data[],J$1)/Jedinica,"")</f>
        <v>151917</v>
      </c>
      <c r="K18" s="38">
        <f>IF(VLOOKUP(K$2&amp;Income_Statement[[#This Row],[Aop]],Data[],1)=K$2&amp;Income_Statement[[#This Row],[Aop]],VLOOKUP(K$2&amp;Income_Statement[[#This Row],[Aop]],Data[],K$1)/Jedinica,"")</f>
        <v>904013</v>
      </c>
      <c r="L18" s="38">
        <f>IF(VLOOKUP(L$2&amp;Income_Statement[[#This Row],[Aop]],Data[],1)=L$2&amp;Income_Statement[[#This Row],[Aop]],VLOOKUP(L$2&amp;Income_Statement[[#This Row],[Aop]],Data[],L$1)/Jedinica,"")</f>
        <v>837362</v>
      </c>
      <c r="M18" s="38">
        <f>IF(VLOOKUP(M$2&amp;Income_Statement[[#This Row],[Aop]],Data[],1)=M$2&amp;Income_Statement[[#This Row],[Aop]],VLOOKUP(M$2&amp;Income_Statement[[#This Row],[Aop]],Data[],M$1)/Jedinica,"")</f>
        <v>4086504</v>
      </c>
      <c r="N18" s="38">
        <f>IF(VLOOKUP(N$2&amp;Income_Statement[[#This Row],[Aop]],Data[],1)=N$2&amp;Income_Statement[[#This Row],[Aop]],VLOOKUP(N$2&amp;Income_Statement[[#This Row],[Aop]],Data[],N$1)/Jedinica,"")</f>
        <v>3667029</v>
      </c>
      <c r="O18" s="38">
        <f>IF(VLOOKUP(O$2&amp;Income_Statement[[#This Row],[Aop]],Data[],1)=O$2&amp;Income_Statement[[#This Row],[Aop]],VLOOKUP(O$2&amp;Income_Statement[[#This Row],[Aop]],Data[],O$1)/Jedinica,"")</f>
        <v>904013</v>
      </c>
      <c r="P18" s="38">
        <f>IF(VLOOKUP(P$2&amp;Income_Statement[[#This Row],[Aop]],Data[],1)=P$2&amp;Income_Statement[[#This Row],[Aop]],VLOOKUP(P$2&amp;Income_Statement[[#This Row],[Aop]],Data[],P$1)/Jedinica,"")</f>
        <v>837362</v>
      </c>
      <c r="Q18" s="38">
        <f>IF(VLOOKUP(Q$2&amp;Income_Statement[[#This Row],[Aop]],Data[],1)=Q$2&amp;Income_Statement[[#This Row],[Aop]],VLOOKUP(Q$2&amp;Income_Statement[[#This Row],[Aop]],Data[],Q$1)/Jedinica,"")</f>
        <v>1315025</v>
      </c>
      <c r="R18" s="38">
        <f>IF(VLOOKUP(R$2&amp;Income_Statement[[#This Row],[Aop]],Data[],1)=R$2&amp;Income_Statement[[#This Row],[Aop]],VLOOKUP(R$2&amp;Income_Statement[[#This Row],[Aop]],Data[],R$1)/Jedinica,"")</f>
        <v>1206346</v>
      </c>
      <c r="S18" s="38">
        <f>IF(VLOOKUP(S$2&amp;Income_Statement[[#This Row],[Aop]],Data[],1)=S$2&amp;Income_Statement[[#This Row],[Aop]],VLOOKUP(S$2&amp;Income_Statement[[#This Row],[Aop]],Data[],S$1)/Jedinica,"")</f>
        <v>7038471</v>
      </c>
      <c r="T18" s="38">
        <f>IF(VLOOKUP(T$2&amp;Income_Statement[[#This Row],[Aop]],Data[],1)=T$2&amp;Income_Statement[[#This Row],[Aop]],VLOOKUP(T$2&amp;Income_Statement[[#This Row],[Aop]],Data[],T$1)/Jedinica,"")</f>
        <v>7026112</v>
      </c>
    </row>
    <row r="19" spans="1:20" ht="12.75" customHeight="1" x14ac:dyDescent="0.2">
      <c r="A19" s="74">
        <v>119</v>
      </c>
      <c r="B19" s="74">
        <v>3</v>
      </c>
      <c r="C19" s="78" t="str">
        <f>VLOOKUP(Income_Statement[[#This Row],[No]],AOP_Balance,3,0)</f>
        <v>213</v>
      </c>
      <c r="D19" s="52" t="str">
        <f>VLOOKUP(Income_Statement[[#This Row],[No]],AOP_Balance,7,0)</f>
        <v xml:space="preserve">      b) Prihodi od provizija</v>
      </c>
      <c r="E19" s="38">
        <f>IF(VLOOKUP(E$2&amp;Income_Statement[[#This Row],[Aop]],Data[],1)=E$2&amp;Income_Statement[[#This Row],[Aop]],VLOOKUP(E$2&amp;Income_Statement[[#This Row],[Aop]],Data[],E$1)/Jedinica,"")</f>
        <v>947406</v>
      </c>
      <c r="F19" s="38">
        <f>IF(VLOOKUP(F$2&amp;Income_Statement[[#This Row],[Aop]],Data[],1)=F$2&amp;Income_Statement[[#This Row],[Aop]],VLOOKUP(F$2&amp;Income_Statement[[#This Row],[Aop]],Data[],F$1)/Jedinica,"")</f>
        <v>956252</v>
      </c>
      <c r="G19" s="38">
        <f>IF(VLOOKUP(G$2&amp;Income_Statement[[#This Row],[Aop]],Data[],1)=G$2&amp;Income_Statement[[#This Row],[Aop]],VLOOKUP(G$2&amp;Income_Statement[[#This Row],[Aop]],Data[],G$1)/Jedinica,"")</f>
        <v>626524</v>
      </c>
      <c r="H19" s="38">
        <f>IF(VLOOKUP(H$2&amp;Income_Statement[[#This Row],[Aop]],Data[],1)=H$2&amp;Income_Statement[[#This Row],[Aop]],VLOOKUP(H$2&amp;Income_Statement[[#This Row],[Aop]],Data[],H$1)/Jedinica,"")</f>
        <v>583180</v>
      </c>
      <c r="I19" s="38">
        <f>IF(VLOOKUP(I$2&amp;Income_Statement[[#This Row],[Aop]],Data[],1)=I$2&amp;Income_Statement[[#This Row],[Aop]],VLOOKUP(I$2&amp;Income_Statement[[#This Row],[Aop]],Data[],I$1)/Jedinica,"")</f>
        <v>346442</v>
      </c>
      <c r="J19" s="38">
        <f>IF(VLOOKUP(J$2&amp;Income_Statement[[#This Row],[Aop]],Data[],1)=J$2&amp;Income_Statement[[#This Row],[Aop]],VLOOKUP(J$2&amp;Income_Statement[[#This Row],[Aop]],Data[],J$1)/Jedinica,"")</f>
        <v>176774</v>
      </c>
      <c r="K19" s="38">
        <f>IF(VLOOKUP(K$2&amp;Income_Statement[[#This Row],[Aop]],Data[],1)=K$2&amp;Income_Statement[[#This Row],[Aop]],VLOOKUP(K$2&amp;Income_Statement[[#This Row],[Aop]],Data[],K$1)/Jedinica,"")</f>
        <v>405828</v>
      </c>
      <c r="L19" s="38">
        <f>IF(VLOOKUP(L$2&amp;Income_Statement[[#This Row],[Aop]],Data[],1)=L$2&amp;Income_Statement[[#This Row],[Aop]],VLOOKUP(L$2&amp;Income_Statement[[#This Row],[Aop]],Data[],L$1)/Jedinica,"")</f>
        <v>509074</v>
      </c>
      <c r="M19" s="38">
        <f>IF(VLOOKUP(M$2&amp;Income_Statement[[#This Row],[Aop]],Data[],1)=M$2&amp;Income_Statement[[#This Row],[Aop]],VLOOKUP(M$2&amp;Income_Statement[[#This Row],[Aop]],Data[],M$1)/Jedinica,"")</f>
        <v>5895449</v>
      </c>
      <c r="N19" s="38">
        <f>IF(VLOOKUP(N$2&amp;Income_Statement[[#This Row],[Aop]],Data[],1)=N$2&amp;Income_Statement[[#This Row],[Aop]],VLOOKUP(N$2&amp;Income_Statement[[#This Row],[Aop]],Data[],N$1)/Jedinica,"")</f>
        <v>3375758</v>
      </c>
      <c r="O19" s="38">
        <f>IF(VLOOKUP(O$2&amp;Income_Statement[[#This Row],[Aop]],Data[],1)=O$2&amp;Income_Statement[[#This Row],[Aop]],VLOOKUP(O$2&amp;Income_Statement[[#This Row],[Aop]],Data[],O$1)/Jedinica,"")</f>
        <v>405828</v>
      </c>
      <c r="P19" s="38">
        <f>IF(VLOOKUP(P$2&amp;Income_Statement[[#This Row],[Aop]],Data[],1)=P$2&amp;Income_Statement[[#This Row],[Aop]],VLOOKUP(P$2&amp;Income_Statement[[#This Row],[Aop]],Data[],P$1)/Jedinica,"")</f>
        <v>509074</v>
      </c>
      <c r="Q19" s="38">
        <f>IF(VLOOKUP(Q$2&amp;Income_Statement[[#This Row],[Aop]],Data[],1)=Q$2&amp;Income_Statement[[#This Row],[Aop]],VLOOKUP(Q$2&amp;Income_Statement[[#This Row],[Aop]],Data[],Q$1)/Jedinica,"")</f>
        <v>923102</v>
      </c>
      <c r="R19" s="38">
        <f>IF(VLOOKUP(R$2&amp;Income_Statement[[#This Row],[Aop]],Data[],1)=R$2&amp;Income_Statement[[#This Row],[Aop]],VLOOKUP(R$2&amp;Income_Statement[[#This Row],[Aop]],Data[],R$1)/Jedinica,"")</f>
        <v>596481</v>
      </c>
      <c r="S19" s="38">
        <f>IF(VLOOKUP(S$2&amp;Income_Statement[[#This Row],[Aop]],Data[],1)=S$2&amp;Income_Statement[[#This Row],[Aop]],VLOOKUP(S$2&amp;Income_Statement[[#This Row],[Aop]],Data[],S$1)/Jedinica,"")</f>
        <v>1666212</v>
      </c>
      <c r="T19" s="38">
        <f>IF(VLOOKUP(T$2&amp;Income_Statement[[#This Row],[Aop]],Data[],1)=T$2&amp;Income_Statement[[#This Row],[Aop]],VLOOKUP(T$2&amp;Income_Statement[[#This Row],[Aop]],Data[],T$1)/Jedinica,"")</f>
        <v>1799720</v>
      </c>
    </row>
    <row r="20" spans="1:20" ht="12.75" customHeight="1" x14ac:dyDescent="0.2">
      <c r="A20" s="74">
        <v>120</v>
      </c>
      <c r="B20" s="74">
        <v>3</v>
      </c>
      <c r="C20" s="78" t="str">
        <f>VLOOKUP(Income_Statement[[#This Row],[No]],AOP_Balance,3,0)</f>
        <v>214</v>
      </c>
      <c r="D20" s="52" t="str">
        <f>VLOOKUP(Income_Statement[[#This Row],[No]],AOP_Balance,7,0)</f>
        <v xml:space="preserve">      v) Prihodi od ostalih naknada</v>
      </c>
      <c r="E20" s="38">
        <f>IF(VLOOKUP(E$2&amp;Income_Statement[[#This Row],[Aop]],Data[],1)=E$2&amp;Income_Statement[[#This Row],[Aop]],VLOOKUP(E$2&amp;Income_Statement[[#This Row],[Aop]],Data[],E$1)/Jedinica,"")</f>
        <v>1206916</v>
      </c>
      <c r="F20" s="38">
        <f>IF(VLOOKUP(F$2&amp;Income_Statement[[#This Row],[Aop]],Data[],1)=F$2&amp;Income_Statement[[#This Row],[Aop]],VLOOKUP(F$2&amp;Income_Statement[[#This Row],[Aop]],Data[],F$1)/Jedinica,"")</f>
        <v>1233132</v>
      </c>
      <c r="G20" s="38">
        <f>IF(VLOOKUP(G$2&amp;Income_Statement[[#This Row],[Aop]],Data[],1)=G$2&amp;Income_Statement[[#This Row],[Aop]],VLOOKUP(G$2&amp;Income_Statement[[#This Row],[Aop]],Data[],G$1)/Jedinica,"")</f>
        <v>2396005</v>
      </c>
      <c r="H20" s="38">
        <f>IF(VLOOKUP(H$2&amp;Income_Statement[[#This Row],[Aop]],Data[],1)=H$2&amp;Income_Statement[[#This Row],[Aop]],VLOOKUP(H$2&amp;Income_Statement[[#This Row],[Aop]],Data[],H$1)/Jedinica,"")</f>
        <v>3350460</v>
      </c>
      <c r="I20" s="38">
        <f>IF(VLOOKUP(I$2&amp;Income_Statement[[#This Row],[Aop]],Data[],1)=I$2&amp;Income_Statement[[#This Row],[Aop]],VLOOKUP(I$2&amp;Income_Statement[[#This Row],[Aop]],Data[],I$1)/Jedinica,"")</f>
        <v>199636</v>
      </c>
      <c r="J20" s="38">
        <f>IF(VLOOKUP(J$2&amp;Income_Statement[[#This Row],[Aop]],Data[],1)=J$2&amp;Income_Statement[[#This Row],[Aop]],VLOOKUP(J$2&amp;Income_Statement[[#This Row],[Aop]],Data[],J$1)/Jedinica,"")</f>
        <v>134716</v>
      </c>
      <c r="K20" s="38">
        <f>IF(VLOOKUP(K$2&amp;Income_Statement[[#This Row],[Aop]],Data[],1)=K$2&amp;Income_Statement[[#This Row],[Aop]],VLOOKUP(K$2&amp;Income_Statement[[#This Row],[Aop]],Data[],K$1)/Jedinica,"")</f>
        <v>157922</v>
      </c>
      <c r="L20" s="38">
        <f>IF(VLOOKUP(L$2&amp;Income_Statement[[#This Row],[Aop]],Data[],1)=L$2&amp;Income_Statement[[#This Row],[Aop]],VLOOKUP(L$2&amp;Income_Statement[[#This Row],[Aop]],Data[],L$1)/Jedinica,"")</f>
        <v>152268</v>
      </c>
      <c r="M20" s="38">
        <f>IF(VLOOKUP(M$2&amp;Income_Statement[[#This Row],[Aop]],Data[],1)=M$2&amp;Income_Statement[[#This Row],[Aop]],VLOOKUP(M$2&amp;Income_Statement[[#This Row],[Aop]],Data[],M$1)/Jedinica,"")</f>
        <v>3260675</v>
      </c>
      <c r="N20" s="38">
        <f>IF(VLOOKUP(N$2&amp;Income_Statement[[#This Row],[Aop]],Data[],1)=N$2&amp;Income_Statement[[#This Row],[Aop]],VLOOKUP(N$2&amp;Income_Statement[[#This Row],[Aop]],Data[],N$1)/Jedinica,"")</f>
        <v>2157958</v>
      </c>
      <c r="O20" s="38">
        <f>IF(VLOOKUP(O$2&amp;Income_Statement[[#This Row],[Aop]],Data[],1)=O$2&amp;Income_Statement[[#This Row],[Aop]],VLOOKUP(O$2&amp;Income_Statement[[#This Row],[Aop]],Data[],O$1)/Jedinica,"")</f>
        <v>157922</v>
      </c>
      <c r="P20" s="38">
        <f>IF(VLOOKUP(P$2&amp;Income_Statement[[#This Row],[Aop]],Data[],1)=P$2&amp;Income_Statement[[#This Row],[Aop]],VLOOKUP(P$2&amp;Income_Statement[[#This Row],[Aop]],Data[],P$1)/Jedinica,"")</f>
        <v>152268</v>
      </c>
      <c r="Q20" s="38">
        <f>IF(VLOOKUP(Q$2&amp;Income_Statement[[#This Row],[Aop]],Data[],1)=Q$2&amp;Income_Statement[[#This Row],[Aop]],VLOOKUP(Q$2&amp;Income_Statement[[#This Row],[Aop]],Data[],Q$1)/Jedinica,"")</f>
        <v>436625</v>
      </c>
      <c r="R20" s="38">
        <f>IF(VLOOKUP(R$2&amp;Income_Statement[[#This Row],[Aop]],Data[],1)=R$2&amp;Income_Statement[[#This Row],[Aop]],VLOOKUP(R$2&amp;Income_Statement[[#This Row],[Aop]],Data[],R$1)/Jedinica,"")</f>
        <v>389685</v>
      </c>
      <c r="S20" s="38">
        <f>IF(VLOOKUP(S$2&amp;Income_Statement[[#This Row],[Aop]],Data[],1)=S$2&amp;Income_Statement[[#This Row],[Aop]],VLOOKUP(S$2&amp;Income_Statement[[#This Row],[Aop]],Data[],S$1)/Jedinica,"")</f>
        <v>987688</v>
      </c>
      <c r="T20" s="38">
        <f>IF(VLOOKUP(T$2&amp;Income_Statement[[#This Row],[Aop]],Data[],1)=T$2&amp;Income_Statement[[#This Row],[Aop]],VLOOKUP(T$2&amp;Income_Statement[[#This Row],[Aop]],Data[],T$1)/Jedinica,"")</f>
        <v>598412</v>
      </c>
    </row>
    <row r="21" spans="1:20" ht="12.75" customHeight="1" x14ac:dyDescent="0.2">
      <c r="A21" s="74">
        <v>121</v>
      </c>
      <c r="B21" s="74">
        <v>2</v>
      </c>
      <c r="C21" s="78" t="str">
        <f>VLOOKUP(Income_Statement[[#This Row],[No]],AOP_Balance,3,0)</f>
        <v>215</v>
      </c>
      <c r="D21" s="52" t="str">
        <f>VLOOKUP(Income_Statement[[#This Row],[No]],AOP_Balance,7,0)</f>
        <v xml:space="preserve">    6. Rashodi od naknada i provizija (216-218)</v>
      </c>
      <c r="E21" s="38">
        <f>IF(VLOOKUP(E$2&amp;Income_Statement[[#This Row],[Aop]],Data[],1)=E$2&amp;Income_Statement[[#This Row],[Aop]],VLOOKUP(E$2&amp;Income_Statement[[#This Row],[Aop]],Data[],E$1)/Jedinica,"")</f>
        <v>461259</v>
      </c>
      <c r="F21" s="38">
        <f>IF(VLOOKUP(F$2&amp;Income_Statement[[#This Row],[Aop]],Data[],1)=F$2&amp;Income_Statement[[#This Row],[Aop]],VLOOKUP(F$2&amp;Income_Statement[[#This Row],[Aop]],Data[],F$1)/Jedinica,"")</f>
        <v>445071</v>
      </c>
      <c r="G21" s="38">
        <f>IF(VLOOKUP(G$2&amp;Income_Statement[[#This Row],[Aop]],Data[],1)=G$2&amp;Income_Statement[[#This Row],[Aop]],VLOOKUP(G$2&amp;Income_Statement[[#This Row],[Aop]],Data[],G$1)/Jedinica,"")</f>
        <v>1594180</v>
      </c>
      <c r="H21" s="38">
        <f>IF(VLOOKUP(H$2&amp;Income_Statement[[#This Row],[Aop]],Data[],1)=H$2&amp;Income_Statement[[#This Row],[Aop]],VLOOKUP(H$2&amp;Income_Statement[[#This Row],[Aop]],Data[],H$1)/Jedinica,"")</f>
        <v>2642632</v>
      </c>
      <c r="I21" s="38">
        <f>IF(VLOOKUP(I$2&amp;Income_Statement[[#This Row],[Aop]],Data[],1)=I$2&amp;Income_Statement[[#This Row],[Aop]],VLOOKUP(I$2&amp;Income_Statement[[#This Row],[Aop]],Data[],I$1)/Jedinica,"")</f>
        <v>200938</v>
      </c>
      <c r="J21" s="38">
        <f>IF(VLOOKUP(J$2&amp;Income_Statement[[#This Row],[Aop]],Data[],1)=J$2&amp;Income_Statement[[#This Row],[Aop]],VLOOKUP(J$2&amp;Income_Statement[[#This Row],[Aop]],Data[],J$1)/Jedinica,"")</f>
        <v>83840</v>
      </c>
      <c r="K21" s="38">
        <f>IF(VLOOKUP(K$2&amp;Income_Statement[[#This Row],[Aop]],Data[],1)=K$2&amp;Income_Statement[[#This Row],[Aop]],VLOOKUP(K$2&amp;Income_Statement[[#This Row],[Aop]],Data[],K$1)/Jedinica,"")</f>
        <v>354407</v>
      </c>
      <c r="L21" s="38">
        <f>IF(VLOOKUP(L$2&amp;Income_Statement[[#This Row],[Aop]],Data[],1)=L$2&amp;Income_Statement[[#This Row],[Aop]],VLOOKUP(L$2&amp;Income_Statement[[#This Row],[Aop]],Data[],L$1)/Jedinica,"")</f>
        <v>388746</v>
      </c>
      <c r="M21" s="38">
        <f>IF(VLOOKUP(M$2&amp;Income_Statement[[#This Row],[Aop]],Data[],1)=M$2&amp;Income_Statement[[#This Row],[Aop]],VLOOKUP(M$2&amp;Income_Statement[[#This Row],[Aop]],Data[],M$1)/Jedinica,"")</f>
        <v>1908441</v>
      </c>
      <c r="N21" s="38">
        <f>IF(VLOOKUP(N$2&amp;Income_Statement[[#This Row],[Aop]],Data[],1)=N$2&amp;Income_Statement[[#This Row],[Aop]],VLOOKUP(N$2&amp;Income_Statement[[#This Row],[Aop]],Data[],N$1)/Jedinica,"")</f>
        <v>1673983</v>
      </c>
      <c r="O21" s="38">
        <f>IF(VLOOKUP(O$2&amp;Income_Statement[[#This Row],[Aop]],Data[],1)=O$2&amp;Income_Statement[[#This Row],[Aop]],VLOOKUP(O$2&amp;Income_Statement[[#This Row],[Aop]],Data[],O$1)/Jedinica,"")</f>
        <v>354407</v>
      </c>
      <c r="P21" s="38">
        <f>IF(VLOOKUP(P$2&amp;Income_Statement[[#This Row],[Aop]],Data[],1)=P$2&amp;Income_Statement[[#This Row],[Aop]],VLOOKUP(P$2&amp;Income_Statement[[#This Row],[Aop]],Data[],P$1)/Jedinica,"")</f>
        <v>388746</v>
      </c>
      <c r="Q21" s="38">
        <f>IF(VLOOKUP(Q$2&amp;Income_Statement[[#This Row],[Aop]],Data[],1)=Q$2&amp;Income_Statement[[#This Row],[Aop]],VLOOKUP(Q$2&amp;Income_Statement[[#This Row],[Aop]],Data[],Q$1)/Jedinica,"")</f>
        <v>220895</v>
      </c>
      <c r="R21" s="38">
        <f>IF(VLOOKUP(R$2&amp;Income_Statement[[#This Row],[Aop]],Data[],1)=R$2&amp;Income_Statement[[#This Row],[Aop]],VLOOKUP(R$2&amp;Income_Statement[[#This Row],[Aop]],Data[],R$1)/Jedinica,"")</f>
        <v>192461</v>
      </c>
      <c r="S21" s="38">
        <f>IF(VLOOKUP(S$2&amp;Income_Statement[[#This Row],[Aop]],Data[],1)=S$2&amp;Income_Statement[[#This Row],[Aop]],VLOOKUP(S$2&amp;Income_Statement[[#This Row],[Aop]],Data[],S$1)/Jedinica,"")</f>
        <v>2144463</v>
      </c>
      <c r="T21" s="38">
        <f>IF(VLOOKUP(T$2&amp;Income_Statement[[#This Row],[Aop]],Data[],1)=T$2&amp;Income_Statement[[#This Row],[Aop]],VLOOKUP(T$2&amp;Income_Statement[[#This Row],[Aop]],Data[],T$1)/Jedinica,"")</f>
        <v>2165943</v>
      </c>
    </row>
    <row r="22" spans="1:20" ht="12.75" customHeight="1" x14ac:dyDescent="0.2">
      <c r="A22" s="74">
        <v>122</v>
      </c>
      <c r="B22" s="74">
        <v>3</v>
      </c>
      <c r="C22" s="78" t="str">
        <f>VLOOKUP(Income_Statement[[#This Row],[No]],AOP_Balance,3,0)</f>
        <v>216</v>
      </c>
      <c r="D22" s="52" t="str">
        <f>VLOOKUP(Income_Statement[[#This Row],[No]],AOP_Balance,7,0)</f>
        <v xml:space="preserve">      a) Rashodi naknada i provizija u domaćoj valuti</v>
      </c>
      <c r="E22" s="38">
        <f>IF(VLOOKUP(E$2&amp;Income_Statement[[#This Row],[Aop]],Data[],1)=E$2&amp;Income_Statement[[#This Row],[Aop]],VLOOKUP(E$2&amp;Income_Statement[[#This Row],[Aop]],Data[],E$1)/Jedinica,"")</f>
        <v>98293</v>
      </c>
      <c r="F22" s="38">
        <f>IF(VLOOKUP(F$2&amp;Income_Statement[[#This Row],[Aop]],Data[],1)=F$2&amp;Income_Statement[[#This Row],[Aop]],VLOOKUP(F$2&amp;Income_Statement[[#This Row],[Aop]],Data[],F$1)/Jedinica,"")</f>
        <v>115701</v>
      </c>
      <c r="G22" s="38">
        <f>IF(VLOOKUP(G$2&amp;Income_Statement[[#This Row],[Aop]],Data[],1)=G$2&amp;Income_Statement[[#This Row],[Aop]],VLOOKUP(G$2&amp;Income_Statement[[#This Row],[Aop]],Data[],G$1)/Jedinica,"")</f>
        <v>105764</v>
      </c>
      <c r="H22" s="38">
        <f>IF(VLOOKUP(H$2&amp;Income_Statement[[#This Row],[Aop]],Data[],1)=H$2&amp;Income_Statement[[#This Row],[Aop]],VLOOKUP(H$2&amp;Income_Statement[[#This Row],[Aop]],Data[],H$1)/Jedinica,"")</f>
        <v>93975</v>
      </c>
      <c r="I22" s="38">
        <f>IF(VLOOKUP(I$2&amp;Income_Statement[[#This Row],[Aop]],Data[],1)=I$2&amp;Income_Statement[[#This Row],[Aop]],VLOOKUP(I$2&amp;Income_Statement[[#This Row],[Aop]],Data[],I$1)/Jedinica,"")</f>
        <v>59</v>
      </c>
      <c r="J22" s="38">
        <f>IF(VLOOKUP(J$2&amp;Income_Statement[[#This Row],[Aop]],Data[],1)=J$2&amp;Income_Statement[[#This Row],[Aop]],VLOOKUP(J$2&amp;Income_Statement[[#This Row],[Aop]],Data[],J$1)/Jedinica,"")</f>
        <v>0</v>
      </c>
      <c r="K22" s="38">
        <f>IF(VLOOKUP(K$2&amp;Income_Statement[[#This Row],[Aop]],Data[],1)=K$2&amp;Income_Statement[[#This Row],[Aop]],VLOOKUP(K$2&amp;Income_Statement[[#This Row],[Aop]],Data[],K$1)/Jedinica,"")</f>
        <v>100276</v>
      </c>
      <c r="L22" s="38">
        <f>IF(VLOOKUP(L$2&amp;Income_Statement[[#This Row],[Aop]],Data[],1)=L$2&amp;Income_Statement[[#This Row],[Aop]],VLOOKUP(L$2&amp;Income_Statement[[#This Row],[Aop]],Data[],L$1)/Jedinica,"")</f>
        <v>101165</v>
      </c>
      <c r="M22" s="38">
        <f>IF(VLOOKUP(M$2&amp;Income_Statement[[#This Row],[Aop]],Data[],1)=M$2&amp;Income_Statement[[#This Row],[Aop]],VLOOKUP(M$2&amp;Income_Statement[[#This Row],[Aop]],Data[],M$1)/Jedinica,"")</f>
        <v>235048</v>
      </c>
      <c r="N22" s="38">
        <f>IF(VLOOKUP(N$2&amp;Income_Statement[[#This Row],[Aop]],Data[],1)=N$2&amp;Income_Statement[[#This Row],[Aop]],VLOOKUP(N$2&amp;Income_Statement[[#This Row],[Aop]],Data[],N$1)/Jedinica,"")</f>
        <v>226889</v>
      </c>
      <c r="O22" s="38">
        <f>IF(VLOOKUP(O$2&amp;Income_Statement[[#This Row],[Aop]],Data[],1)=O$2&amp;Income_Statement[[#This Row],[Aop]],VLOOKUP(O$2&amp;Income_Statement[[#This Row],[Aop]],Data[],O$1)/Jedinica,"")</f>
        <v>100276</v>
      </c>
      <c r="P22" s="38">
        <f>IF(VLOOKUP(P$2&amp;Income_Statement[[#This Row],[Aop]],Data[],1)=P$2&amp;Income_Statement[[#This Row],[Aop]],VLOOKUP(P$2&amp;Income_Statement[[#This Row],[Aop]],Data[],P$1)/Jedinica,"")</f>
        <v>101165</v>
      </c>
      <c r="Q22" s="38">
        <f>IF(VLOOKUP(Q$2&amp;Income_Statement[[#This Row],[Aop]],Data[],1)=Q$2&amp;Income_Statement[[#This Row],[Aop]],VLOOKUP(Q$2&amp;Income_Statement[[#This Row],[Aop]],Data[],Q$1)/Jedinica,"")</f>
        <v>147802</v>
      </c>
      <c r="R22" s="38">
        <f>IF(VLOOKUP(R$2&amp;Income_Statement[[#This Row],[Aop]],Data[],1)=R$2&amp;Income_Statement[[#This Row],[Aop]],VLOOKUP(R$2&amp;Income_Statement[[#This Row],[Aop]],Data[],R$1)/Jedinica,"")</f>
        <v>158427</v>
      </c>
      <c r="S22" s="38">
        <f>IF(VLOOKUP(S$2&amp;Income_Statement[[#This Row],[Aop]],Data[],1)=S$2&amp;Income_Statement[[#This Row],[Aop]],VLOOKUP(S$2&amp;Income_Statement[[#This Row],[Aop]],Data[],S$1)/Jedinica,"")</f>
        <v>1119734</v>
      </c>
      <c r="T22" s="38">
        <f>IF(VLOOKUP(T$2&amp;Income_Statement[[#This Row],[Aop]],Data[],1)=T$2&amp;Income_Statement[[#This Row],[Aop]],VLOOKUP(T$2&amp;Income_Statement[[#This Row],[Aop]],Data[],T$1)/Jedinica,"")</f>
        <v>1234036</v>
      </c>
    </row>
    <row r="23" spans="1:20" ht="12.75" customHeight="1" x14ac:dyDescent="0.2">
      <c r="A23" s="74">
        <v>123</v>
      </c>
      <c r="B23" s="74">
        <v>3</v>
      </c>
      <c r="C23" s="78" t="str">
        <f>VLOOKUP(Income_Statement[[#This Row],[No]],AOP_Balance,3,0)</f>
        <v>217</v>
      </c>
      <c r="D23" s="52" t="str">
        <f>VLOOKUP(Income_Statement[[#This Row],[No]],AOP_Balance,7,0)</f>
        <v xml:space="preserve">      b) Rashodi naknada i provizija u stranoj valuti</v>
      </c>
      <c r="E23" s="38">
        <f>IF(VLOOKUP(E$2&amp;Income_Statement[[#This Row],[Aop]],Data[],1)=E$2&amp;Income_Statement[[#This Row],[Aop]],VLOOKUP(E$2&amp;Income_Statement[[#This Row],[Aop]],Data[],E$1)/Jedinica,"")</f>
        <v>11189</v>
      </c>
      <c r="F23" s="38">
        <f>IF(VLOOKUP(F$2&amp;Income_Statement[[#This Row],[Aop]],Data[],1)=F$2&amp;Income_Statement[[#This Row],[Aop]],VLOOKUP(F$2&amp;Income_Statement[[#This Row],[Aop]],Data[],F$1)/Jedinica,"")</f>
        <v>11854</v>
      </c>
      <c r="G23" s="38">
        <f>IF(VLOOKUP(G$2&amp;Income_Statement[[#This Row],[Aop]],Data[],1)=G$2&amp;Income_Statement[[#This Row],[Aop]],VLOOKUP(G$2&amp;Income_Statement[[#This Row],[Aop]],Data[],G$1)/Jedinica,"")</f>
        <v>98916</v>
      </c>
      <c r="H23" s="38">
        <f>IF(VLOOKUP(H$2&amp;Income_Statement[[#This Row],[Aop]],Data[],1)=H$2&amp;Income_Statement[[#This Row],[Aop]],VLOOKUP(H$2&amp;Income_Statement[[#This Row],[Aop]],Data[],H$1)/Jedinica,"")</f>
        <v>103373</v>
      </c>
      <c r="I23" s="38">
        <f>IF(VLOOKUP(I$2&amp;Income_Statement[[#This Row],[Aop]],Data[],1)=I$2&amp;Income_Statement[[#This Row],[Aop]],VLOOKUP(I$2&amp;Income_Statement[[#This Row],[Aop]],Data[],I$1)/Jedinica,"")</f>
        <v>43463</v>
      </c>
      <c r="J23" s="38">
        <f>IF(VLOOKUP(J$2&amp;Income_Statement[[#This Row],[Aop]],Data[],1)=J$2&amp;Income_Statement[[#This Row],[Aop]],VLOOKUP(J$2&amp;Income_Statement[[#This Row],[Aop]],Data[],J$1)/Jedinica,"")</f>
        <v>4325</v>
      </c>
      <c r="K23" s="38">
        <f>IF(VLOOKUP(K$2&amp;Income_Statement[[#This Row],[Aop]],Data[],1)=K$2&amp;Income_Statement[[#This Row],[Aop]],VLOOKUP(K$2&amp;Income_Statement[[#This Row],[Aop]],Data[],K$1)/Jedinica,"")</f>
        <v>47297</v>
      </c>
      <c r="L23" s="38">
        <f>IF(VLOOKUP(L$2&amp;Income_Statement[[#This Row],[Aop]],Data[],1)=L$2&amp;Income_Statement[[#This Row],[Aop]],VLOOKUP(L$2&amp;Income_Statement[[#This Row],[Aop]],Data[],L$1)/Jedinica,"")</f>
        <v>38209</v>
      </c>
      <c r="M23" s="38">
        <f>IF(VLOOKUP(M$2&amp;Income_Statement[[#This Row],[Aop]],Data[],1)=M$2&amp;Income_Statement[[#This Row],[Aop]],VLOOKUP(M$2&amp;Income_Statement[[#This Row],[Aop]],Data[],M$1)/Jedinica,"")</f>
        <v>34260</v>
      </c>
      <c r="N23" s="38">
        <f>IF(VLOOKUP(N$2&amp;Income_Statement[[#This Row],[Aop]],Data[],1)=N$2&amp;Income_Statement[[#This Row],[Aop]],VLOOKUP(N$2&amp;Income_Statement[[#This Row],[Aop]],Data[],N$1)/Jedinica,"")</f>
        <v>61256</v>
      </c>
      <c r="O23" s="38">
        <f>IF(VLOOKUP(O$2&amp;Income_Statement[[#This Row],[Aop]],Data[],1)=O$2&amp;Income_Statement[[#This Row],[Aop]],VLOOKUP(O$2&amp;Income_Statement[[#This Row],[Aop]],Data[],O$1)/Jedinica,"")</f>
        <v>47297</v>
      </c>
      <c r="P23" s="38">
        <f>IF(VLOOKUP(P$2&amp;Income_Statement[[#This Row],[Aop]],Data[],1)=P$2&amp;Income_Statement[[#This Row],[Aop]],VLOOKUP(P$2&amp;Income_Statement[[#This Row],[Aop]],Data[],P$1)/Jedinica,"")</f>
        <v>38209</v>
      </c>
      <c r="Q23" s="38">
        <f>IF(VLOOKUP(Q$2&amp;Income_Statement[[#This Row],[Aop]],Data[],1)=Q$2&amp;Income_Statement[[#This Row],[Aop]],VLOOKUP(Q$2&amp;Income_Statement[[#This Row],[Aop]],Data[],Q$1)/Jedinica,"")</f>
        <v>20122</v>
      </c>
      <c r="R23" s="38">
        <f>IF(VLOOKUP(R$2&amp;Income_Statement[[#This Row],[Aop]],Data[],1)=R$2&amp;Income_Statement[[#This Row],[Aop]],VLOOKUP(R$2&amp;Income_Statement[[#This Row],[Aop]],Data[],R$1)/Jedinica,"")</f>
        <v>14392</v>
      </c>
      <c r="S23" s="38">
        <f>IF(VLOOKUP(S$2&amp;Income_Statement[[#This Row],[Aop]],Data[],1)=S$2&amp;Income_Statement[[#This Row],[Aop]],VLOOKUP(S$2&amp;Income_Statement[[#This Row],[Aop]],Data[],S$1)/Jedinica,"")</f>
        <v>104734</v>
      </c>
      <c r="T23" s="38">
        <f>IF(VLOOKUP(T$2&amp;Income_Statement[[#This Row],[Aop]],Data[],1)=T$2&amp;Income_Statement[[#This Row],[Aop]],VLOOKUP(T$2&amp;Income_Statement[[#This Row],[Aop]],Data[],T$1)/Jedinica,"")</f>
        <v>108598</v>
      </c>
    </row>
    <row r="24" spans="1:20" ht="12.75" customHeight="1" x14ac:dyDescent="0.2">
      <c r="A24" s="74">
        <v>124</v>
      </c>
      <c r="B24" s="74">
        <v>3</v>
      </c>
      <c r="C24" s="78" t="str">
        <f>VLOOKUP(Income_Statement[[#This Row],[No]],AOP_Balance,3,0)</f>
        <v>218</v>
      </c>
      <c r="D24" s="52" t="str">
        <f>VLOOKUP(Income_Statement[[#This Row],[No]],AOP_Balance,7,0)</f>
        <v xml:space="preserve">      v) Rashodi ostalih naknada i provizija</v>
      </c>
      <c r="E24" s="38">
        <f>IF(VLOOKUP(E$2&amp;Income_Statement[[#This Row],[Aop]],Data[],1)=E$2&amp;Income_Statement[[#This Row],[Aop]],VLOOKUP(E$2&amp;Income_Statement[[#This Row],[Aop]],Data[],E$1)/Jedinica,"")</f>
        <v>351777</v>
      </c>
      <c r="F24" s="38">
        <f>IF(VLOOKUP(F$2&amp;Income_Statement[[#This Row],[Aop]],Data[],1)=F$2&amp;Income_Statement[[#This Row],[Aop]],VLOOKUP(F$2&amp;Income_Statement[[#This Row],[Aop]],Data[],F$1)/Jedinica,"")</f>
        <v>317516</v>
      </c>
      <c r="G24" s="38">
        <f>IF(VLOOKUP(G$2&amp;Income_Statement[[#This Row],[Aop]],Data[],1)=G$2&amp;Income_Statement[[#This Row],[Aop]],VLOOKUP(G$2&amp;Income_Statement[[#This Row],[Aop]],Data[],G$1)/Jedinica,"")</f>
        <v>1389500</v>
      </c>
      <c r="H24" s="38">
        <f>IF(VLOOKUP(H$2&amp;Income_Statement[[#This Row],[Aop]],Data[],1)=H$2&amp;Income_Statement[[#This Row],[Aop]],VLOOKUP(H$2&amp;Income_Statement[[#This Row],[Aop]],Data[],H$1)/Jedinica,"")</f>
        <v>2445284</v>
      </c>
      <c r="I24" s="38">
        <f>IF(VLOOKUP(I$2&amp;Income_Statement[[#This Row],[Aop]],Data[],1)=I$2&amp;Income_Statement[[#This Row],[Aop]],VLOOKUP(I$2&amp;Income_Statement[[#This Row],[Aop]],Data[],I$1)/Jedinica,"")</f>
        <v>157416</v>
      </c>
      <c r="J24" s="38">
        <f>IF(VLOOKUP(J$2&amp;Income_Statement[[#This Row],[Aop]],Data[],1)=J$2&amp;Income_Statement[[#This Row],[Aop]],VLOOKUP(J$2&amp;Income_Statement[[#This Row],[Aop]],Data[],J$1)/Jedinica,"")</f>
        <v>79515</v>
      </c>
      <c r="K24" s="38">
        <f>IF(VLOOKUP(K$2&amp;Income_Statement[[#This Row],[Aop]],Data[],1)=K$2&amp;Income_Statement[[#This Row],[Aop]],VLOOKUP(K$2&amp;Income_Statement[[#This Row],[Aop]],Data[],K$1)/Jedinica,"")</f>
        <v>206834</v>
      </c>
      <c r="L24" s="38">
        <f>IF(VLOOKUP(L$2&amp;Income_Statement[[#This Row],[Aop]],Data[],1)=L$2&amp;Income_Statement[[#This Row],[Aop]],VLOOKUP(L$2&amp;Income_Statement[[#This Row],[Aop]],Data[],L$1)/Jedinica,"")</f>
        <v>249372</v>
      </c>
      <c r="M24" s="38">
        <f>IF(VLOOKUP(M$2&amp;Income_Statement[[#This Row],[Aop]],Data[],1)=M$2&amp;Income_Statement[[#This Row],[Aop]],VLOOKUP(M$2&amp;Income_Statement[[#This Row],[Aop]],Data[],M$1)/Jedinica,"")</f>
        <v>1639133</v>
      </c>
      <c r="N24" s="38">
        <f>IF(VLOOKUP(N$2&amp;Income_Statement[[#This Row],[Aop]],Data[],1)=N$2&amp;Income_Statement[[#This Row],[Aop]],VLOOKUP(N$2&amp;Income_Statement[[#This Row],[Aop]],Data[],N$1)/Jedinica,"")</f>
        <v>1385838</v>
      </c>
      <c r="O24" s="38">
        <f>IF(VLOOKUP(O$2&amp;Income_Statement[[#This Row],[Aop]],Data[],1)=O$2&amp;Income_Statement[[#This Row],[Aop]],VLOOKUP(O$2&amp;Income_Statement[[#This Row],[Aop]],Data[],O$1)/Jedinica,"")</f>
        <v>206834</v>
      </c>
      <c r="P24" s="38">
        <f>IF(VLOOKUP(P$2&amp;Income_Statement[[#This Row],[Aop]],Data[],1)=P$2&amp;Income_Statement[[#This Row],[Aop]],VLOOKUP(P$2&amp;Income_Statement[[#This Row],[Aop]],Data[],P$1)/Jedinica,"")</f>
        <v>249372</v>
      </c>
      <c r="Q24" s="38">
        <f>IF(VLOOKUP(Q$2&amp;Income_Statement[[#This Row],[Aop]],Data[],1)=Q$2&amp;Income_Statement[[#This Row],[Aop]],VLOOKUP(Q$2&amp;Income_Statement[[#This Row],[Aop]],Data[],Q$1)/Jedinica,"")</f>
        <v>52971</v>
      </c>
      <c r="R24" s="38">
        <f>IF(VLOOKUP(R$2&amp;Income_Statement[[#This Row],[Aop]],Data[],1)=R$2&amp;Income_Statement[[#This Row],[Aop]],VLOOKUP(R$2&amp;Income_Statement[[#This Row],[Aop]],Data[],R$1)/Jedinica,"")</f>
        <v>19642</v>
      </c>
      <c r="S24" s="38">
        <f>IF(VLOOKUP(S$2&amp;Income_Statement[[#This Row],[Aop]],Data[],1)=S$2&amp;Income_Statement[[#This Row],[Aop]],VLOOKUP(S$2&amp;Income_Statement[[#This Row],[Aop]],Data[],S$1)/Jedinica,"")</f>
        <v>919995</v>
      </c>
      <c r="T24" s="38">
        <f>IF(VLOOKUP(T$2&amp;Income_Statement[[#This Row],[Aop]],Data[],1)=T$2&amp;Income_Statement[[#This Row],[Aop]],VLOOKUP(T$2&amp;Income_Statement[[#This Row],[Aop]],Data[],T$1)/Jedinica,"")</f>
        <v>823309</v>
      </c>
    </row>
    <row r="25" spans="1:20" ht="12.75" customHeight="1" x14ac:dyDescent="0.2">
      <c r="A25" s="74">
        <v>125</v>
      </c>
      <c r="B25" s="74">
        <v>2</v>
      </c>
      <c r="C25" s="78" t="str">
        <f>VLOOKUP(Income_Statement[[#This Row],[No]],AOP_Balance,3,0)</f>
        <v>219</v>
      </c>
      <c r="D25" s="52" t="str">
        <f>VLOOKUP(Income_Statement[[#This Row],[No]],AOP_Balance,7,0)</f>
        <v xml:space="preserve">    7. Neto prihodi po osnovu naknada i provizija (211-215)</v>
      </c>
      <c r="E25" s="38">
        <f>IF(VLOOKUP(E$2&amp;Income_Statement[[#This Row],[Aop]],Data[],1)=E$2&amp;Income_Statement[[#This Row],[Aop]],VLOOKUP(E$2&amp;Income_Statement[[#This Row],[Aop]],Data[],E$1)/Jedinica,"")</f>
        <v>2029814</v>
      </c>
      <c r="F25" s="38">
        <f>IF(VLOOKUP(F$2&amp;Income_Statement[[#This Row],[Aop]],Data[],1)=F$2&amp;Income_Statement[[#This Row],[Aop]],VLOOKUP(F$2&amp;Income_Statement[[#This Row],[Aop]],Data[],F$1)/Jedinica,"")</f>
        <v>2078169</v>
      </c>
      <c r="G25" s="38">
        <f>IF(VLOOKUP(G$2&amp;Income_Statement[[#This Row],[Aop]],Data[],1)=G$2&amp;Income_Statement[[#This Row],[Aop]],VLOOKUP(G$2&amp;Income_Statement[[#This Row],[Aop]],Data[],G$1)/Jedinica,"")</f>
        <v>2110420</v>
      </c>
      <c r="H25" s="38">
        <f>IF(VLOOKUP(H$2&amp;Income_Statement[[#This Row],[Aop]],Data[],1)=H$2&amp;Income_Statement[[#This Row],[Aop]],VLOOKUP(H$2&amp;Income_Statement[[#This Row],[Aop]],Data[],H$1)/Jedinica,"")</f>
        <v>1942568</v>
      </c>
      <c r="I25" s="38">
        <f>IF(VLOOKUP(I$2&amp;Income_Statement[[#This Row],[Aop]],Data[],1)=I$2&amp;Income_Statement[[#This Row],[Aop]],VLOOKUP(I$2&amp;Income_Statement[[#This Row],[Aop]],Data[],I$1)/Jedinica,"")</f>
        <v>571358</v>
      </c>
      <c r="J25" s="38">
        <f>IF(VLOOKUP(J$2&amp;Income_Statement[[#This Row],[Aop]],Data[],1)=J$2&amp;Income_Statement[[#This Row],[Aop]],VLOOKUP(J$2&amp;Income_Statement[[#This Row],[Aop]],Data[],J$1)/Jedinica,"")</f>
        <v>379567</v>
      </c>
      <c r="K25" s="38">
        <f>IF(VLOOKUP(K$2&amp;Income_Statement[[#This Row],[Aop]],Data[],1)=K$2&amp;Income_Statement[[#This Row],[Aop]],VLOOKUP(K$2&amp;Income_Statement[[#This Row],[Aop]],Data[],K$1)/Jedinica,"")</f>
        <v>1113356</v>
      </c>
      <c r="L25" s="38">
        <f>IF(VLOOKUP(L$2&amp;Income_Statement[[#This Row],[Aop]],Data[],1)=L$2&amp;Income_Statement[[#This Row],[Aop]],VLOOKUP(L$2&amp;Income_Statement[[#This Row],[Aop]],Data[],L$1)/Jedinica,"")</f>
        <v>1109958</v>
      </c>
      <c r="M25" s="38">
        <f>IF(VLOOKUP(M$2&amp;Income_Statement[[#This Row],[Aop]],Data[],1)=M$2&amp;Income_Statement[[#This Row],[Aop]],VLOOKUP(M$2&amp;Income_Statement[[#This Row],[Aop]],Data[],M$1)/Jedinica,"")</f>
        <v>11334187</v>
      </c>
      <c r="N25" s="38">
        <f>IF(VLOOKUP(N$2&amp;Income_Statement[[#This Row],[Aop]],Data[],1)=N$2&amp;Income_Statement[[#This Row],[Aop]],VLOOKUP(N$2&amp;Income_Statement[[#This Row],[Aop]],Data[],N$1)/Jedinica,"")</f>
        <v>7526762</v>
      </c>
      <c r="O25" s="38">
        <f>IF(VLOOKUP(O$2&amp;Income_Statement[[#This Row],[Aop]],Data[],1)=O$2&amp;Income_Statement[[#This Row],[Aop]],VLOOKUP(O$2&amp;Income_Statement[[#This Row],[Aop]],Data[],O$1)/Jedinica,"")</f>
        <v>1113356</v>
      </c>
      <c r="P25" s="38">
        <f>IF(VLOOKUP(P$2&amp;Income_Statement[[#This Row],[Aop]],Data[],1)=P$2&amp;Income_Statement[[#This Row],[Aop]],VLOOKUP(P$2&amp;Income_Statement[[#This Row],[Aop]],Data[],P$1)/Jedinica,"")</f>
        <v>1109958</v>
      </c>
      <c r="Q25" s="38">
        <f>IF(VLOOKUP(Q$2&amp;Income_Statement[[#This Row],[Aop]],Data[],1)=Q$2&amp;Income_Statement[[#This Row],[Aop]],VLOOKUP(Q$2&amp;Income_Statement[[#This Row],[Aop]],Data[],Q$1)/Jedinica,"")</f>
        <v>2453857</v>
      </c>
      <c r="R25" s="38">
        <f>IF(VLOOKUP(R$2&amp;Income_Statement[[#This Row],[Aop]],Data[],1)=R$2&amp;Income_Statement[[#This Row],[Aop]],VLOOKUP(R$2&amp;Income_Statement[[#This Row],[Aop]],Data[],R$1)/Jedinica,"")</f>
        <v>2000051</v>
      </c>
      <c r="S25" s="38">
        <f>IF(VLOOKUP(S$2&amp;Income_Statement[[#This Row],[Aop]],Data[],1)=S$2&amp;Income_Statement[[#This Row],[Aop]],VLOOKUP(S$2&amp;Income_Statement[[#This Row],[Aop]],Data[],S$1)/Jedinica,"")</f>
        <v>7547908</v>
      </c>
      <c r="T25" s="38">
        <f>IF(VLOOKUP(T$2&amp;Income_Statement[[#This Row],[Aop]],Data[],1)=T$2&amp;Income_Statement[[#This Row],[Aop]],VLOOKUP(T$2&amp;Income_Statement[[#This Row],[Aop]],Data[],T$1)/Jedinica,"")</f>
        <v>7258301</v>
      </c>
    </row>
    <row r="26" spans="1:20" ht="12.75" customHeight="1" x14ac:dyDescent="0.2">
      <c r="A26" s="74">
        <v>126</v>
      </c>
      <c r="B26" s="74">
        <v>2</v>
      </c>
      <c r="C26" s="78" t="str">
        <f>VLOOKUP(Income_Statement[[#This Row],[No]],AOP_Balance,3,0)</f>
        <v>220</v>
      </c>
      <c r="D26" s="52" t="str">
        <f>VLOOKUP(Income_Statement[[#This Row],[No]],AOP_Balance,7,0)</f>
        <v xml:space="preserve">    8. Neto rashodi po osnovu naknada i provizija (215-211)</v>
      </c>
      <c r="E26" s="38" t="str">
        <f>IF(VLOOKUP(E$2&amp;Income_Statement[[#This Row],[Aop]],Data[],1)=E$2&amp;Income_Statement[[#This Row],[Aop]],VLOOKUP(E$2&amp;Income_Statement[[#This Row],[Aop]],Data[],E$1)/Jedinica,"")</f>
        <v/>
      </c>
      <c r="F26" s="38" t="str">
        <f>IF(VLOOKUP(F$2&amp;Income_Statement[[#This Row],[Aop]],Data[],1)=F$2&amp;Income_Statement[[#This Row],[Aop]],VLOOKUP(F$2&amp;Income_Statement[[#This Row],[Aop]],Data[],F$1)/Jedinica,"")</f>
        <v/>
      </c>
      <c r="G26" s="38" t="str">
        <f>IF(VLOOKUP(G$2&amp;Income_Statement[[#This Row],[Aop]],Data[],1)=G$2&amp;Income_Statement[[#This Row],[Aop]],VLOOKUP(G$2&amp;Income_Statement[[#This Row],[Aop]],Data[],G$1)/Jedinica,"")</f>
        <v/>
      </c>
      <c r="H26" s="38" t="str">
        <f>IF(VLOOKUP(H$2&amp;Income_Statement[[#This Row],[Aop]],Data[],1)=H$2&amp;Income_Statement[[#This Row],[Aop]],VLOOKUP(H$2&amp;Income_Statement[[#This Row],[Aop]],Data[],H$1)/Jedinica,"")</f>
        <v/>
      </c>
      <c r="I26" s="38" t="str">
        <f>IF(VLOOKUP(I$2&amp;Income_Statement[[#This Row],[Aop]],Data[],1)=I$2&amp;Income_Statement[[#This Row],[Aop]],VLOOKUP(I$2&amp;Income_Statement[[#This Row],[Aop]],Data[],I$1)/Jedinica,"")</f>
        <v/>
      </c>
      <c r="J26" s="38" t="str">
        <f>IF(VLOOKUP(J$2&amp;Income_Statement[[#This Row],[Aop]],Data[],1)=J$2&amp;Income_Statement[[#This Row],[Aop]],VLOOKUP(J$2&amp;Income_Statement[[#This Row],[Aop]],Data[],J$1)/Jedinica,"")</f>
        <v/>
      </c>
      <c r="K26" s="38" t="str">
        <f>IF(VLOOKUP(K$2&amp;Income_Statement[[#This Row],[Aop]],Data[],1)=K$2&amp;Income_Statement[[#This Row],[Aop]],VLOOKUP(K$2&amp;Income_Statement[[#This Row],[Aop]],Data[],K$1)/Jedinica,"")</f>
        <v/>
      </c>
      <c r="L26" s="38" t="str">
        <f>IF(VLOOKUP(L$2&amp;Income_Statement[[#This Row],[Aop]],Data[],1)=L$2&amp;Income_Statement[[#This Row],[Aop]],VLOOKUP(L$2&amp;Income_Statement[[#This Row],[Aop]],Data[],L$1)/Jedinica,"")</f>
        <v/>
      </c>
      <c r="M26" s="38" t="str">
        <f>IF(VLOOKUP(M$2&amp;Income_Statement[[#This Row],[Aop]],Data[],1)=M$2&amp;Income_Statement[[#This Row],[Aop]],VLOOKUP(M$2&amp;Income_Statement[[#This Row],[Aop]],Data[],M$1)/Jedinica,"")</f>
        <v/>
      </c>
      <c r="N26" s="38" t="str">
        <f>IF(VLOOKUP(N$2&amp;Income_Statement[[#This Row],[Aop]],Data[],1)=N$2&amp;Income_Statement[[#This Row],[Aop]],VLOOKUP(N$2&amp;Income_Statement[[#This Row],[Aop]],Data[],N$1)/Jedinica,"")</f>
        <v/>
      </c>
      <c r="O26" s="38" t="str">
        <f>IF(VLOOKUP(O$2&amp;Income_Statement[[#This Row],[Aop]],Data[],1)=O$2&amp;Income_Statement[[#This Row],[Aop]],VLOOKUP(O$2&amp;Income_Statement[[#This Row],[Aop]],Data[],O$1)/Jedinica,"")</f>
        <v/>
      </c>
      <c r="P26" s="38" t="str">
        <f>IF(VLOOKUP(P$2&amp;Income_Statement[[#This Row],[Aop]],Data[],1)=P$2&amp;Income_Statement[[#This Row],[Aop]],VLOOKUP(P$2&amp;Income_Statement[[#This Row],[Aop]],Data[],P$1)/Jedinica,"")</f>
        <v/>
      </c>
      <c r="Q26" s="38" t="str">
        <f>IF(VLOOKUP(Q$2&amp;Income_Statement[[#This Row],[Aop]],Data[],1)=Q$2&amp;Income_Statement[[#This Row],[Aop]],VLOOKUP(Q$2&amp;Income_Statement[[#This Row],[Aop]],Data[],Q$1)/Jedinica,"")</f>
        <v/>
      </c>
      <c r="R26" s="38" t="str">
        <f>IF(VLOOKUP(R$2&amp;Income_Statement[[#This Row],[Aop]],Data[],1)=R$2&amp;Income_Statement[[#This Row],[Aop]],VLOOKUP(R$2&amp;Income_Statement[[#This Row],[Aop]],Data[],R$1)/Jedinica,"")</f>
        <v/>
      </c>
      <c r="S26" s="38" t="str">
        <f>IF(VLOOKUP(S$2&amp;Income_Statement[[#This Row],[Aop]],Data[],1)=S$2&amp;Income_Statement[[#This Row],[Aop]],VLOOKUP(S$2&amp;Income_Statement[[#This Row],[Aop]],Data[],S$1)/Jedinica,"")</f>
        <v/>
      </c>
      <c r="T26" s="38" t="str">
        <f>IF(VLOOKUP(T$2&amp;Income_Statement[[#This Row],[Aop]],Data[],1)=T$2&amp;Income_Statement[[#This Row],[Aop]],VLOOKUP(T$2&amp;Income_Statement[[#This Row],[Aop]],Data[],T$1)/Jedinica,"")</f>
        <v/>
      </c>
    </row>
    <row r="27" spans="1:20" ht="12.75" customHeight="1" x14ac:dyDescent="0.2">
      <c r="A27" s="74">
        <v>127</v>
      </c>
      <c r="B27" s="74">
        <v>2</v>
      </c>
      <c r="C27" s="78" t="str">
        <f>VLOOKUP(Income_Statement[[#This Row],[No]],AOP_Balance,3,0)</f>
        <v>221</v>
      </c>
      <c r="D27" s="52" t="str">
        <f>VLOOKUP(Income_Statement[[#This Row],[No]],AOP_Balance,7,0)</f>
        <v xml:space="preserve">    9. Dobici po osnovu prodaje HOV i udjela (222 do 225)</v>
      </c>
      <c r="E27" s="38">
        <f>IF(VLOOKUP(E$2&amp;Income_Statement[[#This Row],[Aop]],Data[],1)=E$2&amp;Income_Statement[[#This Row],[Aop]],VLOOKUP(E$2&amp;Income_Statement[[#This Row],[Aop]],Data[],E$1)/Jedinica,"")</f>
        <v>0</v>
      </c>
      <c r="F27" s="38">
        <f>IF(VLOOKUP(F$2&amp;Income_Statement[[#This Row],[Aop]],Data[],1)=F$2&amp;Income_Statement[[#This Row],[Aop]],VLOOKUP(F$2&amp;Income_Statement[[#This Row],[Aop]],Data[],F$1)/Jedinica,"")</f>
        <v>663</v>
      </c>
      <c r="G27" s="38" t="str">
        <f>IF(VLOOKUP(G$2&amp;Income_Statement[[#This Row],[Aop]],Data[],1)=G$2&amp;Income_Statement[[#This Row],[Aop]],VLOOKUP(G$2&amp;Income_Statement[[#This Row],[Aop]],Data[],G$1)/Jedinica,"")</f>
        <v/>
      </c>
      <c r="H27" s="38" t="str">
        <f>IF(VLOOKUP(H$2&amp;Income_Statement[[#This Row],[Aop]],Data[],1)=H$2&amp;Income_Statement[[#This Row],[Aop]],VLOOKUP(H$2&amp;Income_Statement[[#This Row],[Aop]],Data[],H$1)/Jedinica,"")</f>
        <v/>
      </c>
      <c r="I27" s="38" t="str">
        <f>IF(VLOOKUP(I$2&amp;Income_Statement[[#This Row],[Aop]],Data[],1)=I$2&amp;Income_Statement[[#This Row],[Aop]],VLOOKUP(I$2&amp;Income_Statement[[#This Row],[Aop]],Data[],I$1)/Jedinica,"")</f>
        <v/>
      </c>
      <c r="J27" s="38" t="str">
        <f>IF(VLOOKUP(J$2&amp;Income_Statement[[#This Row],[Aop]],Data[],1)=J$2&amp;Income_Statement[[#This Row],[Aop]],VLOOKUP(J$2&amp;Income_Statement[[#This Row],[Aop]],Data[],J$1)/Jedinica,"")</f>
        <v/>
      </c>
      <c r="K27" s="38" t="str">
        <f>IF(VLOOKUP(K$2&amp;Income_Statement[[#This Row],[Aop]],Data[],1)=K$2&amp;Income_Statement[[#This Row],[Aop]],VLOOKUP(K$2&amp;Income_Statement[[#This Row],[Aop]],Data[],K$1)/Jedinica,"")</f>
        <v/>
      </c>
      <c r="L27" s="38" t="str">
        <f>IF(VLOOKUP(L$2&amp;Income_Statement[[#This Row],[Aop]],Data[],1)=L$2&amp;Income_Statement[[#This Row],[Aop]],VLOOKUP(L$2&amp;Income_Statement[[#This Row],[Aop]],Data[],L$1)/Jedinica,"")</f>
        <v/>
      </c>
      <c r="M27" s="38" t="str">
        <f>IF(VLOOKUP(M$2&amp;Income_Statement[[#This Row],[Aop]],Data[],1)=M$2&amp;Income_Statement[[#This Row],[Aop]],VLOOKUP(M$2&amp;Income_Statement[[#This Row],[Aop]],Data[],M$1)/Jedinica,"")</f>
        <v/>
      </c>
      <c r="N27" s="38" t="str">
        <f>IF(VLOOKUP(N$2&amp;Income_Statement[[#This Row],[Aop]],Data[],1)=N$2&amp;Income_Statement[[#This Row],[Aop]],VLOOKUP(N$2&amp;Income_Statement[[#This Row],[Aop]],Data[],N$1)/Jedinica,"")</f>
        <v/>
      </c>
      <c r="O27" s="38" t="str">
        <f>IF(VLOOKUP(O$2&amp;Income_Statement[[#This Row],[Aop]],Data[],1)=O$2&amp;Income_Statement[[#This Row],[Aop]],VLOOKUP(O$2&amp;Income_Statement[[#This Row],[Aop]],Data[],O$1)/Jedinica,"")</f>
        <v/>
      </c>
      <c r="P27" s="38" t="str">
        <f>IF(VLOOKUP(P$2&amp;Income_Statement[[#This Row],[Aop]],Data[],1)=P$2&amp;Income_Statement[[#This Row],[Aop]],VLOOKUP(P$2&amp;Income_Statement[[#This Row],[Aop]],Data[],P$1)/Jedinica,"")</f>
        <v/>
      </c>
      <c r="Q27" s="38" t="str">
        <f>IF(VLOOKUP(Q$2&amp;Income_Statement[[#This Row],[Aop]],Data[],1)=Q$2&amp;Income_Statement[[#This Row],[Aop]],VLOOKUP(Q$2&amp;Income_Statement[[#This Row],[Aop]],Data[],Q$1)/Jedinica,"")</f>
        <v/>
      </c>
      <c r="R27" s="38" t="str">
        <f>IF(VLOOKUP(R$2&amp;Income_Statement[[#This Row],[Aop]],Data[],1)=R$2&amp;Income_Statement[[#This Row],[Aop]],VLOOKUP(R$2&amp;Income_Statement[[#This Row],[Aop]],Data[],R$1)/Jedinica,"")</f>
        <v/>
      </c>
      <c r="S27" s="38">
        <f>IF(VLOOKUP(S$2&amp;Income_Statement[[#This Row],[Aop]],Data[],1)=S$2&amp;Income_Statement[[#This Row],[Aop]],VLOOKUP(S$2&amp;Income_Statement[[#This Row],[Aop]],Data[],S$1)/Jedinica,"")</f>
        <v>0</v>
      </c>
      <c r="T27" s="38">
        <f>IF(VLOOKUP(T$2&amp;Income_Statement[[#This Row],[Aop]],Data[],1)=T$2&amp;Income_Statement[[#This Row],[Aop]],VLOOKUP(T$2&amp;Income_Statement[[#This Row],[Aop]],Data[],T$1)/Jedinica,"")</f>
        <v>66537</v>
      </c>
    </row>
    <row r="28" spans="1:20" ht="12.75" customHeight="1" x14ac:dyDescent="0.2">
      <c r="A28" s="74">
        <v>128</v>
      </c>
      <c r="B28" s="74">
        <v>3</v>
      </c>
      <c r="C28" s="78" t="str">
        <f>VLOOKUP(Income_Statement[[#This Row],[No]],AOP_Balance,3,0)</f>
        <v>222</v>
      </c>
      <c r="D28" s="52" t="str">
        <f>VLOOKUP(Income_Statement[[#This Row],[No]],AOP_Balance,7,0)</f>
        <v xml:space="preserve">      a) Dobici po osnovu prodaje HOV po fer vrijednosti kroz bilans uspjeha</v>
      </c>
      <c r="E28" s="38" t="str">
        <f>IF(VLOOKUP(E$2&amp;Income_Statement[[#This Row],[Aop]],Data[],1)=E$2&amp;Income_Statement[[#This Row],[Aop]],VLOOKUP(E$2&amp;Income_Statement[[#This Row],[Aop]],Data[],E$1)/Jedinica,"")</f>
        <v/>
      </c>
      <c r="F28" s="38" t="str">
        <f>IF(VLOOKUP(F$2&amp;Income_Statement[[#This Row],[Aop]],Data[],1)=F$2&amp;Income_Statement[[#This Row],[Aop]],VLOOKUP(F$2&amp;Income_Statement[[#This Row],[Aop]],Data[],F$1)/Jedinica,"")</f>
        <v/>
      </c>
      <c r="G28" s="38" t="str">
        <f>IF(VLOOKUP(G$2&amp;Income_Statement[[#This Row],[Aop]],Data[],1)=G$2&amp;Income_Statement[[#This Row],[Aop]],VLOOKUP(G$2&amp;Income_Statement[[#This Row],[Aop]],Data[],G$1)/Jedinica,"")</f>
        <v/>
      </c>
      <c r="H28" s="38" t="str">
        <f>IF(VLOOKUP(H$2&amp;Income_Statement[[#This Row],[Aop]],Data[],1)=H$2&amp;Income_Statement[[#This Row],[Aop]],VLOOKUP(H$2&amp;Income_Statement[[#This Row],[Aop]],Data[],H$1)/Jedinica,"")</f>
        <v/>
      </c>
      <c r="I28" s="38" t="str">
        <f>IF(VLOOKUP(I$2&amp;Income_Statement[[#This Row],[Aop]],Data[],1)=I$2&amp;Income_Statement[[#This Row],[Aop]],VLOOKUP(I$2&amp;Income_Statement[[#This Row],[Aop]],Data[],I$1)/Jedinica,"")</f>
        <v/>
      </c>
      <c r="J28" s="38" t="str">
        <f>IF(VLOOKUP(J$2&amp;Income_Statement[[#This Row],[Aop]],Data[],1)=J$2&amp;Income_Statement[[#This Row],[Aop]],VLOOKUP(J$2&amp;Income_Statement[[#This Row],[Aop]],Data[],J$1)/Jedinica,"")</f>
        <v/>
      </c>
      <c r="K28" s="38" t="str">
        <f>IF(VLOOKUP(K$2&amp;Income_Statement[[#This Row],[Aop]],Data[],1)=K$2&amp;Income_Statement[[#This Row],[Aop]],VLOOKUP(K$2&amp;Income_Statement[[#This Row],[Aop]],Data[],K$1)/Jedinica,"")</f>
        <v/>
      </c>
      <c r="L28" s="38" t="str">
        <f>IF(VLOOKUP(L$2&amp;Income_Statement[[#This Row],[Aop]],Data[],1)=L$2&amp;Income_Statement[[#This Row],[Aop]],VLOOKUP(L$2&amp;Income_Statement[[#This Row],[Aop]],Data[],L$1)/Jedinica,"")</f>
        <v/>
      </c>
      <c r="M28" s="38" t="str">
        <f>IF(VLOOKUP(M$2&amp;Income_Statement[[#This Row],[Aop]],Data[],1)=M$2&amp;Income_Statement[[#This Row],[Aop]],VLOOKUP(M$2&amp;Income_Statement[[#This Row],[Aop]],Data[],M$1)/Jedinica,"")</f>
        <v/>
      </c>
      <c r="N28" s="38" t="str">
        <f>IF(VLOOKUP(N$2&amp;Income_Statement[[#This Row],[Aop]],Data[],1)=N$2&amp;Income_Statement[[#This Row],[Aop]],VLOOKUP(N$2&amp;Income_Statement[[#This Row],[Aop]],Data[],N$1)/Jedinica,"")</f>
        <v/>
      </c>
      <c r="O28" s="38" t="str">
        <f>IF(VLOOKUP(O$2&amp;Income_Statement[[#This Row],[Aop]],Data[],1)=O$2&amp;Income_Statement[[#This Row],[Aop]],VLOOKUP(O$2&amp;Income_Statement[[#This Row],[Aop]],Data[],O$1)/Jedinica,"")</f>
        <v/>
      </c>
      <c r="P28" s="38" t="str">
        <f>IF(VLOOKUP(P$2&amp;Income_Statement[[#This Row],[Aop]],Data[],1)=P$2&amp;Income_Statement[[#This Row],[Aop]],VLOOKUP(P$2&amp;Income_Statement[[#This Row],[Aop]],Data[],P$1)/Jedinica,"")</f>
        <v/>
      </c>
      <c r="Q28" s="38" t="str">
        <f>IF(VLOOKUP(Q$2&amp;Income_Statement[[#This Row],[Aop]],Data[],1)=Q$2&amp;Income_Statement[[#This Row],[Aop]],VLOOKUP(Q$2&amp;Income_Statement[[#This Row],[Aop]],Data[],Q$1)/Jedinica,"")</f>
        <v/>
      </c>
      <c r="R28" s="38" t="str">
        <f>IF(VLOOKUP(R$2&amp;Income_Statement[[#This Row],[Aop]],Data[],1)=R$2&amp;Income_Statement[[#This Row],[Aop]],VLOOKUP(R$2&amp;Income_Statement[[#This Row],[Aop]],Data[],R$1)/Jedinica,"")</f>
        <v/>
      </c>
      <c r="S28" s="38" t="str">
        <f>IF(VLOOKUP(S$2&amp;Income_Statement[[#This Row],[Aop]],Data[],1)=S$2&amp;Income_Statement[[#This Row],[Aop]],VLOOKUP(S$2&amp;Income_Statement[[#This Row],[Aop]],Data[],S$1)/Jedinica,"")</f>
        <v/>
      </c>
      <c r="T28" s="38" t="str">
        <f>IF(VLOOKUP(T$2&amp;Income_Statement[[#This Row],[Aop]],Data[],1)=T$2&amp;Income_Statement[[#This Row],[Aop]],VLOOKUP(T$2&amp;Income_Statement[[#This Row],[Aop]],Data[],T$1)/Jedinica,"")</f>
        <v/>
      </c>
    </row>
    <row r="29" spans="1:20" ht="12.75" customHeight="1" x14ac:dyDescent="0.2">
      <c r="A29" s="74">
        <v>129</v>
      </c>
      <c r="B29" s="74">
        <v>3</v>
      </c>
      <c r="C29" s="78" t="str">
        <f>VLOOKUP(Income_Statement[[#This Row],[No]],AOP_Balance,3,0)</f>
        <v>223</v>
      </c>
      <c r="D29" s="52" t="str">
        <f>VLOOKUP(Income_Statement[[#This Row],[No]],AOP_Balance,7,0)</f>
        <v xml:space="preserve">      b) Dobici po osnovu prodaje HOV koje su raspoložive za prodaju</v>
      </c>
      <c r="E29" s="38" t="str">
        <f>IF(VLOOKUP(E$2&amp;Income_Statement[[#This Row],[Aop]],Data[],1)=E$2&amp;Income_Statement[[#This Row],[Aop]],VLOOKUP(E$2&amp;Income_Statement[[#This Row],[Aop]],Data[],E$1)/Jedinica,"")</f>
        <v/>
      </c>
      <c r="F29" s="38" t="str">
        <f>IF(VLOOKUP(F$2&amp;Income_Statement[[#This Row],[Aop]],Data[],1)=F$2&amp;Income_Statement[[#This Row],[Aop]],VLOOKUP(F$2&amp;Income_Statement[[#This Row],[Aop]],Data[],F$1)/Jedinica,"")</f>
        <v/>
      </c>
      <c r="G29" s="38" t="str">
        <f>IF(VLOOKUP(G$2&amp;Income_Statement[[#This Row],[Aop]],Data[],1)=G$2&amp;Income_Statement[[#This Row],[Aop]],VLOOKUP(G$2&amp;Income_Statement[[#This Row],[Aop]],Data[],G$1)/Jedinica,"")</f>
        <v/>
      </c>
      <c r="H29" s="38" t="str">
        <f>IF(VLOOKUP(H$2&amp;Income_Statement[[#This Row],[Aop]],Data[],1)=H$2&amp;Income_Statement[[#This Row],[Aop]],VLOOKUP(H$2&amp;Income_Statement[[#This Row],[Aop]],Data[],H$1)/Jedinica,"")</f>
        <v/>
      </c>
      <c r="I29" s="38" t="str">
        <f>IF(VLOOKUP(I$2&amp;Income_Statement[[#This Row],[Aop]],Data[],1)=I$2&amp;Income_Statement[[#This Row],[Aop]],VLOOKUP(I$2&amp;Income_Statement[[#This Row],[Aop]],Data[],I$1)/Jedinica,"")</f>
        <v/>
      </c>
      <c r="J29" s="38" t="str">
        <f>IF(VLOOKUP(J$2&amp;Income_Statement[[#This Row],[Aop]],Data[],1)=J$2&amp;Income_Statement[[#This Row],[Aop]],VLOOKUP(J$2&amp;Income_Statement[[#This Row],[Aop]],Data[],J$1)/Jedinica,"")</f>
        <v/>
      </c>
      <c r="K29" s="38" t="str">
        <f>IF(VLOOKUP(K$2&amp;Income_Statement[[#This Row],[Aop]],Data[],1)=K$2&amp;Income_Statement[[#This Row],[Aop]],VLOOKUP(K$2&amp;Income_Statement[[#This Row],[Aop]],Data[],K$1)/Jedinica,"")</f>
        <v/>
      </c>
      <c r="L29" s="38" t="str">
        <f>IF(VLOOKUP(L$2&amp;Income_Statement[[#This Row],[Aop]],Data[],1)=L$2&amp;Income_Statement[[#This Row],[Aop]],VLOOKUP(L$2&amp;Income_Statement[[#This Row],[Aop]],Data[],L$1)/Jedinica,"")</f>
        <v/>
      </c>
      <c r="M29" s="38" t="str">
        <f>IF(VLOOKUP(M$2&amp;Income_Statement[[#This Row],[Aop]],Data[],1)=M$2&amp;Income_Statement[[#This Row],[Aop]],VLOOKUP(M$2&amp;Income_Statement[[#This Row],[Aop]],Data[],M$1)/Jedinica,"")</f>
        <v/>
      </c>
      <c r="N29" s="38" t="str">
        <f>IF(VLOOKUP(N$2&amp;Income_Statement[[#This Row],[Aop]],Data[],1)=N$2&amp;Income_Statement[[#This Row],[Aop]],VLOOKUP(N$2&amp;Income_Statement[[#This Row],[Aop]],Data[],N$1)/Jedinica,"")</f>
        <v/>
      </c>
      <c r="O29" s="38" t="str">
        <f>IF(VLOOKUP(O$2&amp;Income_Statement[[#This Row],[Aop]],Data[],1)=O$2&amp;Income_Statement[[#This Row],[Aop]],VLOOKUP(O$2&amp;Income_Statement[[#This Row],[Aop]],Data[],O$1)/Jedinica,"")</f>
        <v/>
      </c>
      <c r="P29" s="38" t="str">
        <f>IF(VLOOKUP(P$2&amp;Income_Statement[[#This Row],[Aop]],Data[],1)=P$2&amp;Income_Statement[[#This Row],[Aop]],VLOOKUP(P$2&amp;Income_Statement[[#This Row],[Aop]],Data[],P$1)/Jedinica,"")</f>
        <v/>
      </c>
      <c r="Q29" s="38" t="str">
        <f>IF(VLOOKUP(Q$2&amp;Income_Statement[[#This Row],[Aop]],Data[],1)=Q$2&amp;Income_Statement[[#This Row],[Aop]],VLOOKUP(Q$2&amp;Income_Statement[[#This Row],[Aop]],Data[],Q$1)/Jedinica,"")</f>
        <v/>
      </c>
      <c r="R29" s="38" t="str">
        <f>IF(VLOOKUP(R$2&amp;Income_Statement[[#This Row],[Aop]],Data[],1)=R$2&amp;Income_Statement[[#This Row],[Aop]],VLOOKUP(R$2&amp;Income_Statement[[#This Row],[Aop]],Data[],R$1)/Jedinica,"")</f>
        <v/>
      </c>
      <c r="S29" s="38">
        <f>IF(VLOOKUP(S$2&amp;Income_Statement[[#This Row],[Aop]],Data[],1)=S$2&amp;Income_Statement[[#This Row],[Aop]],VLOOKUP(S$2&amp;Income_Statement[[#This Row],[Aop]],Data[],S$1)/Jedinica,"")</f>
        <v>0</v>
      </c>
      <c r="T29" s="38">
        <f>IF(VLOOKUP(T$2&amp;Income_Statement[[#This Row],[Aop]],Data[],1)=T$2&amp;Income_Statement[[#This Row],[Aop]],VLOOKUP(T$2&amp;Income_Statement[[#This Row],[Aop]],Data[],T$1)/Jedinica,"")</f>
        <v>66537</v>
      </c>
    </row>
    <row r="30" spans="1:20" ht="12.75" customHeight="1" x14ac:dyDescent="0.2">
      <c r="A30" s="74">
        <v>130</v>
      </c>
      <c r="B30" s="74">
        <v>3</v>
      </c>
      <c r="C30" s="78" t="str">
        <f>VLOOKUP(Income_Statement[[#This Row],[No]],AOP_Balance,3,0)</f>
        <v>224</v>
      </c>
      <c r="D30" s="52" t="str">
        <f>VLOOKUP(Income_Statement[[#This Row],[No]],AOP_Balance,7,0)</f>
        <v xml:space="preserve">      v) Dobici po osnovu prodaje HOV koje se drže do roka dospijeća</v>
      </c>
      <c r="E30" s="38">
        <f>IF(VLOOKUP(E$2&amp;Income_Statement[[#This Row],[Aop]],Data[],1)=E$2&amp;Income_Statement[[#This Row],[Aop]],VLOOKUP(E$2&amp;Income_Statement[[#This Row],[Aop]],Data[],E$1)/Jedinica,"")</f>
        <v>0</v>
      </c>
      <c r="F30" s="38">
        <f>IF(VLOOKUP(F$2&amp;Income_Statement[[#This Row],[Aop]],Data[],1)=F$2&amp;Income_Statement[[#This Row],[Aop]],VLOOKUP(F$2&amp;Income_Statement[[#This Row],[Aop]],Data[],F$1)/Jedinica,"")</f>
        <v>663</v>
      </c>
      <c r="G30" s="38" t="str">
        <f>IF(VLOOKUP(G$2&amp;Income_Statement[[#This Row],[Aop]],Data[],1)=G$2&amp;Income_Statement[[#This Row],[Aop]],VLOOKUP(G$2&amp;Income_Statement[[#This Row],[Aop]],Data[],G$1)/Jedinica,"")</f>
        <v/>
      </c>
      <c r="H30" s="38" t="str">
        <f>IF(VLOOKUP(H$2&amp;Income_Statement[[#This Row],[Aop]],Data[],1)=H$2&amp;Income_Statement[[#This Row],[Aop]],VLOOKUP(H$2&amp;Income_Statement[[#This Row],[Aop]],Data[],H$1)/Jedinica,"")</f>
        <v/>
      </c>
      <c r="I30" s="38" t="str">
        <f>IF(VLOOKUP(I$2&amp;Income_Statement[[#This Row],[Aop]],Data[],1)=I$2&amp;Income_Statement[[#This Row],[Aop]],VLOOKUP(I$2&amp;Income_Statement[[#This Row],[Aop]],Data[],I$1)/Jedinica,"")</f>
        <v/>
      </c>
      <c r="J30" s="38" t="str">
        <f>IF(VLOOKUP(J$2&amp;Income_Statement[[#This Row],[Aop]],Data[],1)=J$2&amp;Income_Statement[[#This Row],[Aop]],VLOOKUP(J$2&amp;Income_Statement[[#This Row],[Aop]],Data[],J$1)/Jedinica,"")</f>
        <v/>
      </c>
      <c r="K30" s="38" t="str">
        <f>IF(VLOOKUP(K$2&amp;Income_Statement[[#This Row],[Aop]],Data[],1)=K$2&amp;Income_Statement[[#This Row],[Aop]],VLOOKUP(K$2&amp;Income_Statement[[#This Row],[Aop]],Data[],K$1)/Jedinica,"")</f>
        <v/>
      </c>
      <c r="L30" s="38" t="str">
        <f>IF(VLOOKUP(L$2&amp;Income_Statement[[#This Row],[Aop]],Data[],1)=L$2&amp;Income_Statement[[#This Row],[Aop]],VLOOKUP(L$2&amp;Income_Statement[[#This Row],[Aop]],Data[],L$1)/Jedinica,"")</f>
        <v/>
      </c>
      <c r="M30" s="38" t="str">
        <f>IF(VLOOKUP(M$2&amp;Income_Statement[[#This Row],[Aop]],Data[],1)=M$2&amp;Income_Statement[[#This Row],[Aop]],VLOOKUP(M$2&amp;Income_Statement[[#This Row],[Aop]],Data[],M$1)/Jedinica,"")</f>
        <v/>
      </c>
      <c r="N30" s="38" t="str">
        <f>IF(VLOOKUP(N$2&amp;Income_Statement[[#This Row],[Aop]],Data[],1)=N$2&amp;Income_Statement[[#This Row],[Aop]],VLOOKUP(N$2&amp;Income_Statement[[#This Row],[Aop]],Data[],N$1)/Jedinica,"")</f>
        <v/>
      </c>
      <c r="O30" s="38" t="str">
        <f>IF(VLOOKUP(O$2&amp;Income_Statement[[#This Row],[Aop]],Data[],1)=O$2&amp;Income_Statement[[#This Row],[Aop]],VLOOKUP(O$2&amp;Income_Statement[[#This Row],[Aop]],Data[],O$1)/Jedinica,"")</f>
        <v/>
      </c>
      <c r="P30" s="38" t="str">
        <f>IF(VLOOKUP(P$2&amp;Income_Statement[[#This Row],[Aop]],Data[],1)=P$2&amp;Income_Statement[[#This Row],[Aop]],VLOOKUP(P$2&amp;Income_Statement[[#This Row],[Aop]],Data[],P$1)/Jedinica,"")</f>
        <v/>
      </c>
      <c r="Q30" s="38" t="str">
        <f>IF(VLOOKUP(Q$2&amp;Income_Statement[[#This Row],[Aop]],Data[],1)=Q$2&amp;Income_Statement[[#This Row],[Aop]],VLOOKUP(Q$2&amp;Income_Statement[[#This Row],[Aop]],Data[],Q$1)/Jedinica,"")</f>
        <v/>
      </c>
      <c r="R30" s="38" t="str">
        <f>IF(VLOOKUP(R$2&amp;Income_Statement[[#This Row],[Aop]],Data[],1)=R$2&amp;Income_Statement[[#This Row],[Aop]],VLOOKUP(R$2&amp;Income_Statement[[#This Row],[Aop]],Data[],R$1)/Jedinica,"")</f>
        <v/>
      </c>
      <c r="S30" s="38" t="str">
        <f>IF(VLOOKUP(S$2&amp;Income_Statement[[#This Row],[Aop]],Data[],1)=S$2&amp;Income_Statement[[#This Row],[Aop]],VLOOKUP(S$2&amp;Income_Statement[[#This Row],[Aop]],Data[],S$1)/Jedinica,"")</f>
        <v/>
      </c>
      <c r="T30" s="38" t="str">
        <f>IF(VLOOKUP(T$2&amp;Income_Statement[[#This Row],[Aop]],Data[],1)=T$2&amp;Income_Statement[[#This Row],[Aop]],VLOOKUP(T$2&amp;Income_Statement[[#This Row],[Aop]],Data[],T$1)/Jedinica,"")</f>
        <v/>
      </c>
    </row>
    <row r="31" spans="1:20" ht="12.75" customHeight="1" x14ac:dyDescent="0.2">
      <c r="A31" s="74">
        <v>131</v>
      </c>
      <c r="B31" s="74">
        <v>3</v>
      </c>
      <c r="C31" s="78" t="str">
        <f>VLOOKUP(Income_Statement[[#This Row],[No]],AOP_Balance,3,0)</f>
        <v>225</v>
      </c>
      <c r="D31" s="52" t="str">
        <f>VLOOKUP(Income_Statement[[#This Row],[No]],AOP_Balance,7,0)</f>
        <v xml:space="preserve">      g) Dobici po osnovu prodaje udjela (učešća)</v>
      </c>
      <c r="E31" s="38" t="str">
        <f>IF(VLOOKUP(E$2&amp;Income_Statement[[#This Row],[Aop]],Data[],1)=E$2&amp;Income_Statement[[#This Row],[Aop]],VLOOKUP(E$2&amp;Income_Statement[[#This Row],[Aop]],Data[],E$1)/Jedinica,"")</f>
        <v/>
      </c>
      <c r="F31" s="38" t="str">
        <f>IF(VLOOKUP(F$2&amp;Income_Statement[[#This Row],[Aop]],Data[],1)=F$2&amp;Income_Statement[[#This Row],[Aop]],VLOOKUP(F$2&amp;Income_Statement[[#This Row],[Aop]],Data[],F$1)/Jedinica,"")</f>
        <v/>
      </c>
      <c r="G31" s="38" t="str">
        <f>IF(VLOOKUP(G$2&amp;Income_Statement[[#This Row],[Aop]],Data[],1)=G$2&amp;Income_Statement[[#This Row],[Aop]],VLOOKUP(G$2&amp;Income_Statement[[#This Row],[Aop]],Data[],G$1)/Jedinica,"")</f>
        <v/>
      </c>
      <c r="H31" s="38" t="str">
        <f>IF(VLOOKUP(H$2&amp;Income_Statement[[#This Row],[Aop]],Data[],1)=H$2&amp;Income_Statement[[#This Row],[Aop]],VLOOKUP(H$2&amp;Income_Statement[[#This Row],[Aop]],Data[],H$1)/Jedinica,"")</f>
        <v/>
      </c>
      <c r="I31" s="38" t="str">
        <f>IF(VLOOKUP(I$2&amp;Income_Statement[[#This Row],[Aop]],Data[],1)=I$2&amp;Income_Statement[[#This Row],[Aop]],VLOOKUP(I$2&amp;Income_Statement[[#This Row],[Aop]],Data[],I$1)/Jedinica,"")</f>
        <v/>
      </c>
      <c r="J31" s="38" t="str">
        <f>IF(VLOOKUP(J$2&amp;Income_Statement[[#This Row],[Aop]],Data[],1)=J$2&amp;Income_Statement[[#This Row],[Aop]],VLOOKUP(J$2&amp;Income_Statement[[#This Row],[Aop]],Data[],J$1)/Jedinica,"")</f>
        <v/>
      </c>
      <c r="K31" s="38" t="str">
        <f>IF(VLOOKUP(K$2&amp;Income_Statement[[#This Row],[Aop]],Data[],1)=K$2&amp;Income_Statement[[#This Row],[Aop]],VLOOKUP(K$2&amp;Income_Statement[[#This Row],[Aop]],Data[],K$1)/Jedinica,"")</f>
        <v/>
      </c>
      <c r="L31" s="38" t="str">
        <f>IF(VLOOKUP(L$2&amp;Income_Statement[[#This Row],[Aop]],Data[],1)=L$2&amp;Income_Statement[[#This Row],[Aop]],VLOOKUP(L$2&amp;Income_Statement[[#This Row],[Aop]],Data[],L$1)/Jedinica,"")</f>
        <v/>
      </c>
      <c r="M31" s="38" t="str">
        <f>IF(VLOOKUP(M$2&amp;Income_Statement[[#This Row],[Aop]],Data[],1)=M$2&amp;Income_Statement[[#This Row],[Aop]],VLOOKUP(M$2&amp;Income_Statement[[#This Row],[Aop]],Data[],M$1)/Jedinica,"")</f>
        <v/>
      </c>
      <c r="N31" s="38" t="str">
        <f>IF(VLOOKUP(N$2&amp;Income_Statement[[#This Row],[Aop]],Data[],1)=N$2&amp;Income_Statement[[#This Row],[Aop]],VLOOKUP(N$2&amp;Income_Statement[[#This Row],[Aop]],Data[],N$1)/Jedinica,"")</f>
        <v/>
      </c>
      <c r="O31" s="38" t="str">
        <f>IF(VLOOKUP(O$2&amp;Income_Statement[[#This Row],[Aop]],Data[],1)=O$2&amp;Income_Statement[[#This Row],[Aop]],VLOOKUP(O$2&amp;Income_Statement[[#This Row],[Aop]],Data[],O$1)/Jedinica,"")</f>
        <v/>
      </c>
      <c r="P31" s="38" t="str">
        <f>IF(VLOOKUP(P$2&amp;Income_Statement[[#This Row],[Aop]],Data[],1)=P$2&amp;Income_Statement[[#This Row],[Aop]],VLOOKUP(P$2&amp;Income_Statement[[#This Row],[Aop]],Data[],P$1)/Jedinica,"")</f>
        <v/>
      </c>
      <c r="Q31" s="38" t="str">
        <f>IF(VLOOKUP(Q$2&amp;Income_Statement[[#This Row],[Aop]],Data[],1)=Q$2&amp;Income_Statement[[#This Row],[Aop]],VLOOKUP(Q$2&amp;Income_Statement[[#This Row],[Aop]],Data[],Q$1)/Jedinica,"")</f>
        <v/>
      </c>
      <c r="R31" s="38" t="str">
        <f>IF(VLOOKUP(R$2&amp;Income_Statement[[#This Row],[Aop]],Data[],1)=R$2&amp;Income_Statement[[#This Row],[Aop]],VLOOKUP(R$2&amp;Income_Statement[[#This Row],[Aop]],Data[],R$1)/Jedinica,"")</f>
        <v/>
      </c>
      <c r="S31" s="38" t="str">
        <f>IF(VLOOKUP(S$2&amp;Income_Statement[[#This Row],[Aop]],Data[],1)=S$2&amp;Income_Statement[[#This Row],[Aop]],VLOOKUP(S$2&amp;Income_Statement[[#This Row],[Aop]],Data[],S$1)/Jedinica,"")</f>
        <v/>
      </c>
      <c r="T31" s="38" t="str">
        <f>IF(VLOOKUP(T$2&amp;Income_Statement[[#This Row],[Aop]],Data[],1)=T$2&amp;Income_Statement[[#This Row],[Aop]],VLOOKUP(T$2&amp;Income_Statement[[#This Row],[Aop]],Data[],T$1)/Jedinica,"")</f>
        <v/>
      </c>
    </row>
    <row r="32" spans="1:20" ht="12.75" customHeight="1" x14ac:dyDescent="0.2">
      <c r="A32" s="74">
        <v>132</v>
      </c>
      <c r="B32" s="74">
        <v>2</v>
      </c>
      <c r="C32" s="78" t="str">
        <f>VLOOKUP(Income_Statement[[#This Row],[No]],AOP_Balance,3,0)</f>
        <v>226</v>
      </c>
      <c r="D32" s="52" t="str">
        <f>VLOOKUP(Income_Statement[[#This Row],[No]],AOP_Balance,7,0)</f>
        <v xml:space="preserve">    10. Gubici po osnovu prodaje HOV i udjela (227 do 230)</v>
      </c>
      <c r="E32" s="38" t="str">
        <f>IF(VLOOKUP(E$2&amp;Income_Statement[[#This Row],[Aop]],Data[],1)=E$2&amp;Income_Statement[[#This Row],[Aop]],VLOOKUP(E$2&amp;Income_Statement[[#This Row],[Aop]],Data[],E$1)/Jedinica,"")</f>
        <v/>
      </c>
      <c r="F32" s="38" t="str">
        <f>IF(VLOOKUP(F$2&amp;Income_Statement[[#This Row],[Aop]],Data[],1)=F$2&amp;Income_Statement[[#This Row],[Aop]],VLOOKUP(F$2&amp;Income_Statement[[#This Row],[Aop]],Data[],F$1)/Jedinica,"")</f>
        <v/>
      </c>
      <c r="G32" s="38" t="str">
        <f>IF(VLOOKUP(G$2&amp;Income_Statement[[#This Row],[Aop]],Data[],1)=G$2&amp;Income_Statement[[#This Row],[Aop]],VLOOKUP(G$2&amp;Income_Statement[[#This Row],[Aop]],Data[],G$1)/Jedinica,"")</f>
        <v/>
      </c>
      <c r="H32" s="38" t="str">
        <f>IF(VLOOKUP(H$2&amp;Income_Statement[[#This Row],[Aop]],Data[],1)=H$2&amp;Income_Statement[[#This Row],[Aop]],VLOOKUP(H$2&amp;Income_Statement[[#This Row],[Aop]],Data[],H$1)/Jedinica,"")</f>
        <v/>
      </c>
      <c r="I32" s="38" t="str">
        <f>IF(VLOOKUP(I$2&amp;Income_Statement[[#This Row],[Aop]],Data[],1)=I$2&amp;Income_Statement[[#This Row],[Aop]],VLOOKUP(I$2&amp;Income_Statement[[#This Row],[Aop]],Data[],I$1)/Jedinica,"")</f>
        <v/>
      </c>
      <c r="J32" s="38" t="str">
        <f>IF(VLOOKUP(J$2&amp;Income_Statement[[#This Row],[Aop]],Data[],1)=J$2&amp;Income_Statement[[#This Row],[Aop]],VLOOKUP(J$2&amp;Income_Statement[[#This Row],[Aop]],Data[],J$1)/Jedinica,"")</f>
        <v/>
      </c>
      <c r="K32" s="38" t="str">
        <f>IF(VLOOKUP(K$2&amp;Income_Statement[[#This Row],[Aop]],Data[],1)=K$2&amp;Income_Statement[[#This Row],[Aop]],VLOOKUP(K$2&amp;Income_Statement[[#This Row],[Aop]],Data[],K$1)/Jedinica,"")</f>
        <v/>
      </c>
      <c r="L32" s="38" t="str">
        <f>IF(VLOOKUP(L$2&amp;Income_Statement[[#This Row],[Aop]],Data[],1)=L$2&amp;Income_Statement[[#This Row],[Aop]],VLOOKUP(L$2&amp;Income_Statement[[#This Row],[Aop]],Data[],L$1)/Jedinica,"")</f>
        <v/>
      </c>
      <c r="M32" s="38" t="str">
        <f>IF(VLOOKUP(M$2&amp;Income_Statement[[#This Row],[Aop]],Data[],1)=M$2&amp;Income_Statement[[#This Row],[Aop]],VLOOKUP(M$2&amp;Income_Statement[[#This Row],[Aop]],Data[],M$1)/Jedinica,"")</f>
        <v/>
      </c>
      <c r="N32" s="38" t="str">
        <f>IF(VLOOKUP(N$2&amp;Income_Statement[[#This Row],[Aop]],Data[],1)=N$2&amp;Income_Statement[[#This Row],[Aop]],VLOOKUP(N$2&amp;Income_Statement[[#This Row],[Aop]],Data[],N$1)/Jedinica,"")</f>
        <v/>
      </c>
      <c r="O32" s="38" t="str">
        <f>IF(VLOOKUP(O$2&amp;Income_Statement[[#This Row],[Aop]],Data[],1)=O$2&amp;Income_Statement[[#This Row],[Aop]],VLOOKUP(O$2&amp;Income_Statement[[#This Row],[Aop]],Data[],O$1)/Jedinica,"")</f>
        <v/>
      </c>
      <c r="P32" s="38" t="str">
        <f>IF(VLOOKUP(P$2&amp;Income_Statement[[#This Row],[Aop]],Data[],1)=P$2&amp;Income_Statement[[#This Row],[Aop]],VLOOKUP(P$2&amp;Income_Statement[[#This Row],[Aop]],Data[],P$1)/Jedinica,"")</f>
        <v/>
      </c>
      <c r="Q32" s="38" t="str">
        <f>IF(VLOOKUP(Q$2&amp;Income_Statement[[#This Row],[Aop]],Data[],1)=Q$2&amp;Income_Statement[[#This Row],[Aop]],VLOOKUP(Q$2&amp;Income_Statement[[#This Row],[Aop]],Data[],Q$1)/Jedinica,"")</f>
        <v/>
      </c>
      <c r="R32" s="38" t="str">
        <f>IF(VLOOKUP(R$2&amp;Income_Statement[[#This Row],[Aop]],Data[],1)=R$2&amp;Income_Statement[[#This Row],[Aop]],VLOOKUP(R$2&amp;Income_Statement[[#This Row],[Aop]],Data[],R$1)/Jedinica,"")</f>
        <v/>
      </c>
      <c r="S32" s="38" t="str">
        <f>IF(VLOOKUP(S$2&amp;Income_Statement[[#This Row],[Aop]],Data[],1)=S$2&amp;Income_Statement[[#This Row],[Aop]],VLOOKUP(S$2&amp;Income_Statement[[#This Row],[Aop]],Data[],S$1)/Jedinica,"")</f>
        <v/>
      </c>
      <c r="T32" s="38" t="str">
        <f>IF(VLOOKUP(T$2&amp;Income_Statement[[#This Row],[Aop]],Data[],1)=T$2&amp;Income_Statement[[#This Row],[Aop]],VLOOKUP(T$2&amp;Income_Statement[[#This Row],[Aop]],Data[],T$1)/Jedinica,"")</f>
        <v/>
      </c>
    </row>
    <row r="33" spans="1:20" ht="12.75" customHeight="1" x14ac:dyDescent="0.2">
      <c r="A33" s="74">
        <v>133</v>
      </c>
      <c r="B33" s="74">
        <v>3</v>
      </c>
      <c r="C33" s="78" t="str">
        <f>VLOOKUP(Income_Statement[[#This Row],[No]],AOP_Balance,3,0)</f>
        <v>227</v>
      </c>
      <c r="D33" s="52" t="str">
        <f>VLOOKUP(Income_Statement[[#This Row],[No]],AOP_Balance,7,0)</f>
        <v xml:space="preserve">      a) Gubici po osnovu prodaje HOV po fer vrijednosti kroz bilans uspjeha</v>
      </c>
      <c r="E33" s="38" t="str">
        <f>IF(VLOOKUP(E$2&amp;Income_Statement[[#This Row],[Aop]],Data[],1)=E$2&amp;Income_Statement[[#This Row],[Aop]],VLOOKUP(E$2&amp;Income_Statement[[#This Row],[Aop]],Data[],E$1)/Jedinica,"")</f>
        <v/>
      </c>
      <c r="F33" s="38" t="str">
        <f>IF(VLOOKUP(F$2&amp;Income_Statement[[#This Row],[Aop]],Data[],1)=F$2&amp;Income_Statement[[#This Row],[Aop]],VLOOKUP(F$2&amp;Income_Statement[[#This Row],[Aop]],Data[],F$1)/Jedinica,"")</f>
        <v/>
      </c>
      <c r="G33" s="38" t="str">
        <f>IF(VLOOKUP(G$2&amp;Income_Statement[[#This Row],[Aop]],Data[],1)=G$2&amp;Income_Statement[[#This Row],[Aop]],VLOOKUP(G$2&amp;Income_Statement[[#This Row],[Aop]],Data[],G$1)/Jedinica,"")</f>
        <v/>
      </c>
      <c r="H33" s="38" t="str">
        <f>IF(VLOOKUP(H$2&amp;Income_Statement[[#This Row],[Aop]],Data[],1)=H$2&amp;Income_Statement[[#This Row],[Aop]],VLOOKUP(H$2&amp;Income_Statement[[#This Row],[Aop]],Data[],H$1)/Jedinica,"")</f>
        <v/>
      </c>
      <c r="I33" s="38" t="str">
        <f>IF(VLOOKUP(I$2&amp;Income_Statement[[#This Row],[Aop]],Data[],1)=I$2&amp;Income_Statement[[#This Row],[Aop]],VLOOKUP(I$2&amp;Income_Statement[[#This Row],[Aop]],Data[],I$1)/Jedinica,"")</f>
        <v/>
      </c>
      <c r="J33" s="38" t="str">
        <f>IF(VLOOKUP(J$2&amp;Income_Statement[[#This Row],[Aop]],Data[],1)=J$2&amp;Income_Statement[[#This Row],[Aop]],VLOOKUP(J$2&amp;Income_Statement[[#This Row],[Aop]],Data[],J$1)/Jedinica,"")</f>
        <v/>
      </c>
      <c r="K33" s="38" t="str">
        <f>IF(VLOOKUP(K$2&amp;Income_Statement[[#This Row],[Aop]],Data[],1)=K$2&amp;Income_Statement[[#This Row],[Aop]],VLOOKUP(K$2&amp;Income_Statement[[#This Row],[Aop]],Data[],K$1)/Jedinica,"")</f>
        <v/>
      </c>
      <c r="L33" s="38" t="str">
        <f>IF(VLOOKUP(L$2&amp;Income_Statement[[#This Row],[Aop]],Data[],1)=L$2&amp;Income_Statement[[#This Row],[Aop]],VLOOKUP(L$2&amp;Income_Statement[[#This Row],[Aop]],Data[],L$1)/Jedinica,"")</f>
        <v/>
      </c>
      <c r="M33" s="38" t="str">
        <f>IF(VLOOKUP(M$2&amp;Income_Statement[[#This Row],[Aop]],Data[],1)=M$2&amp;Income_Statement[[#This Row],[Aop]],VLOOKUP(M$2&amp;Income_Statement[[#This Row],[Aop]],Data[],M$1)/Jedinica,"")</f>
        <v/>
      </c>
      <c r="N33" s="38" t="str">
        <f>IF(VLOOKUP(N$2&amp;Income_Statement[[#This Row],[Aop]],Data[],1)=N$2&amp;Income_Statement[[#This Row],[Aop]],VLOOKUP(N$2&amp;Income_Statement[[#This Row],[Aop]],Data[],N$1)/Jedinica,"")</f>
        <v/>
      </c>
      <c r="O33" s="38" t="str">
        <f>IF(VLOOKUP(O$2&amp;Income_Statement[[#This Row],[Aop]],Data[],1)=O$2&amp;Income_Statement[[#This Row],[Aop]],VLOOKUP(O$2&amp;Income_Statement[[#This Row],[Aop]],Data[],O$1)/Jedinica,"")</f>
        <v/>
      </c>
      <c r="P33" s="38" t="str">
        <f>IF(VLOOKUP(P$2&amp;Income_Statement[[#This Row],[Aop]],Data[],1)=P$2&amp;Income_Statement[[#This Row],[Aop]],VLOOKUP(P$2&amp;Income_Statement[[#This Row],[Aop]],Data[],P$1)/Jedinica,"")</f>
        <v/>
      </c>
      <c r="Q33" s="38" t="str">
        <f>IF(VLOOKUP(Q$2&amp;Income_Statement[[#This Row],[Aop]],Data[],1)=Q$2&amp;Income_Statement[[#This Row],[Aop]],VLOOKUP(Q$2&amp;Income_Statement[[#This Row],[Aop]],Data[],Q$1)/Jedinica,"")</f>
        <v/>
      </c>
      <c r="R33" s="38" t="str">
        <f>IF(VLOOKUP(R$2&amp;Income_Statement[[#This Row],[Aop]],Data[],1)=R$2&amp;Income_Statement[[#This Row],[Aop]],VLOOKUP(R$2&amp;Income_Statement[[#This Row],[Aop]],Data[],R$1)/Jedinica,"")</f>
        <v/>
      </c>
      <c r="S33" s="38" t="str">
        <f>IF(VLOOKUP(S$2&amp;Income_Statement[[#This Row],[Aop]],Data[],1)=S$2&amp;Income_Statement[[#This Row],[Aop]],VLOOKUP(S$2&amp;Income_Statement[[#This Row],[Aop]],Data[],S$1)/Jedinica,"")</f>
        <v/>
      </c>
      <c r="T33" s="38" t="str">
        <f>IF(VLOOKUP(T$2&amp;Income_Statement[[#This Row],[Aop]],Data[],1)=T$2&amp;Income_Statement[[#This Row],[Aop]],VLOOKUP(T$2&amp;Income_Statement[[#This Row],[Aop]],Data[],T$1)/Jedinica,"")</f>
        <v/>
      </c>
    </row>
    <row r="34" spans="1:20" ht="12.75" customHeight="1" x14ac:dyDescent="0.2">
      <c r="A34" s="74">
        <v>134</v>
      </c>
      <c r="B34" s="74">
        <v>3</v>
      </c>
      <c r="C34" s="78" t="str">
        <f>VLOOKUP(Income_Statement[[#This Row],[No]],AOP_Balance,3,0)</f>
        <v>228</v>
      </c>
      <c r="D34" s="52" t="str">
        <f>VLOOKUP(Income_Statement[[#This Row],[No]],AOP_Balance,7,0)</f>
        <v xml:space="preserve">      b) Gubici po osnovu prodaje HOV koje su raspoložive za prodaju</v>
      </c>
      <c r="E34" s="38" t="str">
        <f>IF(VLOOKUP(E$2&amp;Income_Statement[[#This Row],[Aop]],Data[],1)=E$2&amp;Income_Statement[[#This Row],[Aop]],VLOOKUP(E$2&amp;Income_Statement[[#This Row],[Aop]],Data[],E$1)/Jedinica,"")</f>
        <v/>
      </c>
      <c r="F34" s="38" t="str">
        <f>IF(VLOOKUP(F$2&amp;Income_Statement[[#This Row],[Aop]],Data[],1)=F$2&amp;Income_Statement[[#This Row],[Aop]],VLOOKUP(F$2&amp;Income_Statement[[#This Row],[Aop]],Data[],F$1)/Jedinica,"")</f>
        <v/>
      </c>
      <c r="G34" s="38" t="str">
        <f>IF(VLOOKUP(G$2&amp;Income_Statement[[#This Row],[Aop]],Data[],1)=G$2&amp;Income_Statement[[#This Row],[Aop]],VLOOKUP(G$2&amp;Income_Statement[[#This Row],[Aop]],Data[],G$1)/Jedinica,"")</f>
        <v/>
      </c>
      <c r="H34" s="38" t="str">
        <f>IF(VLOOKUP(H$2&amp;Income_Statement[[#This Row],[Aop]],Data[],1)=H$2&amp;Income_Statement[[#This Row],[Aop]],VLOOKUP(H$2&amp;Income_Statement[[#This Row],[Aop]],Data[],H$1)/Jedinica,"")</f>
        <v/>
      </c>
      <c r="I34" s="38" t="str">
        <f>IF(VLOOKUP(I$2&amp;Income_Statement[[#This Row],[Aop]],Data[],1)=I$2&amp;Income_Statement[[#This Row],[Aop]],VLOOKUP(I$2&amp;Income_Statement[[#This Row],[Aop]],Data[],I$1)/Jedinica,"")</f>
        <v/>
      </c>
      <c r="J34" s="38" t="str">
        <f>IF(VLOOKUP(J$2&amp;Income_Statement[[#This Row],[Aop]],Data[],1)=J$2&amp;Income_Statement[[#This Row],[Aop]],VLOOKUP(J$2&amp;Income_Statement[[#This Row],[Aop]],Data[],J$1)/Jedinica,"")</f>
        <v/>
      </c>
      <c r="K34" s="38" t="str">
        <f>IF(VLOOKUP(K$2&amp;Income_Statement[[#This Row],[Aop]],Data[],1)=K$2&amp;Income_Statement[[#This Row],[Aop]],VLOOKUP(K$2&amp;Income_Statement[[#This Row],[Aop]],Data[],K$1)/Jedinica,"")</f>
        <v/>
      </c>
      <c r="L34" s="38" t="str">
        <f>IF(VLOOKUP(L$2&amp;Income_Statement[[#This Row],[Aop]],Data[],1)=L$2&amp;Income_Statement[[#This Row],[Aop]],VLOOKUP(L$2&amp;Income_Statement[[#This Row],[Aop]],Data[],L$1)/Jedinica,"")</f>
        <v/>
      </c>
      <c r="M34" s="38" t="str">
        <f>IF(VLOOKUP(M$2&amp;Income_Statement[[#This Row],[Aop]],Data[],1)=M$2&amp;Income_Statement[[#This Row],[Aop]],VLOOKUP(M$2&amp;Income_Statement[[#This Row],[Aop]],Data[],M$1)/Jedinica,"")</f>
        <v/>
      </c>
      <c r="N34" s="38" t="str">
        <f>IF(VLOOKUP(N$2&amp;Income_Statement[[#This Row],[Aop]],Data[],1)=N$2&amp;Income_Statement[[#This Row],[Aop]],VLOOKUP(N$2&amp;Income_Statement[[#This Row],[Aop]],Data[],N$1)/Jedinica,"")</f>
        <v/>
      </c>
      <c r="O34" s="38" t="str">
        <f>IF(VLOOKUP(O$2&amp;Income_Statement[[#This Row],[Aop]],Data[],1)=O$2&amp;Income_Statement[[#This Row],[Aop]],VLOOKUP(O$2&amp;Income_Statement[[#This Row],[Aop]],Data[],O$1)/Jedinica,"")</f>
        <v/>
      </c>
      <c r="P34" s="38" t="str">
        <f>IF(VLOOKUP(P$2&amp;Income_Statement[[#This Row],[Aop]],Data[],1)=P$2&amp;Income_Statement[[#This Row],[Aop]],VLOOKUP(P$2&amp;Income_Statement[[#This Row],[Aop]],Data[],P$1)/Jedinica,"")</f>
        <v/>
      </c>
      <c r="Q34" s="38" t="str">
        <f>IF(VLOOKUP(Q$2&amp;Income_Statement[[#This Row],[Aop]],Data[],1)=Q$2&amp;Income_Statement[[#This Row],[Aop]],VLOOKUP(Q$2&amp;Income_Statement[[#This Row],[Aop]],Data[],Q$1)/Jedinica,"")</f>
        <v/>
      </c>
      <c r="R34" s="38" t="str">
        <f>IF(VLOOKUP(R$2&amp;Income_Statement[[#This Row],[Aop]],Data[],1)=R$2&amp;Income_Statement[[#This Row],[Aop]],VLOOKUP(R$2&amp;Income_Statement[[#This Row],[Aop]],Data[],R$1)/Jedinica,"")</f>
        <v/>
      </c>
      <c r="S34" s="38" t="str">
        <f>IF(VLOOKUP(S$2&amp;Income_Statement[[#This Row],[Aop]],Data[],1)=S$2&amp;Income_Statement[[#This Row],[Aop]],VLOOKUP(S$2&amp;Income_Statement[[#This Row],[Aop]],Data[],S$1)/Jedinica,"")</f>
        <v/>
      </c>
      <c r="T34" s="38" t="str">
        <f>IF(VLOOKUP(T$2&amp;Income_Statement[[#This Row],[Aop]],Data[],1)=T$2&amp;Income_Statement[[#This Row],[Aop]],VLOOKUP(T$2&amp;Income_Statement[[#This Row],[Aop]],Data[],T$1)/Jedinica,"")</f>
        <v/>
      </c>
    </row>
    <row r="35" spans="1:20" ht="12.75" customHeight="1" x14ac:dyDescent="0.2">
      <c r="A35" s="74">
        <v>135</v>
      </c>
      <c r="B35" s="74">
        <v>3</v>
      </c>
      <c r="C35" s="78" t="str">
        <f>VLOOKUP(Income_Statement[[#This Row],[No]],AOP_Balance,3,0)</f>
        <v>229</v>
      </c>
      <c r="D35" s="52" t="str">
        <f>VLOOKUP(Income_Statement[[#This Row],[No]],AOP_Balance,7,0)</f>
        <v xml:space="preserve">      v) Gubici po osnovu prodaje HOV koje se drže do roka dospijeća</v>
      </c>
      <c r="E35" s="38" t="str">
        <f>IF(VLOOKUP(E$2&amp;Income_Statement[[#This Row],[Aop]],Data[],1)=E$2&amp;Income_Statement[[#This Row],[Aop]],VLOOKUP(E$2&amp;Income_Statement[[#This Row],[Aop]],Data[],E$1)/Jedinica,"")</f>
        <v/>
      </c>
      <c r="F35" s="38" t="str">
        <f>IF(VLOOKUP(F$2&amp;Income_Statement[[#This Row],[Aop]],Data[],1)=F$2&amp;Income_Statement[[#This Row],[Aop]],VLOOKUP(F$2&amp;Income_Statement[[#This Row],[Aop]],Data[],F$1)/Jedinica,"")</f>
        <v/>
      </c>
      <c r="G35" s="38" t="str">
        <f>IF(VLOOKUP(G$2&amp;Income_Statement[[#This Row],[Aop]],Data[],1)=G$2&amp;Income_Statement[[#This Row],[Aop]],VLOOKUP(G$2&amp;Income_Statement[[#This Row],[Aop]],Data[],G$1)/Jedinica,"")</f>
        <v/>
      </c>
      <c r="H35" s="38" t="str">
        <f>IF(VLOOKUP(H$2&amp;Income_Statement[[#This Row],[Aop]],Data[],1)=H$2&amp;Income_Statement[[#This Row],[Aop]],VLOOKUP(H$2&amp;Income_Statement[[#This Row],[Aop]],Data[],H$1)/Jedinica,"")</f>
        <v/>
      </c>
      <c r="I35" s="38" t="str">
        <f>IF(VLOOKUP(I$2&amp;Income_Statement[[#This Row],[Aop]],Data[],1)=I$2&amp;Income_Statement[[#This Row],[Aop]],VLOOKUP(I$2&amp;Income_Statement[[#This Row],[Aop]],Data[],I$1)/Jedinica,"")</f>
        <v/>
      </c>
      <c r="J35" s="38" t="str">
        <f>IF(VLOOKUP(J$2&amp;Income_Statement[[#This Row],[Aop]],Data[],1)=J$2&amp;Income_Statement[[#This Row],[Aop]],VLOOKUP(J$2&amp;Income_Statement[[#This Row],[Aop]],Data[],J$1)/Jedinica,"")</f>
        <v/>
      </c>
      <c r="K35" s="38" t="str">
        <f>IF(VLOOKUP(K$2&amp;Income_Statement[[#This Row],[Aop]],Data[],1)=K$2&amp;Income_Statement[[#This Row],[Aop]],VLOOKUP(K$2&amp;Income_Statement[[#This Row],[Aop]],Data[],K$1)/Jedinica,"")</f>
        <v/>
      </c>
      <c r="L35" s="38" t="str">
        <f>IF(VLOOKUP(L$2&amp;Income_Statement[[#This Row],[Aop]],Data[],1)=L$2&amp;Income_Statement[[#This Row],[Aop]],VLOOKUP(L$2&amp;Income_Statement[[#This Row],[Aop]],Data[],L$1)/Jedinica,"")</f>
        <v/>
      </c>
      <c r="M35" s="38" t="str">
        <f>IF(VLOOKUP(M$2&amp;Income_Statement[[#This Row],[Aop]],Data[],1)=M$2&amp;Income_Statement[[#This Row],[Aop]],VLOOKUP(M$2&amp;Income_Statement[[#This Row],[Aop]],Data[],M$1)/Jedinica,"")</f>
        <v/>
      </c>
      <c r="N35" s="38" t="str">
        <f>IF(VLOOKUP(N$2&amp;Income_Statement[[#This Row],[Aop]],Data[],1)=N$2&amp;Income_Statement[[#This Row],[Aop]],VLOOKUP(N$2&amp;Income_Statement[[#This Row],[Aop]],Data[],N$1)/Jedinica,"")</f>
        <v/>
      </c>
      <c r="O35" s="38" t="str">
        <f>IF(VLOOKUP(O$2&amp;Income_Statement[[#This Row],[Aop]],Data[],1)=O$2&amp;Income_Statement[[#This Row],[Aop]],VLOOKUP(O$2&amp;Income_Statement[[#This Row],[Aop]],Data[],O$1)/Jedinica,"")</f>
        <v/>
      </c>
      <c r="P35" s="38" t="str">
        <f>IF(VLOOKUP(P$2&amp;Income_Statement[[#This Row],[Aop]],Data[],1)=P$2&amp;Income_Statement[[#This Row],[Aop]],VLOOKUP(P$2&amp;Income_Statement[[#This Row],[Aop]],Data[],P$1)/Jedinica,"")</f>
        <v/>
      </c>
      <c r="Q35" s="38" t="str">
        <f>IF(VLOOKUP(Q$2&amp;Income_Statement[[#This Row],[Aop]],Data[],1)=Q$2&amp;Income_Statement[[#This Row],[Aop]],VLOOKUP(Q$2&amp;Income_Statement[[#This Row],[Aop]],Data[],Q$1)/Jedinica,"")</f>
        <v/>
      </c>
      <c r="R35" s="38" t="str">
        <f>IF(VLOOKUP(R$2&amp;Income_Statement[[#This Row],[Aop]],Data[],1)=R$2&amp;Income_Statement[[#This Row],[Aop]],VLOOKUP(R$2&amp;Income_Statement[[#This Row],[Aop]],Data[],R$1)/Jedinica,"")</f>
        <v/>
      </c>
      <c r="S35" s="38" t="str">
        <f>IF(VLOOKUP(S$2&amp;Income_Statement[[#This Row],[Aop]],Data[],1)=S$2&amp;Income_Statement[[#This Row],[Aop]],VLOOKUP(S$2&amp;Income_Statement[[#This Row],[Aop]],Data[],S$1)/Jedinica,"")</f>
        <v/>
      </c>
      <c r="T35" s="38" t="str">
        <f>IF(VLOOKUP(T$2&amp;Income_Statement[[#This Row],[Aop]],Data[],1)=T$2&amp;Income_Statement[[#This Row],[Aop]],VLOOKUP(T$2&amp;Income_Statement[[#This Row],[Aop]],Data[],T$1)/Jedinica,"")</f>
        <v/>
      </c>
    </row>
    <row r="36" spans="1:20" ht="12.75" customHeight="1" x14ac:dyDescent="0.2">
      <c r="A36" s="74">
        <v>136</v>
      </c>
      <c r="B36" s="74">
        <v>3</v>
      </c>
      <c r="C36" s="78" t="str">
        <f>VLOOKUP(Income_Statement[[#This Row],[No]],AOP_Balance,3,0)</f>
        <v>230</v>
      </c>
      <c r="D36" s="52" t="str">
        <f>VLOOKUP(Income_Statement[[#This Row],[No]],AOP_Balance,7,0)</f>
        <v xml:space="preserve">      g) Gubici po osnovu prodaje udjela (učešća)</v>
      </c>
      <c r="E36" s="38" t="str">
        <f>IF(VLOOKUP(E$2&amp;Income_Statement[[#This Row],[Aop]],Data[],1)=E$2&amp;Income_Statement[[#This Row],[Aop]],VLOOKUP(E$2&amp;Income_Statement[[#This Row],[Aop]],Data[],E$1)/Jedinica,"")</f>
        <v/>
      </c>
      <c r="F36" s="38" t="str">
        <f>IF(VLOOKUP(F$2&amp;Income_Statement[[#This Row],[Aop]],Data[],1)=F$2&amp;Income_Statement[[#This Row],[Aop]],VLOOKUP(F$2&amp;Income_Statement[[#This Row],[Aop]],Data[],F$1)/Jedinica,"")</f>
        <v/>
      </c>
      <c r="G36" s="38" t="str">
        <f>IF(VLOOKUP(G$2&amp;Income_Statement[[#This Row],[Aop]],Data[],1)=G$2&amp;Income_Statement[[#This Row],[Aop]],VLOOKUP(G$2&amp;Income_Statement[[#This Row],[Aop]],Data[],G$1)/Jedinica,"")</f>
        <v/>
      </c>
      <c r="H36" s="38" t="str">
        <f>IF(VLOOKUP(H$2&amp;Income_Statement[[#This Row],[Aop]],Data[],1)=H$2&amp;Income_Statement[[#This Row],[Aop]],VLOOKUP(H$2&amp;Income_Statement[[#This Row],[Aop]],Data[],H$1)/Jedinica,"")</f>
        <v/>
      </c>
      <c r="I36" s="38" t="str">
        <f>IF(VLOOKUP(I$2&amp;Income_Statement[[#This Row],[Aop]],Data[],1)=I$2&amp;Income_Statement[[#This Row],[Aop]],VLOOKUP(I$2&amp;Income_Statement[[#This Row],[Aop]],Data[],I$1)/Jedinica,"")</f>
        <v/>
      </c>
      <c r="J36" s="38" t="str">
        <f>IF(VLOOKUP(J$2&amp;Income_Statement[[#This Row],[Aop]],Data[],1)=J$2&amp;Income_Statement[[#This Row],[Aop]],VLOOKUP(J$2&amp;Income_Statement[[#This Row],[Aop]],Data[],J$1)/Jedinica,"")</f>
        <v/>
      </c>
      <c r="K36" s="38" t="str">
        <f>IF(VLOOKUP(K$2&amp;Income_Statement[[#This Row],[Aop]],Data[],1)=K$2&amp;Income_Statement[[#This Row],[Aop]],VLOOKUP(K$2&amp;Income_Statement[[#This Row],[Aop]],Data[],K$1)/Jedinica,"")</f>
        <v/>
      </c>
      <c r="L36" s="38" t="str">
        <f>IF(VLOOKUP(L$2&amp;Income_Statement[[#This Row],[Aop]],Data[],1)=L$2&amp;Income_Statement[[#This Row],[Aop]],VLOOKUP(L$2&amp;Income_Statement[[#This Row],[Aop]],Data[],L$1)/Jedinica,"")</f>
        <v/>
      </c>
      <c r="M36" s="38" t="str">
        <f>IF(VLOOKUP(M$2&amp;Income_Statement[[#This Row],[Aop]],Data[],1)=M$2&amp;Income_Statement[[#This Row],[Aop]],VLOOKUP(M$2&amp;Income_Statement[[#This Row],[Aop]],Data[],M$1)/Jedinica,"")</f>
        <v/>
      </c>
      <c r="N36" s="38" t="str">
        <f>IF(VLOOKUP(N$2&amp;Income_Statement[[#This Row],[Aop]],Data[],1)=N$2&amp;Income_Statement[[#This Row],[Aop]],VLOOKUP(N$2&amp;Income_Statement[[#This Row],[Aop]],Data[],N$1)/Jedinica,"")</f>
        <v/>
      </c>
      <c r="O36" s="38" t="str">
        <f>IF(VLOOKUP(O$2&amp;Income_Statement[[#This Row],[Aop]],Data[],1)=O$2&amp;Income_Statement[[#This Row],[Aop]],VLOOKUP(O$2&amp;Income_Statement[[#This Row],[Aop]],Data[],O$1)/Jedinica,"")</f>
        <v/>
      </c>
      <c r="P36" s="38" t="str">
        <f>IF(VLOOKUP(P$2&amp;Income_Statement[[#This Row],[Aop]],Data[],1)=P$2&amp;Income_Statement[[#This Row],[Aop]],VLOOKUP(P$2&amp;Income_Statement[[#This Row],[Aop]],Data[],P$1)/Jedinica,"")</f>
        <v/>
      </c>
      <c r="Q36" s="38" t="str">
        <f>IF(VLOOKUP(Q$2&amp;Income_Statement[[#This Row],[Aop]],Data[],1)=Q$2&amp;Income_Statement[[#This Row],[Aop]],VLOOKUP(Q$2&amp;Income_Statement[[#This Row],[Aop]],Data[],Q$1)/Jedinica,"")</f>
        <v/>
      </c>
      <c r="R36" s="38" t="str">
        <f>IF(VLOOKUP(R$2&amp;Income_Statement[[#This Row],[Aop]],Data[],1)=R$2&amp;Income_Statement[[#This Row],[Aop]],VLOOKUP(R$2&amp;Income_Statement[[#This Row],[Aop]],Data[],R$1)/Jedinica,"")</f>
        <v/>
      </c>
      <c r="S36" s="38" t="str">
        <f>IF(VLOOKUP(S$2&amp;Income_Statement[[#This Row],[Aop]],Data[],1)=S$2&amp;Income_Statement[[#This Row],[Aop]],VLOOKUP(S$2&amp;Income_Statement[[#This Row],[Aop]],Data[],S$1)/Jedinica,"")</f>
        <v/>
      </c>
      <c r="T36" s="38" t="str">
        <f>IF(VLOOKUP(T$2&amp;Income_Statement[[#This Row],[Aop]],Data[],1)=T$2&amp;Income_Statement[[#This Row],[Aop]],VLOOKUP(T$2&amp;Income_Statement[[#This Row],[Aop]],Data[],T$1)/Jedinica,"")</f>
        <v/>
      </c>
    </row>
    <row r="37" spans="1:20" ht="12.75" customHeight="1" x14ac:dyDescent="0.2">
      <c r="A37" s="74">
        <v>137</v>
      </c>
      <c r="B37" s="74">
        <v>2</v>
      </c>
      <c r="C37" s="78" t="str">
        <f>VLOOKUP(Income_Statement[[#This Row],[No]],AOP_Balance,3,0)</f>
        <v>231</v>
      </c>
      <c r="D37" s="52" t="str">
        <f>VLOOKUP(Income_Statement[[#This Row],[No]],AOP_Balance,7,0)</f>
        <v xml:space="preserve">    11. Neto dobici po osnovu prodaje HOV i udjela (učešća) (221-226)</v>
      </c>
      <c r="E37" s="38">
        <f>IF(VLOOKUP(E$2&amp;Income_Statement[[#This Row],[Aop]],Data[],1)=E$2&amp;Income_Statement[[#This Row],[Aop]],VLOOKUP(E$2&amp;Income_Statement[[#This Row],[Aop]],Data[],E$1)/Jedinica,"")</f>
        <v>0</v>
      </c>
      <c r="F37" s="38">
        <f>IF(VLOOKUP(F$2&amp;Income_Statement[[#This Row],[Aop]],Data[],1)=F$2&amp;Income_Statement[[#This Row],[Aop]],VLOOKUP(F$2&amp;Income_Statement[[#This Row],[Aop]],Data[],F$1)/Jedinica,"")</f>
        <v>663</v>
      </c>
      <c r="G37" s="38" t="str">
        <f>IF(VLOOKUP(G$2&amp;Income_Statement[[#This Row],[Aop]],Data[],1)=G$2&amp;Income_Statement[[#This Row],[Aop]],VLOOKUP(G$2&amp;Income_Statement[[#This Row],[Aop]],Data[],G$1)/Jedinica,"")</f>
        <v/>
      </c>
      <c r="H37" s="38" t="str">
        <f>IF(VLOOKUP(H$2&amp;Income_Statement[[#This Row],[Aop]],Data[],1)=H$2&amp;Income_Statement[[#This Row],[Aop]],VLOOKUP(H$2&amp;Income_Statement[[#This Row],[Aop]],Data[],H$1)/Jedinica,"")</f>
        <v/>
      </c>
      <c r="I37" s="38" t="str">
        <f>IF(VLOOKUP(I$2&amp;Income_Statement[[#This Row],[Aop]],Data[],1)=I$2&amp;Income_Statement[[#This Row],[Aop]],VLOOKUP(I$2&amp;Income_Statement[[#This Row],[Aop]],Data[],I$1)/Jedinica,"")</f>
        <v/>
      </c>
      <c r="J37" s="38" t="str">
        <f>IF(VLOOKUP(J$2&amp;Income_Statement[[#This Row],[Aop]],Data[],1)=J$2&amp;Income_Statement[[#This Row],[Aop]],VLOOKUP(J$2&amp;Income_Statement[[#This Row],[Aop]],Data[],J$1)/Jedinica,"")</f>
        <v/>
      </c>
      <c r="K37" s="38" t="str">
        <f>IF(VLOOKUP(K$2&amp;Income_Statement[[#This Row],[Aop]],Data[],1)=K$2&amp;Income_Statement[[#This Row],[Aop]],VLOOKUP(K$2&amp;Income_Statement[[#This Row],[Aop]],Data[],K$1)/Jedinica,"")</f>
        <v/>
      </c>
      <c r="L37" s="38" t="str">
        <f>IF(VLOOKUP(L$2&amp;Income_Statement[[#This Row],[Aop]],Data[],1)=L$2&amp;Income_Statement[[#This Row],[Aop]],VLOOKUP(L$2&amp;Income_Statement[[#This Row],[Aop]],Data[],L$1)/Jedinica,"")</f>
        <v/>
      </c>
      <c r="M37" s="38" t="str">
        <f>IF(VLOOKUP(M$2&amp;Income_Statement[[#This Row],[Aop]],Data[],1)=M$2&amp;Income_Statement[[#This Row],[Aop]],VLOOKUP(M$2&amp;Income_Statement[[#This Row],[Aop]],Data[],M$1)/Jedinica,"")</f>
        <v/>
      </c>
      <c r="N37" s="38" t="str">
        <f>IF(VLOOKUP(N$2&amp;Income_Statement[[#This Row],[Aop]],Data[],1)=N$2&amp;Income_Statement[[#This Row],[Aop]],VLOOKUP(N$2&amp;Income_Statement[[#This Row],[Aop]],Data[],N$1)/Jedinica,"")</f>
        <v/>
      </c>
      <c r="O37" s="38" t="str">
        <f>IF(VLOOKUP(O$2&amp;Income_Statement[[#This Row],[Aop]],Data[],1)=O$2&amp;Income_Statement[[#This Row],[Aop]],VLOOKUP(O$2&amp;Income_Statement[[#This Row],[Aop]],Data[],O$1)/Jedinica,"")</f>
        <v/>
      </c>
      <c r="P37" s="38" t="str">
        <f>IF(VLOOKUP(P$2&amp;Income_Statement[[#This Row],[Aop]],Data[],1)=P$2&amp;Income_Statement[[#This Row],[Aop]],VLOOKUP(P$2&amp;Income_Statement[[#This Row],[Aop]],Data[],P$1)/Jedinica,"")</f>
        <v/>
      </c>
      <c r="Q37" s="38" t="str">
        <f>IF(VLOOKUP(Q$2&amp;Income_Statement[[#This Row],[Aop]],Data[],1)=Q$2&amp;Income_Statement[[#This Row],[Aop]],VLOOKUP(Q$2&amp;Income_Statement[[#This Row],[Aop]],Data[],Q$1)/Jedinica,"")</f>
        <v/>
      </c>
      <c r="R37" s="38" t="str">
        <f>IF(VLOOKUP(R$2&amp;Income_Statement[[#This Row],[Aop]],Data[],1)=R$2&amp;Income_Statement[[#This Row],[Aop]],VLOOKUP(R$2&amp;Income_Statement[[#This Row],[Aop]],Data[],R$1)/Jedinica,"")</f>
        <v/>
      </c>
      <c r="S37" s="38">
        <f>IF(VLOOKUP(S$2&amp;Income_Statement[[#This Row],[Aop]],Data[],1)=S$2&amp;Income_Statement[[#This Row],[Aop]],VLOOKUP(S$2&amp;Income_Statement[[#This Row],[Aop]],Data[],S$1)/Jedinica,"")</f>
        <v>0</v>
      </c>
      <c r="T37" s="38">
        <f>IF(VLOOKUP(T$2&amp;Income_Statement[[#This Row],[Aop]],Data[],1)=T$2&amp;Income_Statement[[#This Row],[Aop]],VLOOKUP(T$2&amp;Income_Statement[[#This Row],[Aop]],Data[],T$1)/Jedinica,"")</f>
        <v>66537</v>
      </c>
    </row>
    <row r="38" spans="1:20" ht="12.75" customHeight="1" x14ac:dyDescent="0.2">
      <c r="A38" s="74">
        <v>138</v>
      </c>
      <c r="B38" s="74">
        <v>2</v>
      </c>
      <c r="C38" s="78" t="str">
        <f>VLOOKUP(Income_Statement[[#This Row],[No]],AOP_Balance,3,0)</f>
        <v>232</v>
      </c>
      <c r="D38" s="52" t="str">
        <f>VLOOKUP(Income_Statement[[#This Row],[No]],AOP_Balance,7,0)</f>
        <v xml:space="preserve">    12. Neto gubici po osnovu prodaje HOV i udjela (učešća) (226-221)</v>
      </c>
      <c r="E38" s="38" t="str">
        <f>IF(VLOOKUP(E$2&amp;Income_Statement[[#This Row],[Aop]],Data[],1)=E$2&amp;Income_Statement[[#This Row],[Aop]],VLOOKUP(E$2&amp;Income_Statement[[#This Row],[Aop]],Data[],E$1)/Jedinica,"")</f>
        <v/>
      </c>
      <c r="F38" s="38" t="str">
        <f>IF(VLOOKUP(F$2&amp;Income_Statement[[#This Row],[Aop]],Data[],1)=F$2&amp;Income_Statement[[#This Row],[Aop]],VLOOKUP(F$2&amp;Income_Statement[[#This Row],[Aop]],Data[],F$1)/Jedinica,"")</f>
        <v/>
      </c>
      <c r="G38" s="38" t="str">
        <f>IF(VLOOKUP(G$2&amp;Income_Statement[[#This Row],[Aop]],Data[],1)=G$2&amp;Income_Statement[[#This Row],[Aop]],VLOOKUP(G$2&amp;Income_Statement[[#This Row],[Aop]],Data[],G$1)/Jedinica,"")</f>
        <v/>
      </c>
      <c r="H38" s="38" t="str">
        <f>IF(VLOOKUP(H$2&amp;Income_Statement[[#This Row],[Aop]],Data[],1)=H$2&amp;Income_Statement[[#This Row],[Aop]],VLOOKUP(H$2&amp;Income_Statement[[#This Row],[Aop]],Data[],H$1)/Jedinica,"")</f>
        <v/>
      </c>
      <c r="I38" s="38" t="str">
        <f>IF(VLOOKUP(I$2&amp;Income_Statement[[#This Row],[Aop]],Data[],1)=I$2&amp;Income_Statement[[#This Row],[Aop]],VLOOKUP(I$2&amp;Income_Statement[[#This Row],[Aop]],Data[],I$1)/Jedinica,"")</f>
        <v/>
      </c>
      <c r="J38" s="38" t="str">
        <f>IF(VLOOKUP(J$2&amp;Income_Statement[[#This Row],[Aop]],Data[],1)=J$2&amp;Income_Statement[[#This Row],[Aop]],VLOOKUP(J$2&amp;Income_Statement[[#This Row],[Aop]],Data[],J$1)/Jedinica,"")</f>
        <v/>
      </c>
      <c r="K38" s="38" t="str">
        <f>IF(VLOOKUP(K$2&amp;Income_Statement[[#This Row],[Aop]],Data[],1)=K$2&amp;Income_Statement[[#This Row],[Aop]],VLOOKUP(K$2&amp;Income_Statement[[#This Row],[Aop]],Data[],K$1)/Jedinica,"")</f>
        <v/>
      </c>
      <c r="L38" s="38" t="str">
        <f>IF(VLOOKUP(L$2&amp;Income_Statement[[#This Row],[Aop]],Data[],1)=L$2&amp;Income_Statement[[#This Row],[Aop]],VLOOKUP(L$2&amp;Income_Statement[[#This Row],[Aop]],Data[],L$1)/Jedinica,"")</f>
        <v/>
      </c>
      <c r="M38" s="38" t="str">
        <f>IF(VLOOKUP(M$2&amp;Income_Statement[[#This Row],[Aop]],Data[],1)=M$2&amp;Income_Statement[[#This Row],[Aop]],VLOOKUP(M$2&amp;Income_Statement[[#This Row],[Aop]],Data[],M$1)/Jedinica,"")</f>
        <v/>
      </c>
      <c r="N38" s="38" t="str">
        <f>IF(VLOOKUP(N$2&amp;Income_Statement[[#This Row],[Aop]],Data[],1)=N$2&amp;Income_Statement[[#This Row],[Aop]],VLOOKUP(N$2&amp;Income_Statement[[#This Row],[Aop]],Data[],N$1)/Jedinica,"")</f>
        <v/>
      </c>
      <c r="O38" s="38" t="str">
        <f>IF(VLOOKUP(O$2&amp;Income_Statement[[#This Row],[Aop]],Data[],1)=O$2&amp;Income_Statement[[#This Row],[Aop]],VLOOKUP(O$2&amp;Income_Statement[[#This Row],[Aop]],Data[],O$1)/Jedinica,"")</f>
        <v/>
      </c>
      <c r="P38" s="38" t="str">
        <f>IF(VLOOKUP(P$2&amp;Income_Statement[[#This Row],[Aop]],Data[],1)=P$2&amp;Income_Statement[[#This Row],[Aop]],VLOOKUP(P$2&amp;Income_Statement[[#This Row],[Aop]],Data[],P$1)/Jedinica,"")</f>
        <v/>
      </c>
      <c r="Q38" s="38" t="str">
        <f>IF(VLOOKUP(Q$2&amp;Income_Statement[[#This Row],[Aop]],Data[],1)=Q$2&amp;Income_Statement[[#This Row],[Aop]],VLOOKUP(Q$2&amp;Income_Statement[[#This Row],[Aop]],Data[],Q$1)/Jedinica,"")</f>
        <v/>
      </c>
      <c r="R38" s="38" t="str">
        <f>IF(VLOOKUP(R$2&amp;Income_Statement[[#This Row],[Aop]],Data[],1)=R$2&amp;Income_Statement[[#This Row],[Aop]],VLOOKUP(R$2&amp;Income_Statement[[#This Row],[Aop]],Data[],R$1)/Jedinica,"")</f>
        <v/>
      </c>
      <c r="S38" s="38" t="str">
        <f>IF(VLOOKUP(S$2&amp;Income_Statement[[#This Row],[Aop]],Data[],1)=S$2&amp;Income_Statement[[#This Row],[Aop]],VLOOKUP(S$2&amp;Income_Statement[[#This Row],[Aop]],Data[],S$1)/Jedinica,"")</f>
        <v/>
      </c>
      <c r="T38" s="38" t="str">
        <f>IF(VLOOKUP(T$2&amp;Income_Statement[[#This Row],[Aop]],Data[],1)=T$2&amp;Income_Statement[[#This Row],[Aop]],VLOOKUP(T$2&amp;Income_Statement[[#This Row],[Aop]],Data[],T$1)/Jedinica,"")</f>
        <v/>
      </c>
    </row>
    <row r="39" spans="1:20" ht="12.75" customHeight="1" x14ac:dyDescent="0.2">
      <c r="A39" s="74">
        <v>139</v>
      </c>
      <c r="B39" s="74">
        <v>2</v>
      </c>
      <c r="C39" s="78" t="str">
        <f>VLOOKUP(Income_Statement[[#This Row],[No]],AOP_Balance,3,0)</f>
        <v>233</v>
      </c>
      <c r="D39" s="52" t="str">
        <f>VLOOKUP(Income_Statement[[#This Row],[No]],AOP_Balance,7,0)</f>
        <v xml:space="preserve">    13. DOBITAK IZ POSLOVA FINANSIRANJA (201+211+221-205-215-226)</v>
      </c>
      <c r="E39" s="38">
        <f>IF(VLOOKUP(E$2&amp;Income_Statement[[#This Row],[Aop]],Data[],1)=E$2&amp;Income_Statement[[#This Row],[Aop]],VLOOKUP(E$2&amp;Income_Statement[[#This Row],[Aop]],Data[],E$1)/Jedinica,"")</f>
        <v>7005755</v>
      </c>
      <c r="F39" s="38">
        <f>IF(VLOOKUP(F$2&amp;Income_Statement[[#This Row],[Aop]],Data[],1)=F$2&amp;Income_Statement[[#This Row],[Aop]],VLOOKUP(F$2&amp;Income_Statement[[#This Row],[Aop]],Data[],F$1)/Jedinica,"")</f>
        <v>7238683</v>
      </c>
      <c r="G39" s="38">
        <f>IF(VLOOKUP(G$2&amp;Income_Statement[[#This Row],[Aop]],Data[],1)=G$2&amp;Income_Statement[[#This Row],[Aop]],VLOOKUP(G$2&amp;Income_Statement[[#This Row],[Aop]],Data[],G$1)/Jedinica,"")</f>
        <v>5362326</v>
      </c>
      <c r="H39" s="38">
        <f>IF(VLOOKUP(H$2&amp;Income_Statement[[#This Row],[Aop]],Data[],1)=H$2&amp;Income_Statement[[#This Row],[Aop]],VLOOKUP(H$2&amp;Income_Statement[[#This Row],[Aop]],Data[],H$1)/Jedinica,"")</f>
        <v>6766103</v>
      </c>
      <c r="I39" s="38">
        <f>IF(VLOOKUP(I$2&amp;Income_Statement[[#This Row],[Aop]],Data[],1)=I$2&amp;Income_Statement[[#This Row],[Aop]],VLOOKUP(I$2&amp;Income_Statement[[#This Row],[Aop]],Data[],I$1)/Jedinica,"")</f>
        <v>3573939</v>
      </c>
      <c r="J39" s="38">
        <f>IF(VLOOKUP(J$2&amp;Income_Statement[[#This Row],[Aop]],Data[],1)=J$2&amp;Income_Statement[[#This Row],[Aop]],VLOOKUP(J$2&amp;Income_Statement[[#This Row],[Aop]],Data[],J$1)/Jedinica,"")</f>
        <v>2351708</v>
      </c>
      <c r="K39" s="38">
        <f>IF(VLOOKUP(K$2&amp;Income_Statement[[#This Row],[Aop]],Data[],1)=K$2&amp;Income_Statement[[#This Row],[Aop]],VLOOKUP(K$2&amp;Income_Statement[[#This Row],[Aop]],Data[],K$1)/Jedinica,"")</f>
        <v>6242787</v>
      </c>
      <c r="L39" s="38">
        <f>IF(VLOOKUP(L$2&amp;Income_Statement[[#This Row],[Aop]],Data[],1)=L$2&amp;Income_Statement[[#This Row],[Aop]],VLOOKUP(L$2&amp;Income_Statement[[#This Row],[Aop]],Data[],L$1)/Jedinica,"")</f>
        <v>6997815</v>
      </c>
      <c r="M39" s="38">
        <f>IF(VLOOKUP(M$2&amp;Income_Statement[[#This Row],[Aop]],Data[],1)=M$2&amp;Income_Statement[[#This Row],[Aop]],VLOOKUP(M$2&amp;Income_Statement[[#This Row],[Aop]],Data[],M$1)/Jedinica,"")</f>
        <v>28658525</v>
      </c>
      <c r="N39" s="38">
        <f>IF(VLOOKUP(N$2&amp;Income_Statement[[#This Row],[Aop]],Data[],1)=N$2&amp;Income_Statement[[#This Row],[Aop]],VLOOKUP(N$2&amp;Income_Statement[[#This Row],[Aop]],Data[],N$1)/Jedinica,"")</f>
        <v>25818565</v>
      </c>
      <c r="O39" s="38">
        <f>IF(VLOOKUP(O$2&amp;Income_Statement[[#This Row],[Aop]],Data[],1)=O$2&amp;Income_Statement[[#This Row],[Aop]],VLOOKUP(O$2&amp;Income_Statement[[#This Row],[Aop]],Data[],O$1)/Jedinica,"")</f>
        <v>6242787</v>
      </c>
      <c r="P39" s="38">
        <f>IF(VLOOKUP(P$2&amp;Income_Statement[[#This Row],[Aop]],Data[],1)=P$2&amp;Income_Statement[[#This Row],[Aop]],VLOOKUP(P$2&amp;Income_Statement[[#This Row],[Aop]],Data[],P$1)/Jedinica,"")</f>
        <v>6997815</v>
      </c>
      <c r="Q39" s="38">
        <f>IF(VLOOKUP(Q$2&amp;Income_Statement[[#This Row],[Aop]],Data[],1)=Q$2&amp;Income_Statement[[#This Row],[Aop]],VLOOKUP(Q$2&amp;Income_Statement[[#This Row],[Aop]],Data[],Q$1)/Jedinica,"")</f>
        <v>6791601</v>
      </c>
      <c r="R39" s="38">
        <f>IF(VLOOKUP(R$2&amp;Income_Statement[[#This Row],[Aop]],Data[],1)=R$2&amp;Income_Statement[[#This Row],[Aop]],VLOOKUP(R$2&amp;Income_Statement[[#This Row],[Aop]],Data[],R$1)/Jedinica,"")</f>
        <v>5853061</v>
      </c>
      <c r="S39" s="38">
        <f>IF(VLOOKUP(S$2&amp;Income_Statement[[#This Row],[Aop]],Data[],1)=S$2&amp;Income_Statement[[#This Row],[Aop]],VLOOKUP(S$2&amp;Income_Statement[[#This Row],[Aop]],Data[],S$1)/Jedinica,"")</f>
        <v>21771377</v>
      </c>
      <c r="T39" s="38">
        <f>IF(VLOOKUP(T$2&amp;Income_Statement[[#This Row],[Aop]],Data[],1)=T$2&amp;Income_Statement[[#This Row],[Aop]],VLOOKUP(T$2&amp;Income_Statement[[#This Row],[Aop]],Data[],T$1)/Jedinica,"")</f>
        <v>24007986</v>
      </c>
    </row>
    <row r="40" spans="1:20" ht="12.75" customHeight="1" x14ac:dyDescent="0.2">
      <c r="A40" s="74">
        <v>140</v>
      </c>
      <c r="B40" s="74">
        <v>2</v>
      </c>
      <c r="C40" s="78" t="str">
        <f>VLOOKUP(Income_Statement[[#This Row],[No]],AOP_Balance,3,0)</f>
        <v>234</v>
      </c>
      <c r="D40" s="52" t="str">
        <f>VLOOKUP(Income_Statement[[#This Row],[No]],AOP_Balance,7,0)</f>
        <v xml:space="preserve">    14. GUBITAK IZ POSLOVA FINANSIRANJA (205+215+226-201-211-221)</v>
      </c>
      <c r="E40" s="38" t="str">
        <f>IF(VLOOKUP(E$2&amp;Income_Statement[[#This Row],[Aop]],Data[],1)=E$2&amp;Income_Statement[[#This Row],[Aop]],VLOOKUP(E$2&amp;Income_Statement[[#This Row],[Aop]],Data[],E$1)/Jedinica,"")</f>
        <v/>
      </c>
      <c r="F40" s="38" t="str">
        <f>IF(VLOOKUP(F$2&amp;Income_Statement[[#This Row],[Aop]],Data[],1)=F$2&amp;Income_Statement[[#This Row],[Aop]],VLOOKUP(F$2&amp;Income_Statement[[#This Row],[Aop]],Data[],F$1)/Jedinica,"")</f>
        <v/>
      </c>
      <c r="G40" s="38" t="str">
        <f>IF(VLOOKUP(G$2&amp;Income_Statement[[#This Row],[Aop]],Data[],1)=G$2&amp;Income_Statement[[#This Row],[Aop]],VLOOKUP(G$2&amp;Income_Statement[[#This Row],[Aop]],Data[],G$1)/Jedinica,"")</f>
        <v/>
      </c>
      <c r="H40" s="38" t="str">
        <f>IF(VLOOKUP(H$2&amp;Income_Statement[[#This Row],[Aop]],Data[],1)=H$2&amp;Income_Statement[[#This Row],[Aop]],VLOOKUP(H$2&amp;Income_Statement[[#This Row],[Aop]],Data[],H$1)/Jedinica,"")</f>
        <v/>
      </c>
      <c r="I40" s="38" t="str">
        <f>IF(VLOOKUP(I$2&amp;Income_Statement[[#This Row],[Aop]],Data[],1)=I$2&amp;Income_Statement[[#This Row],[Aop]],VLOOKUP(I$2&amp;Income_Statement[[#This Row],[Aop]],Data[],I$1)/Jedinica,"")</f>
        <v/>
      </c>
      <c r="J40" s="38" t="str">
        <f>IF(VLOOKUP(J$2&amp;Income_Statement[[#This Row],[Aop]],Data[],1)=J$2&amp;Income_Statement[[#This Row],[Aop]],VLOOKUP(J$2&amp;Income_Statement[[#This Row],[Aop]],Data[],J$1)/Jedinica,"")</f>
        <v/>
      </c>
      <c r="K40" s="38" t="str">
        <f>IF(VLOOKUP(K$2&amp;Income_Statement[[#This Row],[Aop]],Data[],1)=K$2&amp;Income_Statement[[#This Row],[Aop]],VLOOKUP(K$2&amp;Income_Statement[[#This Row],[Aop]],Data[],K$1)/Jedinica,"")</f>
        <v/>
      </c>
      <c r="L40" s="38" t="str">
        <f>IF(VLOOKUP(L$2&amp;Income_Statement[[#This Row],[Aop]],Data[],1)=L$2&amp;Income_Statement[[#This Row],[Aop]],VLOOKUP(L$2&amp;Income_Statement[[#This Row],[Aop]],Data[],L$1)/Jedinica,"")</f>
        <v/>
      </c>
      <c r="M40" s="38" t="str">
        <f>IF(VLOOKUP(M$2&amp;Income_Statement[[#This Row],[Aop]],Data[],1)=M$2&amp;Income_Statement[[#This Row],[Aop]],VLOOKUP(M$2&amp;Income_Statement[[#This Row],[Aop]],Data[],M$1)/Jedinica,"")</f>
        <v/>
      </c>
      <c r="N40" s="38" t="str">
        <f>IF(VLOOKUP(N$2&amp;Income_Statement[[#This Row],[Aop]],Data[],1)=N$2&amp;Income_Statement[[#This Row],[Aop]],VLOOKUP(N$2&amp;Income_Statement[[#This Row],[Aop]],Data[],N$1)/Jedinica,"")</f>
        <v/>
      </c>
      <c r="O40" s="38" t="str">
        <f>IF(VLOOKUP(O$2&amp;Income_Statement[[#This Row],[Aop]],Data[],1)=O$2&amp;Income_Statement[[#This Row],[Aop]],VLOOKUP(O$2&amp;Income_Statement[[#This Row],[Aop]],Data[],O$1)/Jedinica,"")</f>
        <v/>
      </c>
      <c r="P40" s="38" t="str">
        <f>IF(VLOOKUP(P$2&amp;Income_Statement[[#This Row],[Aop]],Data[],1)=P$2&amp;Income_Statement[[#This Row],[Aop]],VLOOKUP(P$2&amp;Income_Statement[[#This Row],[Aop]],Data[],P$1)/Jedinica,"")</f>
        <v/>
      </c>
      <c r="Q40" s="38" t="str">
        <f>IF(VLOOKUP(Q$2&amp;Income_Statement[[#This Row],[Aop]],Data[],1)=Q$2&amp;Income_Statement[[#This Row],[Aop]],VLOOKUP(Q$2&amp;Income_Statement[[#This Row],[Aop]],Data[],Q$1)/Jedinica,"")</f>
        <v/>
      </c>
      <c r="R40" s="38" t="str">
        <f>IF(VLOOKUP(R$2&amp;Income_Statement[[#This Row],[Aop]],Data[],1)=R$2&amp;Income_Statement[[#This Row],[Aop]],VLOOKUP(R$2&amp;Income_Statement[[#This Row],[Aop]],Data[],R$1)/Jedinica,"")</f>
        <v/>
      </c>
      <c r="S40" s="38" t="str">
        <f>IF(VLOOKUP(S$2&amp;Income_Statement[[#This Row],[Aop]],Data[],1)=S$2&amp;Income_Statement[[#This Row],[Aop]],VLOOKUP(S$2&amp;Income_Statement[[#This Row],[Aop]],Data[],S$1)/Jedinica,"")</f>
        <v/>
      </c>
      <c r="T40" s="38" t="str">
        <f>IF(VLOOKUP(T$2&amp;Income_Statement[[#This Row],[Aop]],Data[],1)=T$2&amp;Income_Statement[[#This Row],[Aop]],VLOOKUP(T$2&amp;Income_Statement[[#This Row],[Aop]],Data[],T$1)/Jedinica,"")</f>
        <v/>
      </c>
    </row>
    <row r="41" spans="1:20" ht="12.75" customHeight="1" x14ac:dyDescent="0.2">
      <c r="A41" s="74">
        <v>141</v>
      </c>
      <c r="B41" s="74">
        <v>1</v>
      </c>
      <c r="C41" s="78" t="str">
        <f>VLOOKUP(Income_Statement[[#This Row],[No]],AOP_Balance,3,0)</f>
        <v/>
      </c>
      <c r="D41" s="52" t="str">
        <f>VLOOKUP(Income_Statement[[#This Row],[No]],AOP_Balance,7,0)</f>
        <v xml:space="preserve">  B. OPERATIVNI PRIHODI I RASHODI</v>
      </c>
      <c r="E41" s="38" t="e">
        <f>IF(VLOOKUP(E$2&amp;Income_Statement[[#This Row],[Aop]],Data[],1)=E$2&amp;Income_Statement[[#This Row],[Aop]],VLOOKUP(E$2&amp;Income_Statement[[#This Row],[Aop]],Data[],E$1)/Jedinica,"")</f>
        <v>#N/A</v>
      </c>
      <c r="F41" s="38" t="e">
        <f>IF(VLOOKUP(F$2&amp;Income_Statement[[#This Row],[Aop]],Data[],1)=F$2&amp;Income_Statement[[#This Row],[Aop]],VLOOKUP(F$2&amp;Income_Statement[[#This Row],[Aop]],Data[],F$1)/Jedinica,"")</f>
        <v>#N/A</v>
      </c>
      <c r="G41" s="38" t="str">
        <f>IF(VLOOKUP(G$2&amp;Income_Statement[[#This Row],[Aop]],Data[],1)=G$2&amp;Income_Statement[[#This Row],[Aop]],VLOOKUP(G$2&amp;Income_Statement[[#This Row],[Aop]],Data[],G$1)/Jedinica,"")</f>
        <v/>
      </c>
      <c r="H41" s="38" t="str">
        <f>IF(VLOOKUP(H$2&amp;Income_Statement[[#This Row],[Aop]],Data[],1)=H$2&amp;Income_Statement[[#This Row],[Aop]],VLOOKUP(H$2&amp;Income_Statement[[#This Row],[Aop]],Data[],H$1)/Jedinica,"")</f>
        <v/>
      </c>
      <c r="I41" s="38" t="str">
        <f>IF(VLOOKUP(I$2&amp;Income_Statement[[#This Row],[Aop]],Data[],1)=I$2&amp;Income_Statement[[#This Row],[Aop]],VLOOKUP(I$2&amp;Income_Statement[[#This Row],[Aop]],Data[],I$1)/Jedinica,"")</f>
        <v/>
      </c>
      <c r="J41" s="38" t="str">
        <f>IF(VLOOKUP(J$2&amp;Income_Statement[[#This Row],[Aop]],Data[],1)=J$2&amp;Income_Statement[[#This Row],[Aop]],VLOOKUP(J$2&amp;Income_Statement[[#This Row],[Aop]],Data[],J$1)/Jedinica,"")</f>
        <v/>
      </c>
      <c r="K41" s="38" t="str">
        <f>IF(VLOOKUP(K$2&amp;Income_Statement[[#This Row],[Aop]],Data[],1)=K$2&amp;Income_Statement[[#This Row],[Aop]],VLOOKUP(K$2&amp;Income_Statement[[#This Row],[Aop]],Data[],K$1)/Jedinica,"")</f>
        <v/>
      </c>
      <c r="L41" s="38" t="str">
        <f>IF(VLOOKUP(L$2&amp;Income_Statement[[#This Row],[Aop]],Data[],1)=L$2&amp;Income_Statement[[#This Row],[Aop]],VLOOKUP(L$2&amp;Income_Statement[[#This Row],[Aop]],Data[],L$1)/Jedinica,"")</f>
        <v/>
      </c>
      <c r="M41" s="38" t="str">
        <f>IF(VLOOKUP(M$2&amp;Income_Statement[[#This Row],[Aop]],Data[],1)=M$2&amp;Income_Statement[[#This Row],[Aop]],VLOOKUP(M$2&amp;Income_Statement[[#This Row],[Aop]],Data[],M$1)/Jedinica,"")</f>
        <v/>
      </c>
      <c r="N41" s="38" t="str">
        <f>IF(VLOOKUP(N$2&amp;Income_Statement[[#This Row],[Aop]],Data[],1)=N$2&amp;Income_Statement[[#This Row],[Aop]],VLOOKUP(N$2&amp;Income_Statement[[#This Row],[Aop]],Data[],N$1)/Jedinica,"")</f>
        <v/>
      </c>
      <c r="O41" s="38" t="str">
        <f>IF(VLOOKUP(O$2&amp;Income_Statement[[#This Row],[Aop]],Data[],1)=O$2&amp;Income_Statement[[#This Row],[Aop]],VLOOKUP(O$2&amp;Income_Statement[[#This Row],[Aop]],Data[],O$1)/Jedinica,"")</f>
        <v/>
      </c>
      <c r="P41" s="38" t="str">
        <f>IF(VLOOKUP(P$2&amp;Income_Statement[[#This Row],[Aop]],Data[],1)=P$2&amp;Income_Statement[[#This Row],[Aop]],VLOOKUP(P$2&amp;Income_Statement[[#This Row],[Aop]],Data[],P$1)/Jedinica,"")</f>
        <v/>
      </c>
      <c r="Q41" s="38" t="str">
        <f>IF(VLOOKUP(Q$2&amp;Income_Statement[[#This Row],[Aop]],Data[],1)=Q$2&amp;Income_Statement[[#This Row],[Aop]],VLOOKUP(Q$2&amp;Income_Statement[[#This Row],[Aop]],Data[],Q$1)/Jedinica,"")</f>
        <v/>
      </c>
      <c r="R41" s="38" t="str">
        <f>IF(VLOOKUP(R$2&amp;Income_Statement[[#This Row],[Aop]],Data[],1)=R$2&amp;Income_Statement[[#This Row],[Aop]],VLOOKUP(R$2&amp;Income_Statement[[#This Row],[Aop]],Data[],R$1)/Jedinica,"")</f>
        <v/>
      </c>
      <c r="S41" s="38" t="str">
        <f>IF(VLOOKUP(S$2&amp;Income_Statement[[#This Row],[Aop]],Data[],1)=S$2&amp;Income_Statement[[#This Row],[Aop]],VLOOKUP(S$2&amp;Income_Statement[[#This Row],[Aop]],Data[],S$1)/Jedinica,"")</f>
        <v/>
      </c>
      <c r="T41" s="38" t="str">
        <f>IF(VLOOKUP(T$2&amp;Income_Statement[[#This Row],[Aop]],Data[],1)=T$2&amp;Income_Statement[[#This Row],[Aop]],VLOOKUP(T$2&amp;Income_Statement[[#This Row],[Aop]],Data[],T$1)/Jedinica,"")</f>
        <v/>
      </c>
    </row>
    <row r="42" spans="1:20" ht="12.75" customHeight="1" x14ac:dyDescent="0.2">
      <c r="A42" s="74">
        <v>142</v>
      </c>
      <c r="B42" s="74">
        <v>2</v>
      </c>
      <c r="C42" s="78" t="str">
        <f>VLOOKUP(Income_Statement[[#This Row],[No]],AOP_Balance,3,0)</f>
        <v>235</v>
      </c>
      <c r="D42" s="52" t="str">
        <f>VLOOKUP(Income_Statement[[#This Row],[No]],AOP_Balance,7,0)</f>
        <v xml:space="preserve">    1. Prihodi iz operativnog poslovanja (236 do 240)</v>
      </c>
      <c r="E42" s="38">
        <f>IF(VLOOKUP(E$2&amp;Income_Statement[[#This Row],[Aop]],Data[],1)=E$2&amp;Income_Statement[[#This Row],[Aop]],VLOOKUP(E$2&amp;Income_Statement[[#This Row],[Aop]],Data[],E$1)/Jedinica,"")</f>
        <v>171721</v>
      </c>
      <c r="F42" s="38">
        <f>IF(VLOOKUP(F$2&amp;Income_Statement[[#This Row],[Aop]],Data[],1)=F$2&amp;Income_Statement[[#This Row],[Aop]],VLOOKUP(F$2&amp;Income_Statement[[#This Row],[Aop]],Data[],F$1)/Jedinica,"")</f>
        <v>19589</v>
      </c>
      <c r="G42" s="38">
        <f>IF(VLOOKUP(G$2&amp;Income_Statement[[#This Row],[Aop]],Data[],1)=G$2&amp;Income_Statement[[#This Row],[Aop]],VLOOKUP(G$2&amp;Income_Statement[[#This Row],[Aop]],Data[],G$1)/Jedinica,"")</f>
        <v>4924657</v>
      </c>
      <c r="H42" s="38">
        <f>IF(VLOOKUP(H$2&amp;Income_Statement[[#This Row],[Aop]],Data[],1)=H$2&amp;Income_Statement[[#This Row],[Aop]],VLOOKUP(H$2&amp;Income_Statement[[#This Row],[Aop]],Data[],H$1)/Jedinica,"")</f>
        <v>2631473</v>
      </c>
      <c r="I42" s="38">
        <f>IF(VLOOKUP(I$2&amp;Income_Statement[[#This Row],[Aop]],Data[],1)=I$2&amp;Income_Statement[[#This Row],[Aop]],VLOOKUP(I$2&amp;Income_Statement[[#This Row],[Aop]],Data[],I$1)/Jedinica,"")</f>
        <v>1424548</v>
      </c>
      <c r="J42" s="38">
        <f>IF(VLOOKUP(J$2&amp;Income_Statement[[#This Row],[Aop]],Data[],1)=J$2&amp;Income_Statement[[#This Row],[Aop]],VLOOKUP(J$2&amp;Income_Statement[[#This Row],[Aop]],Data[],J$1)/Jedinica,"")</f>
        <v>1694149</v>
      </c>
      <c r="K42" s="38">
        <f>IF(VLOOKUP(K$2&amp;Income_Statement[[#This Row],[Aop]],Data[],1)=K$2&amp;Income_Statement[[#This Row],[Aop]],VLOOKUP(K$2&amp;Income_Statement[[#This Row],[Aop]],Data[],K$1)/Jedinica,"")</f>
        <v>3054728</v>
      </c>
      <c r="L42" s="38">
        <f>IF(VLOOKUP(L$2&amp;Income_Statement[[#This Row],[Aop]],Data[],1)=L$2&amp;Income_Statement[[#This Row],[Aop]],VLOOKUP(L$2&amp;Income_Statement[[#This Row],[Aop]],Data[],L$1)/Jedinica,"")</f>
        <v>1211524</v>
      </c>
      <c r="M42" s="38">
        <f>IF(VLOOKUP(M$2&amp;Income_Statement[[#This Row],[Aop]],Data[],1)=M$2&amp;Income_Statement[[#This Row],[Aop]],VLOOKUP(M$2&amp;Income_Statement[[#This Row],[Aop]],Data[],M$1)/Jedinica,"")</f>
        <v>20588125</v>
      </c>
      <c r="N42" s="38">
        <f>IF(VLOOKUP(N$2&amp;Income_Statement[[#This Row],[Aop]],Data[],1)=N$2&amp;Income_Statement[[#This Row],[Aop]],VLOOKUP(N$2&amp;Income_Statement[[#This Row],[Aop]],Data[],N$1)/Jedinica,"")</f>
        <v>14495449</v>
      </c>
      <c r="O42" s="38">
        <f>IF(VLOOKUP(O$2&amp;Income_Statement[[#This Row],[Aop]],Data[],1)=O$2&amp;Income_Statement[[#This Row],[Aop]],VLOOKUP(O$2&amp;Income_Statement[[#This Row],[Aop]],Data[],O$1)/Jedinica,"")</f>
        <v>3054728</v>
      </c>
      <c r="P42" s="38">
        <f>IF(VLOOKUP(P$2&amp;Income_Statement[[#This Row],[Aop]],Data[],1)=P$2&amp;Income_Statement[[#This Row],[Aop]],VLOOKUP(P$2&amp;Income_Statement[[#This Row],[Aop]],Data[],P$1)/Jedinica,"")</f>
        <v>1211524</v>
      </c>
      <c r="Q42" s="38">
        <f>IF(VLOOKUP(Q$2&amp;Income_Statement[[#This Row],[Aop]],Data[],1)=Q$2&amp;Income_Statement[[#This Row],[Aop]],VLOOKUP(Q$2&amp;Income_Statement[[#This Row],[Aop]],Data[],Q$1)/Jedinica,"")</f>
        <v>3916163</v>
      </c>
      <c r="R42" s="38">
        <f>IF(VLOOKUP(R$2&amp;Income_Statement[[#This Row],[Aop]],Data[],1)=R$2&amp;Income_Statement[[#This Row],[Aop]],VLOOKUP(R$2&amp;Income_Statement[[#This Row],[Aop]],Data[],R$1)/Jedinica,"")</f>
        <v>2461905</v>
      </c>
      <c r="S42" s="38">
        <f>IF(VLOOKUP(S$2&amp;Income_Statement[[#This Row],[Aop]],Data[],1)=S$2&amp;Income_Statement[[#This Row],[Aop]],VLOOKUP(S$2&amp;Income_Statement[[#This Row],[Aop]],Data[],S$1)/Jedinica,"")</f>
        <v>15590038</v>
      </c>
      <c r="T42" s="38">
        <f>IF(VLOOKUP(T$2&amp;Income_Statement[[#This Row],[Aop]],Data[],1)=T$2&amp;Income_Statement[[#This Row],[Aop]],VLOOKUP(T$2&amp;Income_Statement[[#This Row],[Aop]],Data[],T$1)/Jedinica,"")</f>
        <v>22119864</v>
      </c>
    </row>
    <row r="43" spans="1:20" ht="12.75" customHeight="1" x14ac:dyDescent="0.2">
      <c r="A43" s="74">
        <v>143</v>
      </c>
      <c r="B43" s="74">
        <v>3</v>
      </c>
      <c r="C43" s="78" t="str">
        <f>VLOOKUP(Income_Statement[[#This Row],[No]],AOP_Balance,3,0)</f>
        <v>236</v>
      </c>
      <c r="D43" s="52" t="str">
        <f>VLOOKUP(Income_Statement[[#This Row],[No]],AOP_Balance,7,0)</f>
        <v xml:space="preserve">      a) Prihodi od ukidanja indirektnih otpisa plasmana</v>
      </c>
      <c r="E43" s="38">
        <f>IF(VLOOKUP(E$2&amp;Income_Statement[[#This Row],[Aop]],Data[],1)=E$2&amp;Income_Statement[[#This Row],[Aop]],VLOOKUP(E$2&amp;Income_Statement[[#This Row],[Aop]],Data[],E$1)/Jedinica,"")</f>
        <v>1098</v>
      </c>
      <c r="F43" s="38">
        <f>IF(VLOOKUP(F$2&amp;Income_Statement[[#This Row],[Aop]],Data[],1)=F$2&amp;Income_Statement[[#This Row],[Aop]],VLOOKUP(F$2&amp;Income_Statement[[#This Row],[Aop]],Data[],F$1)/Jedinica,"")</f>
        <v>3304</v>
      </c>
      <c r="G43" s="38">
        <f>IF(VLOOKUP(G$2&amp;Income_Statement[[#This Row],[Aop]],Data[],1)=G$2&amp;Income_Statement[[#This Row],[Aop]],VLOOKUP(G$2&amp;Income_Statement[[#This Row],[Aop]],Data[],G$1)/Jedinica,"")</f>
        <v>20390</v>
      </c>
      <c r="H43" s="38">
        <f>IF(VLOOKUP(H$2&amp;Income_Statement[[#This Row],[Aop]],Data[],1)=H$2&amp;Income_Statement[[#This Row],[Aop]],VLOOKUP(H$2&amp;Income_Statement[[#This Row],[Aop]],Data[],H$1)/Jedinica,"")</f>
        <v>0</v>
      </c>
      <c r="I43" s="38">
        <f>IF(VLOOKUP(I$2&amp;Income_Statement[[#This Row],[Aop]],Data[],1)=I$2&amp;Income_Statement[[#This Row],[Aop]],VLOOKUP(I$2&amp;Income_Statement[[#This Row],[Aop]],Data[],I$1)/Jedinica,"")</f>
        <v>1345556</v>
      </c>
      <c r="J43" s="38">
        <f>IF(VLOOKUP(J$2&amp;Income_Statement[[#This Row],[Aop]],Data[],1)=J$2&amp;Income_Statement[[#This Row],[Aop]],VLOOKUP(J$2&amp;Income_Statement[[#This Row],[Aop]],Data[],J$1)/Jedinica,"")</f>
        <v>1660919</v>
      </c>
      <c r="K43" s="38">
        <f>IF(VLOOKUP(K$2&amp;Income_Statement[[#This Row],[Aop]],Data[],1)=K$2&amp;Income_Statement[[#This Row],[Aop]],VLOOKUP(K$2&amp;Income_Statement[[#This Row],[Aop]],Data[],K$1)/Jedinica,"")</f>
        <v>2842317</v>
      </c>
      <c r="L43" s="38">
        <f>IF(VLOOKUP(L$2&amp;Income_Statement[[#This Row],[Aop]],Data[],1)=L$2&amp;Income_Statement[[#This Row],[Aop]],VLOOKUP(L$2&amp;Income_Statement[[#This Row],[Aop]],Data[],L$1)/Jedinica,"")</f>
        <v>1177647</v>
      </c>
      <c r="M43" s="38">
        <f>IF(VLOOKUP(M$2&amp;Income_Statement[[#This Row],[Aop]],Data[],1)=M$2&amp;Income_Statement[[#This Row],[Aop]],VLOOKUP(M$2&amp;Income_Statement[[#This Row],[Aop]],Data[],M$1)/Jedinica,"")</f>
        <v>16829605</v>
      </c>
      <c r="N43" s="38">
        <f>IF(VLOOKUP(N$2&amp;Income_Statement[[#This Row],[Aop]],Data[],1)=N$2&amp;Income_Statement[[#This Row],[Aop]],VLOOKUP(N$2&amp;Income_Statement[[#This Row],[Aop]],Data[],N$1)/Jedinica,"")</f>
        <v>11703048</v>
      </c>
      <c r="O43" s="38">
        <f>IF(VLOOKUP(O$2&amp;Income_Statement[[#This Row],[Aop]],Data[],1)=O$2&amp;Income_Statement[[#This Row],[Aop]],VLOOKUP(O$2&amp;Income_Statement[[#This Row],[Aop]],Data[],O$1)/Jedinica,"")</f>
        <v>2842317</v>
      </c>
      <c r="P43" s="38">
        <f>IF(VLOOKUP(P$2&amp;Income_Statement[[#This Row],[Aop]],Data[],1)=P$2&amp;Income_Statement[[#This Row],[Aop]],VLOOKUP(P$2&amp;Income_Statement[[#This Row],[Aop]],Data[],P$1)/Jedinica,"")</f>
        <v>1177647</v>
      </c>
      <c r="Q43" s="38">
        <f>IF(VLOOKUP(Q$2&amp;Income_Statement[[#This Row],[Aop]],Data[],1)=Q$2&amp;Income_Statement[[#This Row],[Aop]],VLOOKUP(Q$2&amp;Income_Statement[[#This Row],[Aop]],Data[],Q$1)/Jedinica,"")</f>
        <v>3902821</v>
      </c>
      <c r="R43" s="38">
        <f>IF(VLOOKUP(R$2&amp;Income_Statement[[#This Row],[Aop]],Data[],1)=R$2&amp;Income_Statement[[#This Row],[Aop]],VLOOKUP(R$2&amp;Income_Statement[[#This Row],[Aop]],Data[],R$1)/Jedinica,"")</f>
        <v>2457305</v>
      </c>
      <c r="S43" s="38">
        <f>IF(VLOOKUP(S$2&amp;Income_Statement[[#This Row],[Aop]],Data[],1)=S$2&amp;Income_Statement[[#This Row],[Aop]],VLOOKUP(S$2&amp;Income_Statement[[#This Row],[Aop]],Data[],S$1)/Jedinica,"")</f>
        <v>14518454</v>
      </c>
      <c r="T43" s="38">
        <f>IF(VLOOKUP(T$2&amp;Income_Statement[[#This Row],[Aop]],Data[],1)=T$2&amp;Income_Statement[[#This Row],[Aop]],VLOOKUP(T$2&amp;Income_Statement[[#This Row],[Aop]],Data[],T$1)/Jedinica,"")</f>
        <v>17231533</v>
      </c>
    </row>
    <row r="44" spans="1:20" ht="12.75" customHeight="1" x14ac:dyDescent="0.2">
      <c r="A44" s="74">
        <v>144</v>
      </c>
      <c r="B44" s="74">
        <v>3</v>
      </c>
      <c r="C44" s="78" t="str">
        <f>VLOOKUP(Income_Statement[[#This Row],[No]],AOP_Balance,3,0)</f>
        <v>237</v>
      </c>
      <c r="D44" s="52" t="str">
        <f>VLOOKUP(Income_Statement[[#This Row],[No]],AOP_Balance,7,0)</f>
        <v xml:space="preserve">      b) Prihodi od ukidanja rezervisanja za vanbilansne pozicije</v>
      </c>
      <c r="E44" s="38">
        <f>IF(VLOOKUP(E$2&amp;Income_Statement[[#This Row],[Aop]],Data[],1)=E$2&amp;Income_Statement[[#This Row],[Aop]],VLOOKUP(E$2&amp;Income_Statement[[#This Row],[Aop]],Data[],E$1)/Jedinica,"")</f>
        <v>41</v>
      </c>
      <c r="F44" s="38">
        <f>IF(VLOOKUP(F$2&amp;Income_Statement[[#This Row],[Aop]],Data[],1)=F$2&amp;Income_Statement[[#This Row],[Aop]],VLOOKUP(F$2&amp;Income_Statement[[#This Row],[Aop]],Data[],F$1)/Jedinica,"")</f>
        <v>7</v>
      </c>
      <c r="G44" s="38">
        <f>IF(VLOOKUP(G$2&amp;Income_Statement[[#This Row],[Aop]],Data[],1)=G$2&amp;Income_Statement[[#This Row],[Aop]],VLOOKUP(G$2&amp;Income_Statement[[#This Row],[Aop]],Data[],G$1)/Jedinica,"")</f>
        <v>59951</v>
      </c>
      <c r="H44" s="38">
        <f>IF(VLOOKUP(H$2&amp;Income_Statement[[#This Row],[Aop]],Data[],1)=H$2&amp;Income_Statement[[#This Row],[Aop]],VLOOKUP(H$2&amp;Income_Statement[[#This Row],[Aop]],Data[],H$1)/Jedinica,"")</f>
        <v>77083</v>
      </c>
      <c r="I44" s="38">
        <f>IF(VLOOKUP(I$2&amp;Income_Statement[[#This Row],[Aop]],Data[],1)=I$2&amp;Income_Statement[[#This Row],[Aop]],VLOOKUP(I$2&amp;Income_Statement[[#This Row],[Aop]],Data[],I$1)/Jedinica,"")</f>
        <v>78992</v>
      </c>
      <c r="J44" s="38">
        <f>IF(VLOOKUP(J$2&amp;Income_Statement[[#This Row],[Aop]],Data[],1)=J$2&amp;Income_Statement[[#This Row],[Aop]],VLOOKUP(J$2&amp;Income_Statement[[#This Row],[Aop]],Data[],J$1)/Jedinica,"")</f>
        <v>33230</v>
      </c>
      <c r="K44" s="38">
        <f>IF(VLOOKUP(K$2&amp;Income_Statement[[#This Row],[Aop]],Data[],1)=K$2&amp;Income_Statement[[#This Row],[Aop]],VLOOKUP(K$2&amp;Income_Statement[[#This Row],[Aop]],Data[],K$1)/Jedinica,"")</f>
        <v>155731</v>
      </c>
      <c r="L44" s="38">
        <f>IF(VLOOKUP(L$2&amp;Income_Statement[[#This Row],[Aop]],Data[],1)=L$2&amp;Income_Statement[[#This Row],[Aop]],VLOOKUP(L$2&amp;Income_Statement[[#This Row],[Aop]],Data[],L$1)/Jedinica,"")</f>
        <v>26602</v>
      </c>
      <c r="M44" s="38">
        <f>IF(VLOOKUP(M$2&amp;Income_Statement[[#This Row],[Aop]],Data[],1)=M$2&amp;Income_Statement[[#This Row],[Aop]],VLOOKUP(M$2&amp;Income_Statement[[#This Row],[Aop]],Data[],M$1)/Jedinica,"")</f>
        <v>2961914</v>
      </c>
      <c r="N44" s="38">
        <f>IF(VLOOKUP(N$2&amp;Income_Statement[[#This Row],[Aop]],Data[],1)=N$2&amp;Income_Statement[[#This Row],[Aop]],VLOOKUP(N$2&amp;Income_Statement[[#This Row],[Aop]],Data[],N$1)/Jedinica,"")</f>
        <v>1287772</v>
      </c>
      <c r="O44" s="38">
        <f>IF(VLOOKUP(O$2&amp;Income_Statement[[#This Row],[Aop]],Data[],1)=O$2&amp;Income_Statement[[#This Row],[Aop]],VLOOKUP(O$2&amp;Income_Statement[[#This Row],[Aop]],Data[],O$1)/Jedinica,"")</f>
        <v>155731</v>
      </c>
      <c r="P44" s="38">
        <f>IF(VLOOKUP(P$2&amp;Income_Statement[[#This Row],[Aop]],Data[],1)=P$2&amp;Income_Statement[[#This Row],[Aop]],VLOOKUP(P$2&amp;Income_Statement[[#This Row],[Aop]],Data[],P$1)/Jedinica,"")</f>
        <v>26602</v>
      </c>
      <c r="Q44" s="38">
        <f>IF(VLOOKUP(Q$2&amp;Income_Statement[[#This Row],[Aop]],Data[],1)=Q$2&amp;Income_Statement[[#This Row],[Aop]],VLOOKUP(Q$2&amp;Income_Statement[[#This Row],[Aop]],Data[],Q$1)/Jedinica,"")</f>
        <v>13342</v>
      </c>
      <c r="R44" s="38">
        <f>IF(VLOOKUP(R$2&amp;Income_Statement[[#This Row],[Aop]],Data[],1)=R$2&amp;Income_Statement[[#This Row],[Aop]],VLOOKUP(R$2&amp;Income_Statement[[#This Row],[Aop]],Data[],R$1)/Jedinica,"")</f>
        <v>4600</v>
      </c>
      <c r="S44" s="38">
        <f>IF(VLOOKUP(S$2&amp;Income_Statement[[#This Row],[Aop]],Data[],1)=S$2&amp;Income_Statement[[#This Row],[Aop]],VLOOKUP(S$2&amp;Income_Statement[[#This Row],[Aop]],Data[],S$1)/Jedinica,"")</f>
        <v>646410</v>
      </c>
      <c r="T44" s="38">
        <f>IF(VLOOKUP(T$2&amp;Income_Statement[[#This Row],[Aop]],Data[],1)=T$2&amp;Income_Statement[[#This Row],[Aop]],VLOOKUP(T$2&amp;Income_Statement[[#This Row],[Aop]],Data[],T$1)/Jedinica,"")</f>
        <v>4555279</v>
      </c>
    </row>
    <row r="45" spans="1:20" ht="12.75" customHeight="1" x14ac:dyDescent="0.2">
      <c r="A45" s="74">
        <v>145</v>
      </c>
      <c r="B45" s="74">
        <v>3</v>
      </c>
      <c r="C45" s="78" t="str">
        <f>VLOOKUP(Income_Statement[[#This Row],[No]],AOP_Balance,3,0)</f>
        <v>238</v>
      </c>
      <c r="D45" s="52" t="str">
        <f>VLOOKUP(Income_Statement[[#This Row],[No]],AOP_Balance,7,0)</f>
        <v xml:space="preserve">      v) Prihodi od ukidanja rezervisanja za obaveze</v>
      </c>
      <c r="E45" s="38" t="str">
        <f>IF(VLOOKUP(E$2&amp;Income_Statement[[#This Row],[Aop]],Data[],1)=E$2&amp;Income_Statement[[#This Row],[Aop]],VLOOKUP(E$2&amp;Income_Statement[[#This Row],[Aop]],Data[],E$1)/Jedinica,"")</f>
        <v/>
      </c>
      <c r="F45" s="38" t="str">
        <f>IF(VLOOKUP(F$2&amp;Income_Statement[[#This Row],[Aop]],Data[],1)=F$2&amp;Income_Statement[[#This Row],[Aop]],VLOOKUP(F$2&amp;Income_Statement[[#This Row],[Aop]],Data[],F$1)/Jedinica,"")</f>
        <v/>
      </c>
      <c r="G45" s="38" t="str">
        <f>IF(VLOOKUP(G$2&amp;Income_Statement[[#This Row],[Aop]],Data[],1)=G$2&amp;Income_Statement[[#This Row],[Aop]],VLOOKUP(G$2&amp;Income_Statement[[#This Row],[Aop]],Data[],G$1)/Jedinica,"")</f>
        <v/>
      </c>
      <c r="H45" s="38" t="str">
        <f>IF(VLOOKUP(H$2&amp;Income_Statement[[#This Row],[Aop]],Data[],1)=H$2&amp;Income_Statement[[#This Row],[Aop]],VLOOKUP(H$2&amp;Income_Statement[[#This Row],[Aop]],Data[],H$1)/Jedinica,"")</f>
        <v/>
      </c>
      <c r="I45" s="38" t="str">
        <f>IF(VLOOKUP(I$2&amp;Income_Statement[[#This Row],[Aop]],Data[],1)=I$2&amp;Income_Statement[[#This Row],[Aop]],VLOOKUP(I$2&amp;Income_Statement[[#This Row],[Aop]],Data[],I$1)/Jedinica,"")</f>
        <v/>
      </c>
      <c r="J45" s="38" t="str">
        <f>IF(VLOOKUP(J$2&amp;Income_Statement[[#This Row],[Aop]],Data[],1)=J$2&amp;Income_Statement[[#This Row],[Aop]],VLOOKUP(J$2&amp;Income_Statement[[#This Row],[Aop]],Data[],J$1)/Jedinica,"")</f>
        <v/>
      </c>
      <c r="K45" s="38">
        <f>IF(VLOOKUP(K$2&amp;Income_Statement[[#This Row],[Aop]],Data[],1)=K$2&amp;Income_Statement[[#This Row],[Aop]],VLOOKUP(K$2&amp;Income_Statement[[#This Row],[Aop]],Data[],K$1)/Jedinica,"")</f>
        <v>19000</v>
      </c>
      <c r="L45" s="38">
        <f>IF(VLOOKUP(L$2&amp;Income_Statement[[#This Row],[Aop]],Data[],1)=L$2&amp;Income_Statement[[#This Row],[Aop]],VLOOKUP(L$2&amp;Income_Statement[[#This Row],[Aop]],Data[],L$1)/Jedinica,"")</f>
        <v>0</v>
      </c>
      <c r="M45" s="38">
        <f>IF(VLOOKUP(M$2&amp;Income_Statement[[#This Row],[Aop]],Data[],1)=M$2&amp;Income_Statement[[#This Row],[Aop]],VLOOKUP(M$2&amp;Income_Statement[[#This Row],[Aop]],Data[],M$1)/Jedinica,"")</f>
        <v>0</v>
      </c>
      <c r="N45" s="38">
        <f>IF(VLOOKUP(N$2&amp;Income_Statement[[#This Row],[Aop]],Data[],1)=N$2&amp;Income_Statement[[#This Row],[Aop]],VLOOKUP(N$2&amp;Income_Statement[[#This Row],[Aop]],Data[],N$1)/Jedinica,"")</f>
        <v>105200</v>
      </c>
      <c r="O45" s="38">
        <f>IF(VLOOKUP(O$2&amp;Income_Statement[[#This Row],[Aop]],Data[],1)=O$2&amp;Income_Statement[[#This Row],[Aop]],VLOOKUP(O$2&amp;Income_Statement[[#This Row],[Aop]],Data[],O$1)/Jedinica,"")</f>
        <v>19000</v>
      </c>
      <c r="P45" s="38">
        <f>IF(VLOOKUP(P$2&amp;Income_Statement[[#This Row],[Aop]],Data[],1)=P$2&amp;Income_Statement[[#This Row],[Aop]],VLOOKUP(P$2&amp;Income_Statement[[#This Row],[Aop]],Data[],P$1)/Jedinica,"")</f>
        <v>0</v>
      </c>
      <c r="Q45" s="38" t="str">
        <f>IF(VLOOKUP(Q$2&amp;Income_Statement[[#This Row],[Aop]],Data[],1)=Q$2&amp;Income_Statement[[#This Row],[Aop]],VLOOKUP(Q$2&amp;Income_Statement[[#This Row],[Aop]],Data[],Q$1)/Jedinica,"")</f>
        <v/>
      </c>
      <c r="R45" s="38" t="str">
        <f>IF(VLOOKUP(R$2&amp;Income_Statement[[#This Row],[Aop]],Data[],1)=R$2&amp;Income_Statement[[#This Row],[Aop]],VLOOKUP(R$2&amp;Income_Statement[[#This Row],[Aop]],Data[],R$1)/Jedinica,"")</f>
        <v/>
      </c>
      <c r="S45" s="38">
        <f>IF(VLOOKUP(S$2&amp;Income_Statement[[#This Row],[Aop]],Data[],1)=S$2&amp;Income_Statement[[#This Row],[Aop]],VLOOKUP(S$2&amp;Income_Statement[[#This Row],[Aop]],Data[],S$1)/Jedinica,"")</f>
        <v>316378</v>
      </c>
      <c r="T45" s="38">
        <f>IF(VLOOKUP(T$2&amp;Income_Statement[[#This Row],[Aop]],Data[],1)=T$2&amp;Income_Statement[[#This Row],[Aop]],VLOOKUP(T$2&amp;Income_Statement[[#This Row],[Aop]],Data[],T$1)/Jedinica,"")</f>
        <v>242585</v>
      </c>
    </row>
    <row r="46" spans="1:20" ht="12.75" customHeight="1" x14ac:dyDescent="0.2">
      <c r="A46" s="74">
        <v>146</v>
      </c>
      <c r="B46" s="74">
        <v>3</v>
      </c>
      <c r="C46" s="78" t="str">
        <f>VLOOKUP(Income_Statement[[#This Row],[No]],AOP_Balance,3,0)</f>
        <v>239</v>
      </c>
      <c r="D46" s="52" t="str">
        <f>VLOOKUP(Income_Statement[[#This Row],[No]],AOP_Balance,7,0)</f>
        <v xml:space="preserve">      g) Prihodi od ukidanja ostalih rezervisanja</v>
      </c>
      <c r="E46" s="38" t="str">
        <f>IF(VLOOKUP(E$2&amp;Income_Statement[[#This Row],[Aop]],Data[],1)=E$2&amp;Income_Statement[[#This Row],[Aop]],VLOOKUP(E$2&amp;Income_Statement[[#This Row],[Aop]],Data[],E$1)/Jedinica,"")</f>
        <v/>
      </c>
      <c r="F46" s="38" t="str">
        <f>IF(VLOOKUP(F$2&amp;Income_Statement[[#This Row],[Aop]],Data[],1)=F$2&amp;Income_Statement[[#This Row],[Aop]],VLOOKUP(F$2&amp;Income_Statement[[#This Row],[Aop]],Data[],F$1)/Jedinica,"")</f>
        <v/>
      </c>
      <c r="G46" s="38">
        <f>IF(VLOOKUP(G$2&amp;Income_Statement[[#This Row],[Aop]],Data[],1)=G$2&amp;Income_Statement[[#This Row],[Aop]],VLOOKUP(G$2&amp;Income_Statement[[#This Row],[Aop]],Data[],G$1)/Jedinica,"")</f>
        <v>4713168</v>
      </c>
      <c r="H46" s="38">
        <f>IF(VLOOKUP(H$2&amp;Income_Statement[[#This Row],[Aop]],Data[],1)=H$2&amp;Income_Statement[[#This Row],[Aop]],VLOOKUP(H$2&amp;Income_Statement[[#This Row],[Aop]],Data[],H$1)/Jedinica,"")</f>
        <v>2408290</v>
      </c>
      <c r="I46" s="38" t="str">
        <f>IF(VLOOKUP(I$2&amp;Income_Statement[[#This Row],[Aop]],Data[],1)=I$2&amp;Income_Statement[[#This Row],[Aop]],VLOOKUP(I$2&amp;Income_Statement[[#This Row],[Aop]],Data[],I$1)/Jedinica,"")</f>
        <v/>
      </c>
      <c r="J46" s="38" t="str">
        <f>IF(VLOOKUP(J$2&amp;Income_Statement[[#This Row],[Aop]],Data[],1)=J$2&amp;Income_Statement[[#This Row],[Aop]],VLOOKUP(J$2&amp;Income_Statement[[#This Row],[Aop]],Data[],J$1)/Jedinica,"")</f>
        <v/>
      </c>
      <c r="K46" s="38" t="str">
        <f>IF(VLOOKUP(K$2&amp;Income_Statement[[#This Row],[Aop]],Data[],1)=K$2&amp;Income_Statement[[#This Row],[Aop]],VLOOKUP(K$2&amp;Income_Statement[[#This Row],[Aop]],Data[],K$1)/Jedinica,"")</f>
        <v/>
      </c>
      <c r="L46" s="38" t="str">
        <f>IF(VLOOKUP(L$2&amp;Income_Statement[[#This Row],[Aop]],Data[],1)=L$2&amp;Income_Statement[[#This Row],[Aop]],VLOOKUP(L$2&amp;Income_Statement[[#This Row],[Aop]],Data[],L$1)/Jedinica,"")</f>
        <v/>
      </c>
      <c r="M46" s="38">
        <f>IF(VLOOKUP(M$2&amp;Income_Statement[[#This Row],[Aop]],Data[],1)=M$2&amp;Income_Statement[[#This Row],[Aop]],VLOOKUP(M$2&amp;Income_Statement[[#This Row],[Aop]],Data[],M$1)/Jedinica,"")</f>
        <v>23400</v>
      </c>
      <c r="N46" s="38">
        <f>IF(VLOOKUP(N$2&amp;Income_Statement[[#This Row],[Aop]],Data[],1)=N$2&amp;Income_Statement[[#This Row],[Aop]],VLOOKUP(N$2&amp;Income_Statement[[#This Row],[Aop]],Data[],N$1)/Jedinica,"")</f>
        <v>0</v>
      </c>
      <c r="O46" s="38" t="str">
        <f>IF(VLOOKUP(O$2&amp;Income_Statement[[#This Row],[Aop]],Data[],1)=O$2&amp;Income_Statement[[#This Row],[Aop]],VLOOKUP(O$2&amp;Income_Statement[[#This Row],[Aop]],Data[],O$1)/Jedinica,"")</f>
        <v/>
      </c>
      <c r="P46" s="38" t="str">
        <f>IF(VLOOKUP(P$2&amp;Income_Statement[[#This Row],[Aop]],Data[],1)=P$2&amp;Income_Statement[[#This Row],[Aop]],VLOOKUP(P$2&amp;Income_Statement[[#This Row],[Aop]],Data[],P$1)/Jedinica,"")</f>
        <v/>
      </c>
      <c r="Q46" s="38" t="str">
        <f>IF(VLOOKUP(Q$2&amp;Income_Statement[[#This Row],[Aop]],Data[],1)=Q$2&amp;Income_Statement[[#This Row],[Aop]],VLOOKUP(Q$2&amp;Income_Statement[[#This Row],[Aop]],Data[],Q$1)/Jedinica,"")</f>
        <v/>
      </c>
      <c r="R46" s="38" t="str">
        <f>IF(VLOOKUP(R$2&amp;Income_Statement[[#This Row],[Aop]],Data[],1)=R$2&amp;Income_Statement[[#This Row],[Aop]],VLOOKUP(R$2&amp;Income_Statement[[#This Row],[Aop]],Data[],R$1)/Jedinica,"")</f>
        <v/>
      </c>
      <c r="S46" s="38">
        <f>IF(VLOOKUP(S$2&amp;Income_Statement[[#This Row],[Aop]],Data[],1)=S$2&amp;Income_Statement[[#This Row],[Aop]],VLOOKUP(S$2&amp;Income_Statement[[#This Row],[Aop]],Data[],S$1)/Jedinica,"")</f>
        <v>35663</v>
      </c>
      <c r="T46" s="38">
        <f>IF(VLOOKUP(T$2&amp;Income_Statement[[#This Row],[Aop]],Data[],1)=T$2&amp;Income_Statement[[#This Row],[Aop]],VLOOKUP(T$2&amp;Income_Statement[[#This Row],[Aop]],Data[],T$1)/Jedinica,"")</f>
        <v>14124</v>
      </c>
    </row>
    <row r="47" spans="1:20" ht="12.75" customHeight="1" x14ac:dyDescent="0.2">
      <c r="A47" s="74">
        <v>147</v>
      </c>
      <c r="B47" s="74">
        <v>3</v>
      </c>
      <c r="C47" s="79" t="str">
        <f>VLOOKUP(Income_Statement[[#This Row],[No]],AOP_Balance,3,0)</f>
        <v>239</v>
      </c>
      <c r="D47" s="52" t="str">
        <f>VLOOKUP(Income_Statement[[#This Row],[No]],AOP_Balance,7,0)</f>
        <v xml:space="preserve">      d) Prihodi po osnovu lizinga</v>
      </c>
      <c r="E47" s="39" t="str">
        <f>IF(VLOOKUP(E$2&amp;Income_Statement[[#This Row],[Aop]],Data[],1)=E$2&amp;Income_Statement[[#This Row],[Aop]],VLOOKUP(E$2&amp;Income_Statement[[#This Row],[Aop]],Data[],E$1)/Jedinica,"")</f>
        <v/>
      </c>
      <c r="F47" s="39" t="str">
        <f>IF(VLOOKUP(F$2&amp;Income_Statement[[#This Row],[Aop]],Data[],1)=F$2&amp;Income_Statement[[#This Row],[Aop]],VLOOKUP(F$2&amp;Income_Statement[[#This Row],[Aop]],Data[],F$1)/Jedinica,"")</f>
        <v/>
      </c>
      <c r="G47" s="39">
        <f>IF(VLOOKUP(G$2&amp;Income_Statement[[#This Row],[Aop]],Data[],1)=G$2&amp;Income_Statement[[#This Row],[Aop]],VLOOKUP(G$2&amp;Income_Statement[[#This Row],[Aop]],Data[],G$1)/Jedinica,"")</f>
        <v>4713168</v>
      </c>
      <c r="H47" s="39">
        <f>IF(VLOOKUP(H$2&amp;Income_Statement[[#This Row],[Aop]],Data[],1)=H$2&amp;Income_Statement[[#This Row],[Aop]],VLOOKUP(H$2&amp;Income_Statement[[#This Row],[Aop]],Data[],H$1)/Jedinica,"")</f>
        <v>2408290</v>
      </c>
      <c r="I47" s="39" t="str">
        <f>IF(VLOOKUP(I$2&amp;Income_Statement[[#This Row],[Aop]],Data[],1)=I$2&amp;Income_Statement[[#This Row],[Aop]],VLOOKUP(I$2&amp;Income_Statement[[#This Row],[Aop]],Data[],I$1)/Jedinica,"")</f>
        <v/>
      </c>
      <c r="J47" s="39" t="str">
        <f>IF(VLOOKUP(J$2&amp;Income_Statement[[#This Row],[Aop]],Data[],1)=J$2&amp;Income_Statement[[#This Row],[Aop]],VLOOKUP(J$2&amp;Income_Statement[[#This Row],[Aop]],Data[],J$1)/Jedinica,"")</f>
        <v/>
      </c>
      <c r="K47" s="39" t="str">
        <f>IF(VLOOKUP(K$2&amp;Income_Statement[[#This Row],[Aop]],Data[],1)=K$2&amp;Income_Statement[[#This Row],[Aop]],VLOOKUP(K$2&amp;Income_Statement[[#This Row],[Aop]],Data[],K$1)/Jedinica,"")</f>
        <v/>
      </c>
      <c r="L47" s="39" t="str">
        <f>IF(VLOOKUP(L$2&amp;Income_Statement[[#This Row],[Aop]],Data[],1)=L$2&amp;Income_Statement[[#This Row],[Aop]],VLOOKUP(L$2&amp;Income_Statement[[#This Row],[Aop]],Data[],L$1)/Jedinica,"")</f>
        <v/>
      </c>
      <c r="M47" s="39">
        <f>IF(VLOOKUP(M$2&amp;Income_Statement[[#This Row],[Aop]],Data[],1)=M$2&amp;Income_Statement[[#This Row],[Aop]],VLOOKUP(M$2&amp;Income_Statement[[#This Row],[Aop]],Data[],M$1)/Jedinica,"")</f>
        <v>23400</v>
      </c>
      <c r="N47" s="39">
        <f>IF(VLOOKUP(N$2&amp;Income_Statement[[#This Row],[Aop]],Data[],1)=N$2&amp;Income_Statement[[#This Row],[Aop]],VLOOKUP(N$2&amp;Income_Statement[[#This Row],[Aop]],Data[],N$1)/Jedinica,"")</f>
        <v>0</v>
      </c>
      <c r="O47" s="39" t="str">
        <f>IF(VLOOKUP(O$2&amp;Income_Statement[[#This Row],[Aop]],Data[],1)=O$2&amp;Income_Statement[[#This Row],[Aop]],VLOOKUP(O$2&amp;Income_Statement[[#This Row],[Aop]],Data[],O$1)/Jedinica,"")</f>
        <v/>
      </c>
      <c r="P47" s="39" t="str">
        <f>IF(VLOOKUP(P$2&amp;Income_Statement[[#This Row],[Aop]],Data[],1)=P$2&amp;Income_Statement[[#This Row],[Aop]],VLOOKUP(P$2&amp;Income_Statement[[#This Row],[Aop]],Data[],P$1)/Jedinica,"")</f>
        <v/>
      </c>
      <c r="Q47" s="39" t="str">
        <f>IF(VLOOKUP(Q$2&amp;Income_Statement[[#This Row],[Aop]],Data[],1)=Q$2&amp;Income_Statement[[#This Row],[Aop]],VLOOKUP(Q$2&amp;Income_Statement[[#This Row],[Aop]],Data[],Q$1)/Jedinica,"")</f>
        <v/>
      </c>
      <c r="R47" s="39" t="str">
        <f>IF(VLOOKUP(R$2&amp;Income_Statement[[#This Row],[Aop]],Data[],1)=R$2&amp;Income_Statement[[#This Row],[Aop]],VLOOKUP(R$2&amp;Income_Statement[[#This Row],[Aop]],Data[],R$1)/Jedinica,"")</f>
        <v/>
      </c>
      <c r="S47" s="39">
        <f>IF(VLOOKUP(S$2&amp;Income_Statement[[#This Row],[Aop]],Data[],1)=S$2&amp;Income_Statement[[#This Row],[Aop]],VLOOKUP(S$2&amp;Income_Statement[[#This Row],[Aop]],Data[],S$1)/Jedinica,"")</f>
        <v>35663</v>
      </c>
      <c r="T47" s="39">
        <f>IF(VLOOKUP(T$2&amp;Income_Statement[[#This Row],[Aop]],Data[],1)=T$2&amp;Income_Statement[[#This Row],[Aop]],VLOOKUP(T$2&amp;Income_Statement[[#This Row],[Aop]],Data[],T$1)/Jedinica,"")</f>
        <v>14124</v>
      </c>
    </row>
    <row r="48" spans="1:20" ht="12.75" customHeight="1" x14ac:dyDescent="0.2">
      <c r="A48" s="74">
        <v>148</v>
      </c>
      <c r="B48" s="74">
        <v>3</v>
      </c>
      <c r="C48" s="78" t="str">
        <f>VLOOKUP(Income_Statement[[#This Row],[No]],AOP_Balance,3,0)</f>
        <v>240</v>
      </c>
      <c r="D48" s="52" t="str">
        <f>VLOOKUP(Income_Statement[[#This Row],[No]],AOP_Balance,7,0)</f>
        <v xml:space="preserve">      đ) Ostali prihodi iz operativnog poslovanja</v>
      </c>
      <c r="E48" s="38">
        <f>IF(VLOOKUP(E$2&amp;Income_Statement[[#This Row],[Aop]],Data[],1)=E$2&amp;Income_Statement[[#This Row],[Aop]],VLOOKUP(E$2&amp;Income_Statement[[#This Row],[Aop]],Data[],E$1)/Jedinica,"")</f>
        <v>170582</v>
      </c>
      <c r="F48" s="38">
        <f>IF(VLOOKUP(F$2&amp;Income_Statement[[#This Row],[Aop]],Data[],1)=F$2&amp;Income_Statement[[#This Row],[Aop]],VLOOKUP(F$2&amp;Income_Statement[[#This Row],[Aop]],Data[],F$1)/Jedinica,"")</f>
        <v>16278</v>
      </c>
      <c r="G48" s="38">
        <f>IF(VLOOKUP(G$2&amp;Income_Statement[[#This Row],[Aop]],Data[],1)=G$2&amp;Income_Statement[[#This Row],[Aop]],VLOOKUP(G$2&amp;Income_Statement[[#This Row],[Aop]],Data[],G$1)/Jedinica,"")</f>
        <v>131148</v>
      </c>
      <c r="H48" s="38">
        <f>IF(VLOOKUP(H$2&amp;Income_Statement[[#This Row],[Aop]],Data[],1)=H$2&amp;Income_Statement[[#This Row],[Aop]],VLOOKUP(H$2&amp;Income_Statement[[#This Row],[Aop]],Data[],H$1)/Jedinica,"")</f>
        <v>146100</v>
      </c>
      <c r="I48" s="38" t="str">
        <f>IF(VLOOKUP(I$2&amp;Income_Statement[[#This Row],[Aop]],Data[],1)=I$2&amp;Income_Statement[[#This Row],[Aop]],VLOOKUP(I$2&amp;Income_Statement[[#This Row],[Aop]],Data[],I$1)/Jedinica,"")</f>
        <v/>
      </c>
      <c r="J48" s="38" t="str">
        <f>IF(VLOOKUP(J$2&amp;Income_Statement[[#This Row],[Aop]],Data[],1)=J$2&amp;Income_Statement[[#This Row],[Aop]],VLOOKUP(J$2&amp;Income_Statement[[#This Row],[Aop]],Data[],J$1)/Jedinica,"")</f>
        <v/>
      </c>
      <c r="K48" s="38">
        <f>IF(VLOOKUP(K$2&amp;Income_Statement[[#This Row],[Aop]],Data[],1)=K$2&amp;Income_Statement[[#This Row],[Aop]],VLOOKUP(K$2&amp;Income_Statement[[#This Row],[Aop]],Data[],K$1)/Jedinica,"")</f>
        <v>37680</v>
      </c>
      <c r="L48" s="38">
        <f>IF(VLOOKUP(L$2&amp;Income_Statement[[#This Row],[Aop]],Data[],1)=L$2&amp;Income_Statement[[#This Row],[Aop]],VLOOKUP(L$2&amp;Income_Statement[[#This Row],[Aop]],Data[],L$1)/Jedinica,"")</f>
        <v>7275</v>
      </c>
      <c r="M48" s="38">
        <f>IF(VLOOKUP(M$2&amp;Income_Statement[[#This Row],[Aop]],Data[],1)=M$2&amp;Income_Statement[[#This Row],[Aop]],VLOOKUP(M$2&amp;Income_Statement[[#This Row],[Aop]],Data[],M$1)/Jedinica,"")</f>
        <v>773206</v>
      </c>
      <c r="N48" s="38">
        <f>IF(VLOOKUP(N$2&amp;Income_Statement[[#This Row],[Aop]],Data[],1)=N$2&amp;Income_Statement[[#This Row],[Aop]],VLOOKUP(N$2&amp;Income_Statement[[#This Row],[Aop]],Data[],N$1)/Jedinica,"")</f>
        <v>1399429</v>
      </c>
      <c r="O48" s="38">
        <f>IF(VLOOKUP(O$2&amp;Income_Statement[[#This Row],[Aop]],Data[],1)=O$2&amp;Income_Statement[[#This Row],[Aop]],VLOOKUP(O$2&amp;Income_Statement[[#This Row],[Aop]],Data[],O$1)/Jedinica,"")</f>
        <v>37680</v>
      </c>
      <c r="P48" s="38">
        <f>IF(VLOOKUP(P$2&amp;Income_Statement[[#This Row],[Aop]],Data[],1)=P$2&amp;Income_Statement[[#This Row],[Aop]],VLOOKUP(P$2&amp;Income_Statement[[#This Row],[Aop]],Data[],P$1)/Jedinica,"")</f>
        <v>7275</v>
      </c>
      <c r="Q48" s="38" t="str">
        <f>IF(VLOOKUP(Q$2&amp;Income_Statement[[#This Row],[Aop]],Data[],1)=Q$2&amp;Income_Statement[[#This Row],[Aop]],VLOOKUP(Q$2&amp;Income_Statement[[#This Row],[Aop]],Data[],Q$1)/Jedinica,"")</f>
        <v/>
      </c>
      <c r="R48" s="38" t="str">
        <f>IF(VLOOKUP(R$2&amp;Income_Statement[[#This Row],[Aop]],Data[],1)=R$2&amp;Income_Statement[[#This Row],[Aop]],VLOOKUP(R$2&amp;Income_Statement[[#This Row],[Aop]],Data[],R$1)/Jedinica,"")</f>
        <v/>
      </c>
      <c r="S48" s="38">
        <f>IF(VLOOKUP(S$2&amp;Income_Statement[[#This Row],[Aop]],Data[],1)=S$2&amp;Income_Statement[[#This Row],[Aop]],VLOOKUP(S$2&amp;Income_Statement[[#This Row],[Aop]],Data[],S$1)/Jedinica,"")</f>
        <v>18028</v>
      </c>
      <c r="T48" s="38">
        <f>IF(VLOOKUP(T$2&amp;Income_Statement[[#This Row],[Aop]],Data[],1)=T$2&amp;Income_Statement[[#This Row],[Aop]],VLOOKUP(T$2&amp;Income_Statement[[#This Row],[Aop]],Data[],T$1)/Jedinica,"")</f>
        <v>15627</v>
      </c>
    </row>
    <row r="49" spans="1:20" ht="12.75" customHeight="1" x14ac:dyDescent="0.2">
      <c r="A49" s="74">
        <v>149</v>
      </c>
      <c r="B49" s="74">
        <v>2</v>
      </c>
      <c r="C49" s="78" t="str">
        <f>VLOOKUP(Income_Statement[[#This Row],[No]],AOP_Balance,3,0)</f>
        <v>241</v>
      </c>
      <c r="D49" s="52" t="str">
        <f>VLOOKUP(Income_Statement[[#This Row],[No]],AOP_Balance,7,0)</f>
        <v xml:space="preserve">    2. Rashodi iz operativnog poslovanja (242 do 255)</v>
      </c>
      <c r="E49" s="38">
        <f>IF(VLOOKUP(E$2&amp;Income_Statement[[#This Row],[Aop]],Data[],1)=E$2&amp;Income_Statement[[#This Row],[Aop]],VLOOKUP(E$2&amp;Income_Statement[[#This Row],[Aop]],Data[],E$1)/Jedinica,"")</f>
        <v>6877746</v>
      </c>
      <c r="F49" s="38">
        <f>IF(VLOOKUP(F$2&amp;Income_Statement[[#This Row],[Aop]],Data[],1)=F$2&amp;Income_Statement[[#This Row],[Aop]],VLOOKUP(F$2&amp;Income_Statement[[#This Row],[Aop]],Data[],F$1)/Jedinica,"")</f>
        <v>6579720</v>
      </c>
      <c r="G49" s="38">
        <f>IF(VLOOKUP(G$2&amp;Income_Statement[[#This Row],[Aop]],Data[],1)=G$2&amp;Income_Statement[[#This Row],[Aop]],VLOOKUP(G$2&amp;Income_Statement[[#This Row],[Aop]],Data[],G$1)/Jedinica,"")</f>
        <v>10843863</v>
      </c>
      <c r="H49" s="38">
        <f>IF(VLOOKUP(H$2&amp;Income_Statement[[#This Row],[Aop]],Data[],1)=H$2&amp;Income_Statement[[#This Row],[Aop]],VLOOKUP(H$2&amp;Income_Statement[[#This Row],[Aop]],Data[],H$1)/Jedinica,"")</f>
        <v>9040486</v>
      </c>
      <c r="I49" s="38">
        <f>IF(VLOOKUP(I$2&amp;Income_Statement[[#This Row],[Aop]],Data[],1)=I$2&amp;Income_Statement[[#This Row],[Aop]],VLOOKUP(I$2&amp;Income_Statement[[#This Row],[Aop]],Data[],I$1)/Jedinica,"")</f>
        <v>4996763</v>
      </c>
      <c r="J49" s="38">
        <f>IF(VLOOKUP(J$2&amp;Income_Statement[[#This Row],[Aop]],Data[],1)=J$2&amp;Income_Statement[[#This Row],[Aop]],VLOOKUP(J$2&amp;Income_Statement[[#This Row],[Aop]],Data[],J$1)/Jedinica,"")</f>
        <v>4009781</v>
      </c>
      <c r="K49" s="38">
        <f>IF(VLOOKUP(K$2&amp;Income_Statement[[#This Row],[Aop]],Data[],1)=K$2&amp;Income_Statement[[#This Row],[Aop]],VLOOKUP(K$2&amp;Income_Statement[[#This Row],[Aop]],Data[],K$1)/Jedinica,"")</f>
        <v>8668048</v>
      </c>
      <c r="L49" s="38">
        <f>IF(VLOOKUP(L$2&amp;Income_Statement[[#This Row],[Aop]],Data[],1)=L$2&amp;Income_Statement[[#This Row],[Aop]],VLOOKUP(L$2&amp;Income_Statement[[#This Row],[Aop]],Data[],L$1)/Jedinica,"")</f>
        <v>6933147</v>
      </c>
      <c r="M49" s="38">
        <f>IF(VLOOKUP(M$2&amp;Income_Statement[[#This Row],[Aop]],Data[],1)=M$2&amp;Income_Statement[[#This Row],[Aop]],VLOOKUP(M$2&amp;Income_Statement[[#This Row],[Aop]],Data[],M$1)/Jedinica,"")</f>
        <v>45101424</v>
      </c>
      <c r="N49" s="38">
        <f>IF(VLOOKUP(N$2&amp;Income_Statement[[#This Row],[Aop]],Data[],1)=N$2&amp;Income_Statement[[#This Row],[Aop]],VLOOKUP(N$2&amp;Income_Statement[[#This Row],[Aop]],Data[],N$1)/Jedinica,"")</f>
        <v>35651092</v>
      </c>
      <c r="O49" s="38">
        <f>IF(VLOOKUP(O$2&amp;Income_Statement[[#This Row],[Aop]],Data[],1)=O$2&amp;Income_Statement[[#This Row],[Aop]],VLOOKUP(O$2&amp;Income_Statement[[#This Row],[Aop]],Data[],O$1)/Jedinica,"")</f>
        <v>8668048</v>
      </c>
      <c r="P49" s="38">
        <f>IF(VLOOKUP(P$2&amp;Income_Statement[[#This Row],[Aop]],Data[],1)=P$2&amp;Income_Statement[[#This Row],[Aop]],VLOOKUP(P$2&amp;Income_Statement[[#This Row],[Aop]],Data[],P$1)/Jedinica,"")</f>
        <v>6933147</v>
      </c>
      <c r="Q49" s="38">
        <f>IF(VLOOKUP(Q$2&amp;Income_Statement[[#This Row],[Aop]],Data[],1)=Q$2&amp;Income_Statement[[#This Row],[Aop]],VLOOKUP(Q$2&amp;Income_Statement[[#This Row],[Aop]],Data[],Q$1)/Jedinica,"")</f>
        <v>11072317</v>
      </c>
      <c r="R49" s="38">
        <f>IF(VLOOKUP(R$2&amp;Income_Statement[[#This Row],[Aop]],Data[],1)=R$2&amp;Income_Statement[[#This Row],[Aop]],VLOOKUP(R$2&amp;Income_Statement[[#This Row],[Aop]],Data[],R$1)/Jedinica,"")</f>
        <v>8706400</v>
      </c>
      <c r="S49" s="38">
        <f>IF(VLOOKUP(S$2&amp;Income_Statement[[#This Row],[Aop]],Data[],1)=S$2&amp;Income_Statement[[#This Row],[Aop]],VLOOKUP(S$2&amp;Income_Statement[[#This Row],[Aop]],Data[],S$1)/Jedinica,"")</f>
        <v>32797300</v>
      </c>
      <c r="T49" s="38">
        <f>IF(VLOOKUP(T$2&amp;Income_Statement[[#This Row],[Aop]],Data[],1)=T$2&amp;Income_Statement[[#This Row],[Aop]],VLOOKUP(T$2&amp;Income_Statement[[#This Row],[Aop]],Data[],T$1)/Jedinica,"")</f>
        <v>40708051</v>
      </c>
    </row>
    <row r="50" spans="1:20" ht="12.75" customHeight="1" x14ac:dyDescent="0.2">
      <c r="A50" s="74">
        <v>150</v>
      </c>
      <c r="B50" s="74">
        <v>3</v>
      </c>
      <c r="C50" s="78" t="str">
        <f>VLOOKUP(Income_Statement[[#This Row],[No]],AOP_Balance,3,0)</f>
        <v>242</v>
      </c>
      <c r="D50" s="52" t="str">
        <f>VLOOKUP(Income_Statement[[#This Row],[No]],AOP_Balance,7,0)</f>
        <v xml:space="preserve">      a) Rashodi indirektnih otpisa plasmana</v>
      </c>
      <c r="E50" s="38">
        <f>IF(VLOOKUP(E$2&amp;Income_Statement[[#This Row],[Aop]],Data[],1)=E$2&amp;Income_Statement[[#This Row],[Aop]],VLOOKUP(E$2&amp;Income_Statement[[#This Row],[Aop]],Data[],E$1)/Jedinica,"")</f>
        <v>2426121</v>
      </c>
      <c r="F50" s="38">
        <f>IF(VLOOKUP(F$2&amp;Income_Statement[[#This Row],[Aop]],Data[],1)=F$2&amp;Income_Statement[[#This Row],[Aop]],VLOOKUP(F$2&amp;Income_Statement[[#This Row],[Aop]],Data[],F$1)/Jedinica,"")</f>
        <v>2335317</v>
      </c>
      <c r="G50" s="38">
        <f>IF(VLOOKUP(G$2&amp;Income_Statement[[#This Row],[Aop]],Data[],1)=G$2&amp;Income_Statement[[#This Row],[Aop]],VLOOKUP(G$2&amp;Income_Statement[[#This Row],[Aop]],Data[],G$1)/Jedinica,"")</f>
        <v>4641195</v>
      </c>
      <c r="H50" s="38">
        <f>IF(VLOOKUP(H$2&amp;Income_Statement[[#This Row],[Aop]],Data[],1)=H$2&amp;Income_Statement[[#This Row],[Aop]],VLOOKUP(H$2&amp;Income_Statement[[#This Row],[Aop]],Data[],H$1)/Jedinica,"")</f>
        <v>2549501</v>
      </c>
      <c r="I50" s="38">
        <f>IF(VLOOKUP(I$2&amp;Income_Statement[[#This Row],[Aop]],Data[],1)=I$2&amp;Income_Statement[[#This Row],[Aop]],VLOOKUP(I$2&amp;Income_Statement[[#This Row],[Aop]],Data[],I$1)/Jedinica,"")</f>
        <v>1628052</v>
      </c>
      <c r="J50" s="38">
        <f>IF(VLOOKUP(J$2&amp;Income_Statement[[#This Row],[Aop]],Data[],1)=J$2&amp;Income_Statement[[#This Row],[Aop]],VLOOKUP(J$2&amp;Income_Statement[[#This Row],[Aop]],Data[],J$1)/Jedinica,"")</f>
        <v>1596911</v>
      </c>
      <c r="K50" s="38">
        <f>IF(VLOOKUP(K$2&amp;Income_Statement[[#This Row],[Aop]],Data[],1)=K$2&amp;Income_Statement[[#This Row],[Aop]],VLOOKUP(K$2&amp;Income_Statement[[#This Row],[Aop]],Data[],K$1)/Jedinica,"")</f>
        <v>3095148</v>
      </c>
      <c r="L50" s="38">
        <f>IF(VLOOKUP(L$2&amp;Income_Statement[[#This Row],[Aop]],Data[],1)=L$2&amp;Income_Statement[[#This Row],[Aop]],VLOOKUP(L$2&amp;Income_Statement[[#This Row],[Aop]],Data[],L$1)/Jedinica,"")</f>
        <v>1446164</v>
      </c>
      <c r="M50" s="38">
        <f>IF(VLOOKUP(M$2&amp;Income_Statement[[#This Row],[Aop]],Data[],1)=M$2&amp;Income_Statement[[#This Row],[Aop]],VLOOKUP(M$2&amp;Income_Statement[[#This Row],[Aop]],Data[],M$1)/Jedinica,"")</f>
        <v>21528848</v>
      </c>
      <c r="N50" s="38">
        <f>IF(VLOOKUP(N$2&amp;Income_Statement[[#This Row],[Aop]],Data[],1)=N$2&amp;Income_Statement[[#This Row],[Aop]],VLOOKUP(N$2&amp;Income_Statement[[#This Row],[Aop]],Data[],N$1)/Jedinica,"")</f>
        <v>15520674</v>
      </c>
      <c r="O50" s="38">
        <f>IF(VLOOKUP(O$2&amp;Income_Statement[[#This Row],[Aop]],Data[],1)=O$2&amp;Income_Statement[[#This Row],[Aop]],VLOOKUP(O$2&amp;Income_Statement[[#This Row],[Aop]],Data[],O$1)/Jedinica,"")</f>
        <v>3095148</v>
      </c>
      <c r="P50" s="38">
        <f>IF(VLOOKUP(P$2&amp;Income_Statement[[#This Row],[Aop]],Data[],1)=P$2&amp;Income_Statement[[#This Row],[Aop]],VLOOKUP(P$2&amp;Income_Statement[[#This Row],[Aop]],Data[],P$1)/Jedinica,"")</f>
        <v>1446164</v>
      </c>
      <c r="Q50" s="38">
        <f>IF(VLOOKUP(Q$2&amp;Income_Statement[[#This Row],[Aop]],Data[],1)=Q$2&amp;Income_Statement[[#This Row],[Aop]],VLOOKUP(Q$2&amp;Income_Statement[[#This Row],[Aop]],Data[],Q$1)/Jedinica,"")</f>
        <v>4559118</v>
      </c>
      <c r="R50" s="38">
        <f>IF(VLOOKUP(R$2&amp;Income_Statement[[#This Row],[Aop]],Data[],1)=R$2&amp;Income_Statement[[#This Row],[Aop]],VLOOKUP(R$2&amp;Income_Statement[[#This Row],[Aop]],Data[],R$1)/Jedinica,"")</f>
        <v>3379372</v>
      </c>
      <c r="S50" s="38">
        <f>IF(VLOOKUP(S$2&amp;Income_Statement[[#This Row],[Aop]],Data[],1)=S$2&amp;Income_Statement[[#This Row],[Aop]],VLOOKUP(S$2&amp;Income_Statement[[#This Row],[Aop]],Data[],S$1)/Jedinica,"")</f>
        <v>19762725</v>
      </c>
      <c r="T50" s="38">
        <f>IF(VLOOKUP(T$2&amp;Income_Statement[[#This Row],[Aop]],Data[],1)=T$2&amp;Income_Statement[[#This Row],[Aop]],VLOOKUP(T$2&amp;Income_Statement[[#This Row],[Aop]],Data[],T$1)/Jedinica,"")</f>
        <v>21501765</v>
      </c>
    </row>
    <row r="51" spans="1:20" ht="12.75" customHeight="1" x14ac:dyDescent="0.2">
      <c r="A51" s="74">
        <v>151</v>
      </c>
      <c r="B51" s="74">
        <v>3</v>
      </c>
      <c r="C51" s="78" t="str">
        <f>VLOOKUP(Income_Statement[[#This Row],[No]],AOP_Balance,3,0)</f>
        <v>243</v>
      </c>
      <c r="D51" s="52" t="str">
        <f>VLOOKUP(Income_Statement[[#This Row],[No]],AOP_Balance,7,0)</f>
        <v xml:space="preserve">      b) Rashodi rezervisanja za vanbilansne pozicije</v>
      </c>
      <c r="E51" s="38">
        <f>IF(VLOOKUP(E$2&amp;Income_Statement[[#This Row],[Aop]],Data[],1)=E$2&amp;Income_Statement[[#This Row],[Aop]],VLOOKUP(E$2&amp;Income_Statement[[#This Row],[Aop]],Data[],E$1)/Jedinica,"")</f>
        <v>15176</v>
      </c>
      <c r="F51" s="38">
        <f>IF(VLOOKUP(F$2&amp;Income_Statement[[#This Row],[Aop]],Data[],1)=F$2&amp;Income_Statement[[#This Row],[Aop]],VLOOKUP(F$2&amp;Income_Statement[[#This Row],[Aop]],Data[],F$1)/Jedinica,"")</f>
        <v>68188</v>
      </c>
      <c r="G51" s="38">
        <f>IF(VLOOKUP(G$2&amp;Income_Statement[[#This Row],[Aop]],Data[],1)=G$2&amp;Income_Statement[[#This Row],[Aop]],VLOOKUP(G$2&amp;Income_Statement[[#This Row],[Aop]],Data[],G$1)/Jedinica,"")</f>
        <v>4698</v>
      </c>
      <c r="H51" s="38">
        <f>IF(VLOOKUP(H$2&amp;Income_Statement[[#This Row],[Aop]],Data[],1)=H$2&amp;Income_Statement[[#This Row],[Aop]],VLOOKUP(H$2&amp;Income_Statement[[#This Row],[Aop]],Data[],H$1)/Jedinica,"")</f>
        <v>53336</v>
      </c>
      <c r="I51" s="38">
        <f>IF(VLOOKUP(I$2&amp;Income_Statement[[#This Row],[Aop]],Data[],1)=I$2&amp;Income_Statement[[#This Row],[Aop]],VLOOKUP(I$2&amp;Income_Statement[[#This Row],[Aop]],Data[],I$1)/Jedinica,"")</f>
        <v>89308</v>
      </c>
      <c r="J51" s="38">
        <f>IF(VLOOKUP(J$2&amp;Income_Statement[[#This Row],[Aop]],Data[],1)=J$2&amp;Income_Statement[[#This Row],[Aop]],VLOOKUP(J$2&amp;Income_Statement[[#This Row],[Aop]],Data[],J$1)/Jedinica,"")</f>
        <v>34570</v>
      </c>
      <c r="K51" s="38">
        <f>IF(VLOOKUP(K$2&amp;Income_Statement[[#This Row],[Aop]],Data[],1)=K$2&amp;Income_Statement[[#This Row],[Aop]],VLOOKUP(K$2&amp;Income_Statement[[#This Row],[Aop]],Data[],K$1)/Jedinica,"")</f>
        <v>94200</v>
      </c>
      <c r="L51" s="38">
        <f>IF(VLOOKUP(L$2&amp;Income_Statement[[#This Row],[Aop]],Data[],1)=L$2&amp;Income_Statement[[#This Row],[Aop]],VLOOKUP(L$2&amp;Income_Statement[[#This Row],[Aop]],Data[],L$1)/Jedinica,"")</f>
        <v>54960</v>
      </c>
      <c r="M51" s="38">
        <f>IF(VLOOKUP(M$2&amp;Income_Statement[[#This Row],[Aop]],Data[],1)=M$2&amp;Income_Statement[[#This Row],[Aop]],VLOOKUP(M$2&amp;Income_Statement[[#This Row],[Aop]],Data[],M$1)/Jedinica,"")</f>
        <v>2086598</v>
      </c>
      <c r="N51" s="38">
        <f>IF(VLOOKUP(N$2&amp;Income_Statement[[#This Row],[Aop]],Data[],1)=N$2&amp;Income_Statement[[#This Row],[Aop]],VLOOKUP(N$2&amp;Income_Statement[[#This Row],[Aop]],Data[],N$1)/Jedinica,"")</f>
        <v>1754195</v>
      </c>
      <c r="O51" s="38">
        <f>IF(VLOOKUP(O$2&amp;Income_Statement[[#This Row],[Aop]],Data[],1)=O$2&amp;Income_Statement[[#This Row],[Aop]],VLOOKUP(O$2&amp;Income_Statement[[#This Row],[Aop]],Data[],O$1)/Jedinica,"")</f>
        <v>94200</v>
      </c>
      <c r="P51" s="38">
        <f>IF(VLOOKUP(P$2&amp;Income_Statement[[#This Row],[Aop]],Data[],1)=P$2&amp;Income_Statement[[#This Row],[Aop]],VLOOKUP(P$2&amp;Income_Statement[[#This Row],[Aop]],Data[],P$1)/Jedinica,"")</f>
        <v>54960</v>
      </c>
      <c r="Q51" s="38">
        <f>IF(VLOOKUP(Q$2&amp;Income_Statement[[#This Row],[Aop]],Data[],1)=Q$2&amp;Income_Statement[[#This Row],[Aop]],VLOOKUP(Q$2&amp;Income_Statement[[#This Row],[Aop]],Data[],Q$1)/Jedinica,"")</f>
        <v>6429</v>
      </c>
      <c r="R51" s="38">
        <f>IF(VLOOKUP(R$2&amp;Income_Statement[[#This Row],[Aop]],Data[],1)=R$2&amp;Income_Statement[[#This Row],[Aop]],VLOOKUP(R$2&amp;Income_Statement[[#This Row],[Aop]],Data[],R$1)/Jedinica,"")</f>
        <v>5345</v>
      </c>
      <c r="S51" s="38">
        <f>IF(VLOOKUP(S$2&amp;Income_Statement[[#This Row],[Aop]],Data[],1)=S$2&amp;Income_Statement[[#This Row],[Aop]],VLOOKUP(S$2&amp;Income_Statement[[#This Row],[Aop]],Data[],S$1)/Jedinica,"")</f>
        <v>325762</v>
      </c>
      <c r="T51" s="38">
        <f>IF(VLOOKUP(T$2&amp;Income_Statement[[#This Row],[Aop]],Data[],1)=T$2&amp;Income_Statement[[#This Row],[Aop]],VLOOKUP(T$2&amp;Income_Statement[[#This Row],[Aop]],Data[],T$1)/Jedinica,"")</f>
        <v>5364329</v>
      </c>
    </row>
    <row r="52" spans="1:20" ht="12.75" customHeight="1" x14ac:dyDescent="0.2">
      <c r="A52" s="74">
        <v>152</v>
      </c>
      <c r="B52" s="74">
        <v>3</v>
      </c>
      <c r="C52" s="78" t="str">
        <f>VLOOKUP(Income_Statement[[#This Row],[No]],AOP_Balance,3,0)</f>
        <v>244</v>
      </c>
      <c r="D52" s="52" t="str">
        <f>VLOOKUP(Income_Statement[[#This Row],[No]],AOP_Balance,7,0)</f>
        <v xml:space="preserve">      v) Rashodi po osnovu rezervisanja za obaveze</v>
      </c>
      <c r="E52" s="38">
        <f>IF(VLOOKUP(E$2&amp;Income_Statement[[#This Row],[Aop]],Data[],1)=E$2&amp;Income_Statement[[#This Row],[Aop]],VLOOKUP(E$2&amp;Income_Statement[[#This Row],[Aop]],Data[],E$1)/Jedinica,"")</f>
        <v>7000</v>
      </c>
      <c r="F52" s="38">
        <f>IF(VLOOKUP(F$2&amp;Income_Statement[[#This Row],[Aop]],Data[],1)=F$2&amp;Income_Statement[[#This Row],[Aop]],VLOOKUP(F$2&amp;Income_Statement[[#This Row],[Aop]],Data[],F$1)/Jedinica,"")</f>
        <v>0</v>
      </c>
      <c r="G52" s="38" t="str">
        <f>IF(VLOOKUP(G$2&amp;Income_Statement[[#This Row],[Aop]],Data[],1)=G$2&amp;Income_Statement[[#This Row],[Aop]],VLOOKUP(G$2&amp;Income_Statement[[#This Row],[Aop]],Data[],G$1)/Jedinica,"")</f>
        <v/>
      </c>
      <c r="H52" s="38" t="str">
        <f>IF(VLOOKUP(H$2&amp;Income_Statement[[#This Row],[Aop]],Data[],1)=H$2&amp;Income_Statement[[#This Row],[Aop]],VLOOKUP(H$2&amp;Income_Statement[[#This Row],[Aop]],Data[],H$1)/Jedinica,"")</f>
        <v/>
      </c>
      <c r="I52" s="38" t="str">
        <f>IF(VLOOKUP(I$2&amp;Income_Statement[[#This Row],[Aop]],Data[],1)=I$2&amp;Income_Statement[[#This Row],[Aop]],VLOOKUP(I$2&amp;Income_Statement[[#This Row],[Aop]],Data[],I$1)/Jedinica,"")</f>
        <v/>
      </c>
      <c r="J52" s="38" t="str">
        <f>IF(VLOOKUP(J$2&amp;Income_Statement[[#This Row],[Aop]],Data[],1)=J$2&amp;Income_Statement[[#This Row],[Aop]],VLOOKUP(J$2&amp;Income_Statement[[#This Row],[Aop]],Data[],J$1)/Jedinica,"")</f>
        <v/>
      </c>
      <c r="K52" s="38" t="str">
        <f>IF(VLOOKUP(K$2&amp;Income_Statement[[#This Row],[Aop]],Data[],1)=K$2&amp;Income_Statement[[#This Row],[Aop]],VLOOKUP(K$2&amp;Income_Statement[[#This Row],[Aop]],Data[],K$1)/Jedinica,"")</f>
        <v/>
      </c>
      <c r="L52" s="38" t="str">
        <f>IF(VLOOKUP(L$2&amp;Income_Statement[[#This Row],[Aop]],Data[],1)=L$2&amp;Income_Statement[[#This Row],[Aop]],VLOOKUP(L$2&amp;Income_Statement[[#This Row],[Aop]],Data[],L$1)/Jedinica,"")</f>
        <v/>
      </c>
      <c r="M52" s="38">
        <f>IF(VLOOKUP(M$2&amp;Income_Statement[[#This Row],[Aop]],Data[],1)=M$2&amp;Income_Statement[[#This Row],[Aop]],VLOOKUP(M$2&amp;Income_Statement[[#This Row],[Aop]],Data[],M$1)/Jedinica,"")</f>
        <v>5228</v>
      </c>
      <c r="N52" s="38">
        <f>IF(VLOOKUP(N$2&amp;Income_Statement[[#This Row],[Aop]],Data[],1)=N$2&amp;Income_Statement[[#This Row],[Aop]],VLOOKUP(N$2&amp;Income_Statement[[#This Row],[Aop]],Data[],N$1)/Jedinica,"")</f>
        <v>148825</v>
      </c>
      <c r="O52" s="38" t="str">
        <f>IF(VLOOKUP(O$2&amp;Income_Statement[[#This Row],[Aop]],Data[],1)=O$2&amp;Income_Statement[[#This Row],[Aop]],VLOOKUP(O$2&amp;Income_Statement[[#This Row],[Aop]],Data[],O$1)/Jedinica,"")</f>
        <v/>
      </c>
      <c r="P52" s="38" t="str">
        <f>IF(VLOOKUP(P$2&amp;Income_Statement[[#This Row],[Aop]],Data[],1)=P$2&amp;Income_Statement[[#This Row],[Aop]],VLOOKUP(P$2&amp;Income_Statement[[#This Row],[Aop]],Data[],P$1)/Jedinica,"")</f>
        <v/>
      </c>
      <c r="Q52" s="38" t="str">
        <f>IF(VLOOKUP(Q$2&amp;Income_Statement[[#This Row],[Aop]],Data[],1)=Q$2&amp;Income_Statement[[#This Row],[Aop]],VLOOKUP(Q$2&amp;Income_Statement[[#This Row],[Aop]],Data[],Q$1)/Jedinica,"")</f>
        <v/>
      </c>
      <c r="R52" s="38" t="str">
        <f>IF(VLOOKUP(R$2&amp;Income_Statement[[#This Row],[Aop]],Data[],1)=R$2&amp;Income_Statement[[#This Row],[Aop]],VLOOKUP(R$2&amp;Income_Statement[[#This Row],[Aop]],Data[],R$1)/Jedinica,"")</f>
        <v/>
      </c>
      <c r="S52" s="38">
        <f>IF(VLOOKUP(S$2&amp;Income_Statement[[#This Row],[Aop]],Data[],1)=S$2&amp;Income_Statement[[#This Row],[Aop]],VLOOKUP(S$2&amp;Income_Statement[[#This Row],[Aop]],Data[],S$1)/Jedinica,"")</f>
        <v>0</v>
      </c>
      <c r="T52" s="38">
        <f>IF(VLOOKUP(T$2&amp;Income_Statement[[#This Row],[Aop]],Data[],1)=T$2&amp;Income_Statement[[#This Row],[Aop]],VLOOKUP(T$2&amp;Income_Statement[[#This Row],[Aop]],Data[],T$1)/Jedinica,"")</f>
        <v>125550</v>
      </c>
    </row>
    <row r="53" spans="1:20" ht="12.75" customHeight="1" x14ac:dyDescent="0.2">
      <c r="A53" s="74">
        <v>153</v>
      </c>
      <c r="B53" s="74">
        <v>3</v>
      </c>
      <c r="C53" s="78" t="str">
        <f>VLOOKUP(Income_Statement[[#This Row],[No]],AOP_Balance,3,0)</f>
        <v>245</v>
      </c>
      <c r="D53" s="52" t="str">
        <f>VLOOKUP(Income_Statement[[#This Row],[No]],AOP_Balance,7,0)</f>
        <v xml:space="preserve">      g) Rashodi ostalih rezervisanja</v>
      </c>
      <c r="E53" s="38" t="str">
        <f>IF(VLOOKUP(E$2&amp;Income_Statement[[#This Row],[Aop]],Data[],1)=E$2&amp;Income_Statement[[#This Row],[Aop]],VLOOKUP(E$2&amp;Income_Statement[[#This Row],[Aop]],Data[],E$1)/Jedinica,"")</f>
        <v/>
      </c>
      <c r="F53" s="38" t="str">
        <f>IF(VLOOKUP(F$2&amp;Income_Statement[[#This Row],[Aop]],Data[],1)=F$2&amp;Income_Statement[[#This Row],[Aop]],VLOOKUP(F$2&amp;Income_Statement[[#This Row],[Aop]],Data[],F$1)/Jedinica,"")</f>
        <v/>
      </c>
      <c r="G53" s="38" t="str">
        <f>IF(VLOOKUP(G$2&amp;Income_Statement[[#This Row],[Aop]],Data[],1)=G$2&amp;Income_Statement[[#This Row],[Aop]],VLOOKUP(G$2&amp;Income_Statement[[#This Row],[Aop]],Data[],G$1)/Jedinica,"")</f>
        <v/>
      </c>
      <c r="H53" s="38" t="str">
        <f>IF(VLOOKUP(H$2&amp;Income_Statement[[#This Row],[Aop]],Data[],1)=H$2&amp;Income_Statement[[#This Row],[Aop]],VLOOKUP(H$2&amp;Income_Statement[[#This Row],[Aop]],Data[],H$1)/Jedinica,"")</f>
        <v/>
      </c>
      <c r="I53" s="38" t="str">
        <f>IF(VLOOKUP(I$2&amp;Income_Statement[[#This Row],[Aop]],Data[],1)=I$2&amp;Income_Statement[[#This Row],[Aop]],VLOOKUP(I$2&amp;Income_Statement[[#This Row],[Aop]],Data[],I$1)/Jedinica,"")</f>
        <v/>
      </c>
      <c r="J53" s="38" t="str">
        <f>IF(VLOOKUP(J$2&amp;Income_Statement[[#This Row],[Aop]],Data[],1)=J$2&amp;Income_Statement[[#This Row],[Aop]],VLOOKUP(J$2&amp;Income_Statement[[#This Row],[Aop]],Data[],J$1)/Jedinica,"")</f>
        <v/>
      </c>
      <c r="K53" s="38" t="str">
        <f>IF(VLOOKUP(K$2&amp;Income_Statement[[#This Row],[Aop]],Data[],1)=K$2&amp;Income_Statement[[#This Row],[Aop]],VLOOKUP(K$2&amp;Income_Statement[[#This Row],[Aop]],Data[],K$1)/Jedinica,"")</f>
        <v/>
      </c>
      <c r="L53" s="38" t="str">
        <f>IF(VLOOKUP(L$2&amp;Income_Statement[[#This Row],[Aop]],Data[],1)=L$2&amp;Income_Statement[[#This Row],[Aop]],VLOOKUP(L$2&amp;Income_Statement[[#This Row],[Aop]],Data[],L$1)/Jedinica,"")</f>
        <v/>
      </c>
      <c r="M53" s="38" t="str">
        <f>IF(VLOOKUP(M$2&amp;Income_Statement[[#This Row],[Aop]],Data[],1)=M$2&amp;Income_Statement[[#This Row],[Aop]],VLOOKUP(M$2&amp;Income_Statement[[#This Row],[Aop]],Data[],M$1)/Jedinica,"")</f>
        <v/>
      </c>
      <c r="N53" s="38" t="str">
        <f>IF(VLOOKUP(N$2&amp;Income_Statement[[#This Row],[Aop]],Data[],1)=N$2&amp;Income_Statement[[#This Row],[Aop]],VLOOKUP(N$2&amp;Income_Statement[[#This Row],[Aop]],Data[],N$1)/Jedinica,"")</f>
        <v/>
      </c>
      <c r="O53" s="38" t="str">
        <f>IF(VLOOKUP(O$2&amp;Income_Statement[[#This Row],[Aop]],Data[],1)=O$2&amp;Income_Statement[[#This Row],[Aop]],VLOOKUP(O$2&amp;Income_Statement[[#This Row],[Aop]],Data[],O$1)/Jedinica,"")</f>
        <v/>
      </c>
      <c r="P53" s="38" t="str">
        <f>IF(VLOOKUP(P$2&amp;Income_Statement[[#This Row],[Aop]],Data[],1)=P$2&amp;Income_Statement[[#This Row],[Aop]],VLOOKUP(P$2&amp;Income_Statement[[#This Row],[Aop]],Data[],P$1)/Jedinica,"")</f>
        <v/>
      </c>
      <c r="Q53" s="38" t="str">
        <f>IF(VLOOKUP(Q$2&amp;Income_Statement[[#This Row],[Aop]],Data[],1)=Q$2&amp;Income_Statement[[#This Row],[Aop]],VLOOKUP(Q$2&amp;Income_Statement[[#This Row],[Aop]],Data[],Q$1)/Jedinica,"")</f>
        <v/>
      </c>
      <c r="R53" s="38" t="str">
        <f>IF(VLOOKUP(R$2&amp;Income_Statement[[#This Row],[Aop]],Data[],1)=R$2&amp;Income_Statement[[#This Row],[Aop]],VLOOKUP(R$2&amp;Income_Statement[[#This Row],[Aop]],Data[],R$1)/Jedinica,"")</f>
        <v/>
      </c>
      <c r="S53" s="38" t="str">
        <f>IF(VLOOKUP(S$2&amp;Income_Statement[[#This Row],[Aop]],Data[],1)=S$2&amp;Income_Statement[[#This Row],[Aop]],VLOOKUP(S$2&amp;Income_Statement[[#This Row],[Aop]],Data[],S$1)/Jedinica,"")</f>
        <v/>
      </c>
      <c r="T53" s="38" t="str">
        <f>IF(VLOOKUP(T$2&amp;Income_Statement[[#This Row],[Aop]],Data[],1)=T$2&amp;Income_Statement[[#This Row],[Aop]],VLOOKUP(T$2&amp;Income_Statement[[#This Row],[Aop]],Data[],T$1)/Jedinica,"")</f>
        <v/>
      </c>
    </row>
    <row r="54" spans="1:20" ht="12.75" customHeight="1" x14ac:dyDescent="0.2">
      <c r="A54" s="74">
        <v>154</v>
      </c>
      <c r="B54" s="74">
        <v>3</v>
      </c>
      <c r="C54" s="78" t="str">
        <f>VLOOKUP(Income_Statement[[#This Row],[No]],AOP_Balance,3,0)</f>
        <v>246</v>
      </c>
      <c r="D54" s="52" t="str">
        <f>VLOOKUP(Income_Statement[[#This Row],[No]],AOP_Balance,7,0)</f>
        <v xml:space="preserve">      d) Troškovi bruto zarada i bruto naknada zarada</v>
      </c>
      <c r="E54" s="38">
        <f>IF(VLOOKUP(E$2&amp;Income_Statement[[#This Row],[Aop]],Data[],1)=E$2&amp;Income_Statement[[#This Row],[Aop]],VLOOKUP(E$2&amp;Income_Statement[[#This Row],[Aop]],Data[],E$1)/Jedinica,"")</f>
        <v>2064986</v>
      </c>
      <c r="F54" s="38">
        <f>IF(VLOOKUP(F$2&amp;Income_Statement[[#This Row],[Aop]],Data[],1)=F$2&amp;Income_Statement[[#This Row],[Aop]],VLOOKUP(F$2&amp;Income_Statement[[#This Row],[Aop]],Data[],F$1)/Jedinica,"")</f>
        <v>2077251</v>
      </c>
      <c r="G54" s="38">
        <f>IF(VLOOKUP(G$2&amp;Income_Statement[[#This Row],[Aop]],Data[],1)=G$2&amp;Income_Statement[[#This Row],[Aop]],VLOOKUP(G$2&amp;Income_Statement[[#This Row],[Aop]],Data[],G$1)/Jedinica,"")</f>
        <v>2646576</v>
      </c>
      <c r="H54" s="38">
        <f>IF(VLOOKUP(H$2&amp;Income_Statement[[#This Row],[Aop]],Data[],1)=H$2&amp;Income_Statement[[#This Row],[Aop]],VLOOKUP(H$2&amp;Income_Statement[[#This Row],[Aop]],Data[],H$1)/Jedinica,"")</f>
        <v>2622151</v>
      </c>
      <c r="I54" s="38">
        <f>IF(VLOOKUP(I$2&amp;Income_Statement[[#This Row],[Aop]],Data[],1)=I$2&amp;Income_Statement[[#This Row],[Aop]],VLOOKUP(I$2&amp;Income_Statement[[#This Row],[Aop]],Data[],I$1)/Jedinica,"")</f>
        <v>1797630</v>
      </c>
      <c r="J54" s="38">
        <f>IF(VLOOKUP(J$2&amp;Income_Statement[[#This Row],[Aop]],Data[],1)=J$2&amp;Income_Statement[[#This Row],[Aop]],VLOOKUP(J$2&amp;Income_Statement[[#This Row],[Aop]],Data[],J$1)/Jedinica,"")</f>
        <v>1284079</v>
      </c>
      <c r="K54" s="38">
        <f>IF(VLOOKUP(K$2&amp;Income_Statement[[#This Row],[Aop]],Data[],1)=K$2&amp;Income_Statement[[#This Row],[Aop]],VLOOKUP(K$2&amp;Income_Statement[[#This Row],[Aop]],Data[],K$1)/Jedinica,"")</f>
        <v>2393014</v>
      </c>
      <c r="L54" s="38">
        <f>IF(VLOOKUP(L$2&amp;Income_Statement[[#This Row],[Aop]],Data[],1)=L$2&amp;Income_Statement[[#This Row],[Aop]],VLOOKUP(L$2&amp;Income_Statement[[#This Row],[Aop]],Data[],L$1)/Jedinica,"")</f>
        <v>2395067</v>
      </c>
      <c r="M54" s="38">
        <f>IF(VLOOKUP(M$2&amp;Income_Statement[[#This Row],[Aop]],Data[],1)=M$2&amp;Income_Statement[[#This Row],[Aop]],VLOOKUP(M$2&amp;Income_Statement[[#This Row],[Aop]],Data[],M$1)/Jedinica,"")</f>
        <v>8552473</v>
      </c>
      <c r="N54" s="38">
        <f>IF(VLOOKUP(N$2&amp;Income_Statement[[#This Row],[Aop]],Data[],1)=N$2&amp;Income_Statement[[#This Row],[Aop]],VLOOKUP(N$2&amp;Income_Statement[[#This Row],[Aop]],Data[],N$1)/Jedinica,"")</f>
        <v>7676468</v>
      </c>
      <c r="O54" s="38">
        <f>IF(VLOOKUP(O$2&amp;Income_Statement[[#This Row],[Aop]],Data[],1)=O$2&amp;Income_Statement[[#This Row],[Aop]],VLOOKUP(O$2&amp;Income_Statement[[#This Row],[Aop]],Data[],O$1)/Jedinica,"")</f>
        <v>2393014</v>
      </c>
      <c r="P54" s="38">
        <f>IF(VLOOKUP(P$2&amp;Income_Statement[[#This Row],[Aop]],Data[],1)=P$2&amp;Income_Statement[[#This Row],[Aop]],VLOOKUP(P$2&amp;Income_Statement[[#This Row],[Aop]],Data[],P$1)/Jedinica,"")</f>
        <v>2395067</v>
      </c>
      <c r="Q54" s="38">
        <f>IF(VLOOKUP(Q$2&amp;Income_Statement[[#This Row],[Aop]],Data[],1)=Q$2&amp;Income_Statement[[#This Row],[Aop]],VLOOKUP(Q$2&amp;Income_Statement[[#This Row],[Aop]],Data[],Q$1)/Jedinica,"")</f>
        <v>3072151</v>
      </c>
      <c r="R54" s="38">
        <f>IF(VLOOKUP(R$2&amp;Income_Statement[[#This Row],[Aop]],Data[],1)=R$2&amp;Income_Statement[[#This Row],[Aop]],VLOOKUP(R$2&amp;Income_Statement[[#This Row],[Aop]],Data[],R$1)/Jedinica,"")</f>
        <v>2422621</v>
      </c>
      <c r="S54" s="38">
        <f>IF(VLOOKUP(S$2&amp;Income_Statement[[#This Row],[Aop]],Data[],1)=S$2&amp;Income_Statement[[#This Row],[Aop]],VLOOKUP(S$2&amp;Income_Statement[[#This Row],[Aop]],Data[],S$1)/Jedinica,"")</f>
        <v>5982280</v>
      </c>
      <c r="T54" s="38">
        <f>IF(VLOOKUP(T$2&amp;Income_Statement[[#This Row],[Aop]],Data[],1)=T$2&amp;Income_Statement[[#This Row],[Aop]],VLOOKUP(T$2&amp;Income_Statement[[#This Row],[Aop]],Data[],T$1)/Jedinica,"")</f>
        <v>6075939</v>
      </c>
    </row>
    <row r="55" spans="1:20" ht="12.75" customHeight="1" x14ac:dyDescent="0.2">
      <c r="A55" s="74">
        <v>155</v>
      </c>
      <c r="B55" s="74">
        <v>3</v>
      </c>
      <c r="C55" s="78" t="str">
        <f>VLOOKUP(Income_Statement[[#This Row],[No]],AOP_Balance,3,0)</f>
        <v>247</v>
      </c>
      <c r="D55" s="52" t="str">
        <f>VLOOKUP(Income_Statement[[#This Row],[No]],AOP_Balance,7,0)</f>
        <v xml:space="preserve">      đ) Troškovi naknada za privremene i povremene poslove</v>
      </c>
      <c r="E55" s="38">
        <f>IF(VLOOKUP(E$2&amp;Income_Statement[[#This Row],[Aop]],Data[],1)=E$2&amp;Income_Statement[[#This Row],[Aop]],VLOOKUP(E$2&amp;Income_Statement[[#This Row],[Aop]],Data[],E$1)/Jedinica,"")</f>
        <v>0</v>
      </c>
      <c r="F55" s="38">
        <f>IF(VLOOKUP(F$2&amp;Income_Statement[[#This Row],[Aop]],Data[],1)=F$2&amp;Income_Statement[[#This Row],[Aop]],VLOOKUP(F$2&amp;Income_Statement[[#This Row],[Aop]],Data[],F$1)/Jedinica,"")</f>
        <v>440</v>
      </c>
      <c r="G55" s="38">
        <f>IF(VLOOKUP(G$2&amp;Income_Statement[[#This Row],[Aop]],Data[],1)=G$2&amp;Income_Statement[[#This Row],[Aop]],VLOOKUP(G$2&amp;Income_Statement[[#This Row],[Aop]],Data[],G$1)/Jedinica,"")</f>
        <v>14326</v>
      </c>
      <c r="H55" s="38">
        <f>IF(VLOOKUP(H$2&amp;Income_Statement[[#This Row],[Aop]],Data[],1)=H$2&amp;Income_Statement[[#This Row],[Aop]],VLOOKUP(H$2&amp;Income_Statement[[#This Row],[Aop]],Data[],H$1)/Jedinica,"")</f>
        <v>7009</v>
      </c>
      <c r="I55" s="38" t="str">
        <f>IF(VLOOKUP(I$2&amp;Income_Statement[[#This Row],[Aop]],Data[],1)=I$2&amp;Income_Statement[[#This Row],[Aop]],VLOOKUP(I$2&amp;Income_Statement[[#This Row],[Aop]],Data[],I$1)/Jedinica,"")</f>
        <v/>
      </c>
      <c r="J55" s="38" t="str">
        <f>IF(VLOOKUP(J$2&amp;Income_Statement[[#This Row],[Aop]],Data[],1)=J$2&amp;Income_Statement[[#This Row],[Aop]],VLOOKUP(J$2&amp;Income_Statement[[#This Row],[Aop]],Data[],J$1)/Jedinica,"")</f>
        <v/>
      </c>
      <c r="K55" s="38">
        <f>IF(VLOOKUP(K$2&amp;Income_Statement[[#This Row],[Aop]],Data[],1)=K$2&amp;Income_Statement[[#This Row],[Aop]],VLOOKUP(K$2&amp;Income_Statement[[#This Row],[Aop]],Data[],K$1)/Jedinica,"")</f>
        <v>0</v>
      </c>
      <c r="L55" s="38">
        <f>IF(VLOOKUP(L$2&amp;Income_Statement[[#This Row],[Aop]],Data[],1)=L$2&amp;Income_Statement[[#This Row],[Aop]],VLOOKUP(L$2&amp;Income_Statement[[#This Row],[Aop]],Data[],L$1)/Jedinica,"")</f>
        <v>6250</v>
      </c>
      <c r="M55" s="38">
        <f>IF(VLOOKUP(M$2&amp;Income_Statement[[#This Row],[Aop]],Data[],1)=M$2&amp;Income_Statement[[#This Row],[Aop]],VLOOKUP(M$2&amp;Income_Statement[[#This Row],[Aop]],Data[],M$1)/Jedinica,"")</f>
        <v>285916</v>
      </c>
      <c r="N55" s="38">
        <f>IF(VLOOKUP(N$2&amp;Income_Statement[[#This Row],[Aop]],Data[],1)=N$2&amp;Income_Statement[[#This Row],[Aop]],VLOOKUP(N$2&amp;Income_Statement[[#This Row],[Aop]],Data[],N$1)/Jedinica,"")</f>
        <v>179233</v>
      </c>
      <c r="O55" s="38">
        <f>IF(VLOOKUP(O$2&amp;Income_Statement[[#This Row],[Aop]],Data[],1)=O$2&amp;Income_Statement[[#This Row],[Aop]],VLOOKUP(O$2&amp;Income_Statement[[#This Row],[Aop]],Data[],O$1)/Jedinica,"")</f>
        <v>0</v>
      </c>
      <c r="P55" s="38">
        <f>IF(VLOOKUP(P$2&amp;Income_Statement[[#This Row],[Aop]],Data[],1)=P$2&amp;Income_Statement[[#This Row],[Aop]],VLOOKUP(P$2&amp;Income_Statement[[#This Row],[Aop]],Data[],P$1)/Jedinica,"")</f>
        <v>6250</v>
      </c>
      <c r="Q55" s="38">
        <f>IF(VLOOKUP(Q$2&amp;Income_Statement[[#This Row],[Aop]],Data[],1)=Q$2&amp;Income_Statement[[#This Row],[Aop]],VLOOKUP(Q$2&amp;Income_Statement[[#This Row],[Aop]],Data[],Q$1)/Jedinica,"")</f>
        <v>38012</v>
      </c>
      <c r="R55" s="38">
        <f>IF(VLOOKUP(R$2&amp;Income_Statement[[#This Row],[Aop]],Data[],1)=R$2&amp;Income_Statement[[#This Row],[Aop]],VLOOKUP(R$2&amp;Income_Statement[[#This Row],[Aop]],Data[],R$1)/Jedinica,"")</f>
        <v>43599</v>
      </c>
      <c r="S55" s="38">
        <f>IF(VLOOKUP(S$2&amp;Income_Statement[[#This Row],[Aop]],Data[],1)=S$2&amp;Income_Statement[[#This Row],[Aop]],VLOOKUP(S$2&amp;Income_Statement[[#This Row],[Aop]],Data[],S$1)/Jedinica,"")</f>
        <v>54615</v>
      </c>
      <c r="T55" s="38">
        <f>IF(VLOOKUP(T$2&amp;Income_Statement[[#This Row],[Aop]],Data[],1)=T$2&amp;Income_Statement[[#This Row],[Aop]],VLOOKUP(T$2&amp;Income_Statement[[#This Row],[Aop]],Data[],T$1)/Jedinica,"")</f>
        <v>46634</v>
      </c>
    </row>
    <row r="56" spans="1:20" ht="12.75" customHeight="1" x14ac:dyDescent="0.2">
      <c r="A56" s="74">
        <v>156</v>
      </c>
      <c r="B56" s="74">
        <v>3</v>
      </c>
      <c r="C56" s="78" t="str">
        <f>VLOOKUP(Income_Statement[[#This Row],[No]],AOP_Balance,3,0)</f>
        <v>248</v>
      </c>
      <c r="D56" s="52" t="str">
        <f>VLOOKUP(Income_Statement[[#This Row],[No]],AOP_Balance,7,0)</f>
        <v xml:space="preserve">      e) Ostali lični rashodi</v>
      </c>
      <c r="E56" s="38">
        <f>IF(VLOOKUP(E$2&amp;Income_Statement[[#This Row],[Aop]],Data[],1)=E$2&amp;Income_Statement[[#This Row],[Aop]],VLOOKUP(E$2&amp;Income_Statement[[#This Row],[Aop]],Data[],E$1)/Jedinica,"")</f>
        <v>105922</v>
      </c>
      <c r="F56" s="38">
        <f>IF(VLOOKUP(F$2&amp;Income_Statement[[#This Row],[Aop]],Data[],1)=F$2&amp;Income_Statement[[#This Row],[Aop]],VLOOKUP(F$2&amp;Income_Statement[[#This Row],[Aop]],Data[],F$1)/Jedinica,"")</f>
        <v>105551</v>
      </c>
      <c r="G56" s="38">
        <f>IF(VLOOKUP(G$2&amp;Income_Statement[[#This Row],[Aop]],Data[],1)=G$2&amp;Income_Statement[[#This Row],[Aop]],VLOOKUP(G$2&amp;Income_Statement[[#This Row],[Aop]],Data[],G$1)/Jedinica,"")</f>
        <v>77169</v>
      </c>
      <c r="H56" s="38">
        <f>IF(VLOOKUP(H$2&amp;Income_Statement[[#This Row],[Aop]],Data[],1)=H$2&amp;Income_Statement[[#This Row],[Aop]],VLOOKUP(H$2&amp;Income_Statement[[#This Row],[Aop]],Data[],H$1)/Jedinica,"")</f>
        <v>117854</v>
      </c>
      <c r="I56" s="38">
        <f>IF(VLOOKUP(I$2&amp;Income_Statement[[#This Row],[Aop]],Data[],1)=I$2&amp;Income_Statement[[#This Row],[Aop]],VLOOKUP(I$2&amp;Income_Statement[[#This Row],[Aop]],Data[],I$1)/Jedinica,"")</f>
        <v>44234</v>
      </c>
      <c r="J56" s="38">
        <f>IF(VLOOKUP(J$2&amp;Income_Statement[[#This Row],[Aop]],Data[],1)=J$2&amp;Income_Statement[[#This Row],[Aop]],VLOOKUP(J$2&amp;Income_Statement[[#This Row],[Aop]],Data[],J$1)/Jedinica,"")</f>
        <v>35995</v>
      </c>
      <c r="K56" s="38">
        <f>IF(VLOOKUP(K$2&amp;Income_Statement[[#This Row],[Aop]],Data[],1)=K$2&amp;Income_Statement[[#This Row],[Aop]],VLOOKUP(K$2&amp;Income_Statement[[#This Row],[Aop]],Data[],K$1)/Jedinica,"")</f>
        <v>86546</v>
      </c>
      <c r="L56" s="38">
        <f>IF(VLOOKUP(L$2&amp;Income_Statement[[#This Row],[Aop]],Data[],1)=L$2&amp;Income_Statement[[#This Row],[Aop]],VLOOKUP(L$2&amp;Income_Statement[[#This Row],[Aop]],Data[],L$1)/Jedinica,"")</f>
        <v>71113</v>
      </c>
      <c r="M56" s="38">
        <f>IF(VLOOKUP(M$2&amp;Income_Statement[[#This Row],[Aop]],Data[],1)=M$2&amp;Income_Statement[[#This Row],[Aop]],VLOOKUP(M$2&amp;Income_Statement[[#This Row],[Aop]],Data[],M$1)/Jedinica,"")</f>
        <v>180488</v>
      </c>
      <c r="N56" s="38">
        <f>IF(VLOOKUP(N$2&amp;Income_Statement[[#This Row],[Aop]],Data[],1)=N$2&amp;Income_Statement[[#This Row],[Aop]],VLOOKUP(N$2&amp;Income_Statement[[#This Row],[Aop]],Data[],N$1)/Jedinica,"")</f>
        <v>134098</v>
      </c>
      <c r="O56" s="38">
        <f>IF(VLOOKUP(O$2&amp;Income_Statement[[#This Row],[Aop]],Data[],1)=O$2&amp;Income_Statement[[#This Row],[Aop]],VLOOKUP(O$2&amp;Income_Statement[[#This Row],[Aop]],Data[],O$1)/Jedinica,"")</f>
        <v>86546</v>
      </c>
      <c r="P56" s="38">
        <f>IF(VLOOKUP(P$2&amp;Income_Statement[[#This Row],[Aop]],Data[],1)=P$2&amp;Income_Statement[[#This Row],[Aop]],VLOOKUP(P$2&amp;Income_Statement[[#This Row],[Aop]],Data[],P$1)/Jedinica,"")</f>
        <v>71113</v>
      </c>
      <c r="Q56" s="38">
        <f>IF(VLOOKUP(Q$2&amp;Income_Statement[[#This Row],[Aop]],Data[],1)=Q$2&amp;Income_Statement[[#This Row],[Aop]],VLOOKUP(Q$2&amp;Income_Statement[[#This Row],[Aop]],Data[],Q$1)/Jedinica,"")</f>
        <v>40541</v>
      </c>
      <c r="R56" s="38">
        <f>IF(VLOOKUP(R$2&amp;Income_Statement[[#This Row],[Aop]],Data[],1)=R$2&amp;Income_Statement[[#This Row],[Aop]],VLOOKUP(R$2&amp;Income_Statement[[#This Row],[Aop]],Data[],R$1)/Jedinica,"")</f>
        <v>58907</v>
      </c>
      <c r="S56" s="38">
        <f>IF(VLOOKUP(S$2&amp;Income_Statement[[#This Row],[Aop]],Data[],1)=S$2&amp;Income_Statement[[#This Row],[Aop]],VLOOKUP(S$2&amp;Income_Statement[[#This Row],[Aop]],Data[],S$1)/Jedinica,"")</f>
        <v>1135787</v>
      </c>
      <c r="T56" s="38">
        <f>IF(VLOOKUP(T$2&amp;Income_Statement[[#This Row],[Aop]],Data[],1)=T$2&amp;Income_Statement[[#This Row],[Aop]],VLOOKUP(T$2&amp;Income_Statement[[#This Row],[Aop]],Data[],T$1)/Jedinica,"")</f>
        <v>1856682</v>
      </c>
    </row>
    <row r="57" spans="1:20" ht="12.75" customHeight="1" x14ac:dyDescent="0.2">
      <c r="A57" s="74">
        <v>157</v>
      </c>
      <c r="B57" s="74">
        <v>3</v>
      </c>
      <c r="C57" s="78" t="str">
        <f>VLOOKUP(Income_Statement[[#This Row],[No]],AOP_Balance,3,0)</f>
        <v>249</v>
      </c>
      <c r="D57" s="52" t="str">
        <f>VLOOKUP(Income_Statement[[#This Row],[No]],AOP_Balance,7,0)</f>
        <v xml:space="preserve">      ž) Troškovi materijala</v>
      </c>
      <c r="E57" s="38">
        <f>IF(VLOOKUP(E$2&amp;Income_Statement[[#This Row],[Aop]],Data[],1)=E$2&amp;Income_Statement[[#This Row],[Aop]],VLOOKUP(E$2&amp;Income_Statement[[#This Row],[Aop]],Data[],E$1)/Jedinica,"")</f>
        <v>189671</v>
      </c>
      <c r="F57" s="38">
        <f>IF(VLOOKUP(F$2&amp;Income_Statement[[#This Row],[Aop]],Data[],1)=F$2&amp;Income_Statement[[#This Row],[Aop]],VLOOKUP(F$2&amp;Income_Statement[[#This Row],[Aop]],Data[],F$1)/Jedinica,"")</f>
        <v>172687</v>
      </c>
      <c r="G57" s="38">
        <f>IF(VLOOKUP(G$2&amp;Income_Statement[[#This Row],[Aop]],Data[],1)=G$2&amp;Income_Statement[[#This Row],[Aop]],VLOOKUP(G$2&amp;Income_Statement[[#This Row],[Aop]],Data[],G$1)/Jedinica,"")</f>
        <v>413820</v>
      </c>
      <c r="H57" s="38">
        <f>IF(VLOOKUP(H$2&amp;Income_Statement[[#This Row],[Aop]],Data[],1)=H$2&amp;Income_Statement[[#This Row],[Aop]],VLOOKUP(H$2&amp;Income_Statement[[#This Row],[Aop]],Data[],H$1)/Jedinica,"")</f>
        <v>427431</v>
      </c>
      <c r="I57" s="38">
        <f>IF(VLOOKUP(I$2&amp;Income_Statement[[#This Row],[Aop]],Data[],1)=I$2&amp;Income_Statement[[#This Row],[Aop]],VLOOKUP(I$2&amp;Income_Statement[[#This Row],[Aop]],Data[],I$1)/Jedinica,"")</f>
        <v>118867</v>
      </c>
      <c r="J57" s="38">
        <f>IF(VLOOKUP(J$2&amp;Income_Statement[[#This Row],[Aop]],Data[],1)=J$2&amp;Income_Statement[[#This Row],[Aop]],VLOOKUP(J$2&amp;Income_Statement[[#This Row],[Aop]],Data[],J$1)/Jedinica,"")</f>
        <v>98424</v>
      </c>
      <c r="K57" s="38">
        <f>IF(VLOOKUP(K$2&amp;Income_Statement[[#This Row],[Aop]],Data[],1)=K$2&amp;Income_Statement[[#This Row],[Aop]],VLOOKUP(K$2&amp;Income_Statement[[#This Row],[Aop]],Data[],K$1)/Jedinica,"")</f>
        <v>170095</v>
      </c>
      <c r="L57" s="38">
        <f>IF(VLOOKUP(L$2&amp;Income_Statement[[#This Row],[Aop]],Data[],1)=L$2&amp;Income_Statement[[#This Row],[Aop]],VLOOKUP(L$2&amp;Income_Statement[[#This Row],[Aop]],Data[],L$1)/Jedinica,"")</f>
        <v>180325</v>
      </c>
      <c r="M57" s="38">
        <f>IF(VLOOKUP(M$2&amp;Income_Statement[[#This Row],[Aop]],Data[],1)=M$2&amp;Income_Statement[[#This Row],[Aop]],VLOOKUP(M$2&amp;Income_Statement[[#This Row],[Aop]],Data[],M$1)/Jedinica,"")</f>
        <v>796398</v>
      </c>
      <c r="N57" s="38">
        <f>IF(VLOOKUP(N$2&amp;Income_Statement[[#This Row],[Aop]],Data[],1)=N$2&amp;Income_Statement[[#This Row],[Aop]],VLOOKUP(N$2&amp;Income_Statement[[#This Row],[Aop]],Data[],N$1)/Jedinica,"")</f>
        <v>647276</v>
      </c>
      <c r="O57" s="38">
        <f>IF(VLOOKUP(O$2&amp;Income_Statement[[#This Row],[Aop]],Data[],1)=O$2&amp;Income_Statement[[#This Row],[Aop]],VLOOKUP(O$2&amp;Income_Statement[[#This Row],[Aop]],Data[],O$1)/Jedinica,"")</f>
        <v>170095</v>
      </c>
      <c r="P57" s="38">
        <f>IF(VLOOKUP(P$2&amp;Income_Statement[[#This Row],[Aop]],Data[],1)=P$2&amp;Income_Statement[[#This Row],[Aop]],VLOOKUP(P$2&amp;Income_Statement[[#This Row],[Aop]],Data[],P$1)/Jedinica,"")</f>
        <v>180325</v>
      </c>
      <c r="Q57" s="38">
        <f>IF(VLOOKUP(Q$2&amp;Income_Statement[[#This Row],[Aop]],Data[],1)=Q$2&amp;Income_Statement[[#This Row],[Aop]],VLOOKUP(Q$2&amp;Income_Statement[[#This Row],[Aop]],Data[],Q$1)/Jedinica,"")</f>
        <v>298662</v>
      </c>
      <c r="R57" s="38">
        <f>IF(VLOOKUP(R$2&amp;Income_Statement[[#This Row],[Aop]],Data[],1)=R$2&amp;Income_Statement[[#This Row],[Aop]],VLOOKUP(R$2&amp;Income_Statement[[#This Row],[Aop]],Data[],R$1)/Jedinica,"")</f>
        <v>271630</v>
      </c>
      <c r="S57" s="38">
        <f>IF(VLOOKUP(S$2&amp;Income_Statement[[#This Row],[Aop]],Data[],1)=S$2&amp;Income_Statement[[#This Row],[Aop]],VLOOKUP(S$2&amp;Income_Statement[[#This Row],[Aop]],Data[],S$1)/Jedinica,"")</f>
        <v>539522</v>
      </c>
      <c r="T57" s="38">
        <f>IF(VLOOKUP(T$2&amp;Income_Statement[[#This Row],[Aop]],Data[],1)=T$2&amp;Income_Statement[[#This Row],[Aop]],VLOOKUP(T$2&amp;Income_Statement[[#This Row],[Aop]],Data[],T$1)/Jedinica,"")</f>
        <v>649117</v>
      </c>
    </row>
    <row r="58" spans="1:20" ht="12.75" customHeight="1" x14ac:dyDescent="0.2">
      <c r="A58" s="74">
        <v>158</v>
      </c>
      <c r="B58" s="74">
        <v>3</v>
      </c>
      <c r="C58" s="78" t="str">
        <f>VLOOKUP(Income_Statement[[#This Row],[No]],AOP_Balance,3,0)</f>
        <v>250</v>
      </c>
      <c r="D58" s="52" t="str">
        <f>VLOOKUP(Income_Statement[[#This Row],[No]],AOP_Balance,7,0)</f>
        <v xml:space="preserve">      z) Troškovi proizvodnih usluga</v>
      </c>
      <c r="E58" s="38">
        <f>IF(VLOOKUP(E$2&amp;Income_Statement[[#This Row],[Aop]],Data[],1)=E$2&amp;Income_Statement[[#This Row],[Aop]],VLOOKUP(E$2&amp;Income_Statement[[#This Row],[Aop]],Data[],E$1)/Jedinica,"")</f>
        <v>758857</v>
      </c>
      <c r="F58" s="38">
        <f>IF(VLOOKUP(F$2&amp;Income_Statement[[#This Row],[Aop]],Data[],1)=F$2&amp;Income_Statement[[#This Row],[Aop]],VLOOKUP(F$2&amp;Income_Statement[[#This Row],[Aop]],Data[],F$1)/Jedinica,"")</f>
        <v>694250</v>
      </c>
      <c r="G58" s="38">
        <f>IF(VLOOKUP(G$2&amp;Income_Statement[[#This Row],[Aop]],Data[],1)=G$2&amp;Income_Statement[[#This Row],[Aop]],VLOOKUP(G$2&amp;Income_Statement[[#This Row],[Aop]],Data[],G$1)/Jedinica,"")</f>
        <v>1318513</v>
      </c>
      <c r="H58" s="38">
        <f>IF(VLOOKUP(H$2&amp;Income_Statement[[#This Row],[Aop]],Data[],1)=H$2&amp;Income_Statement[[#This Row],[Aop]],VLOOKUP(H$2&amp;Income_Statement[[#This Row],[Aop]],Data[],H$1)/Jedinica,"")</f>
        <v>1443886</v>
      </c>
      <c r="I58" s="38">
        <f>IF(VLOOKUP(I$2&amp;Income_Statement[[#This Row],[Aop]],Data[],1)=I$2&amp;Income_Statement[[#This Row],[Aop]],VLOOKUP(I$2&amp;Income_Statement[[#This Row],[Aop]],Data[],I$1)/Jedinica,"")</f>
        <v>651311</v>
      </c>
      <c r="J58" s="38">
        <f>IF(VLOOKUP(J$2&amp;Income_Statement[[#This Row],[Aop]],Data[],1)=J$2&amp;Income_Statement[[#This Row],[Aop]],VLOOKUP(J$2&amp;Income_Statement[[#This Row],[Aop]],Data[],J$1)/Jedinica,"")</f>
        <v>501211</v>
      </c>
      <c r="K58" s="38">
        <f>IF(VLOOKUP(K$2&amp;Income_Statement[[#This Row],[Aop]],Data[],1)=K$2&amp;Income_Statement[[#This Row],[Aop]],VLOOKUP(K$2&amp;Income_Statement[[#This Row],[Aop]],Data[],K$1)/Jedinica,"")</f>
        <v>1251042</v>
      </c>
      <c r="L58" s="38">
        <f>IF(VLOOKUP(L$2&amp;Income_Statement[[#This Row],[Aop]],Data[],1)=L$2&amp;Income_Statement[[#This Row],[Aop]],VLOOKUP(L$2&amp;Income_Statement[[#This Row],[Aop]],Data[],L$1)/Jedinica,"")</f>
        <v>1358247</v>
      </c>
      <c r="M58" s="38">
        <f>IF(VLOOKUP(M$2&amp;Income_Statement[[#This Row],[Aop]],Data[],1)=M$2&amp;Income_Statement[[#This Row],[Aop]],VLOOKUP(M$2&amp;Income_Statement[[#This Row],[Aop]],Data[],M$1)/Jedinica,"")</f>
        <v>5159028</v>
      </c>
      <c r="N58" s="38">
        <f>IF(VLOOKUP(N$2&amp;Income_Statement[[#This Row],[Aop]],Data[],1)=N$2&amp;Income_Statement[[#This Row],[Aop]],VLOOKUP(N$2&amp;Income_Statement[[#This Row],[Aop]],Data[],N$1)/Jedinica,"")</f>
        <v>3952385</v>
      </c>
      <c r="O58" s="38">
        <f>IF(VLOOKUP(O$2&amp;Income_Statement[[#This Row],[Aop]],Data[],1)=O$2&amp;Income_Statement[[#This Row],[Aop]],VLOOKUP(O$2&amp;Income_Statement[[#This Row],[Aop]],Data[],O$1)/Jedinica,"")</f>
        <v>1251042</v>
      </c>
      <c r="P58" s="38">
        <f>IF(VLOOKUP(P$2&amp;Income_Statement[[#This Row],[Aop]],Data[],1)=P$2&amp;Income_Statement[[#This Row],[Aop]],VLOOKUP(P$2&amp;Income_Statement[[#This Row],[Aop]],Data[],P$1)/Jedinica,"")</f>
        <v>1358247</v>
      </c>
      <c r="Q58" s="38">
        <f>IF(VLOOKUP(Q$2&amp;Income_Statement[[#This Row],[Aop]],Data[],1)=Q$2&amp;Income_Statement[[#This Row],[Aop]],VLOOKUP(Q$2&amp;Income_Statement[[#This Row],[Aop]],Data[],Q$1)/Jedinica,"")</f>
        <v>1748280</v>
      </c>
      <c r="R58" s="38">
        <f>IF(VLOOKUP(R$2&amp;Income_Statement[[#This Row],[Aop]],Data[],1)=R$2&amp;Income_Statement[[#This Row],[Aop]],VLOOKUP(R$2&amp;Income_Statement[[#This Row],[Aop]],Data[],R$1)/Jedinica,"")</f>
        <v>1273203</v>
      </c>
      <c r="S58" s="38">
        <f>IF(VLOOKUP(S$2&amp;Income_Statement[[#This Row],[Aop]],Data[],1)=S$2&amp;Income_Statement[[#This Row],[Aop]],VLOOKUP(S$2&amp;Income_Statement[[#This Row],[Aop]],Data[],S$1)/Jedinica,"")</f>
        <v>888957</v>
      </c>
      <c r="T58" s="38">
        <f>IF(VLOOKUP(T$2&amp;Income_Statement[[#This Row],[Aop]],Data[],1)=T$2&amp;Income_Statement[[#This Row],[Aop]],VLOOKUP(T$2&amp;Income_Statement[[#This Row],[Aop]],Data[],T$1)/Jedinica,"")</f>
        <v>1016504</v>
      </c>
    </row>
    <row r="59" spans="1:20" ht="12.75" customHeight="1" x14ac:dyDescent="0.2">
      <c r="A59" s="74">
        <v>159</v>
      </c>
      <c r="B59" s="74">
        <v>3</v>
      </c>
      <c r="C59" s="78" t="str">
        <f>VLOOKUP(Income_Statement[[#This Row],[No]],AOP_Balance,3,0)</f>
        <v>251</v>
      </c>
      <c r="D59" s="52" t="str">
        <f>VLOOKUP(Income_Statement[[#This Row],[No]],AOP_Balance,7,0)</f>
        <v xml:space="preserve">      i) Troškovi amortizacije</v>
      </c>
      <c r="E59" s="38">
        <f>IF(VLOOKUP(E$2&amp;Income_Statement[[#This Row],[Aop]],Data[],1)=E$2&amp;Income_Statement[[#This Row],[Aop]],VLOOKUP(E$2&amp;Income_Statement[[#This Row],[Aop]],Data[],E$1)/Jedinica,"")</f>
        <v>603308</v>
      </c>
      <c r="F59" s="38">
        <f>IF(VLOOKUP(F$2&amp;Income_Statement[[#This Row],[Aop]],Data[],1)=F$2&amp;Income_Statement[[#This Row],[Aop]],VLOOKUP(F$2&amp;Income_Statement[[#This Row],[Aop]],Data[],F$1)/Jedinica,"")</f>
        <v>288402</v>
      </c>
      <c r="G59" s="38">
        <f>IF(VLOOKUP(G$2&amp;Income_Statement[[#This Row],[Aop]],Data[],1)=G$2&amp;Income_Statement[[#This Row],[Aop]],VLOOKUP(G$2&amp;Income_Statement[[#This Row],[Aop]],Data[],G$1)/Jedinica,"")</f>
        <v>600808</v>
      </c>
      <c r="H59" s="38">
        <f>IF(VLOOKUP(H$2&amp;Income_Statement[[#This Row],[Aop]],Data[],1)=H$2&amp;Income_Statement[[#This Row],[Aop]],VLOOKUP(H$2&amp;Income_Statement[[#This Row],[Aop]],Data[],H$1)/Jedinica,"")</f>
        <v>583050</v>
      </c>
      <c r="I59" s="38">
        <f>IF(VLOOKUP(I$2&amp;Income_Statement[[#This Row],[Aop]],Data[],1)=I$2&amp;Income_Statement[[#This Row],[Aop]],VLOOKUP(I$2&amp;Income_Statement[[#This Row],[Aop]],Data[],I$1)/Jedinica,"")</f>
        <v>212565</v>
      </c>
      <c r="J59" s="38">
        <f>IF(VLOOKUP(J$2&amp;Income_Statement[[#This Row],[Aop]],Data[],1)=J$2&amp;Income_Statement[[#This Row],[Aop]],VLOOKUP(J$2&amp;Income_Statement[[#This Row],[Aop]],Data[],J$1)/Jedinica,"")</f>
        <v>130752</v>
      </c>
      <c r="K59" s="38">
        <f>IF(VLOOKUP(K$2&amp;Income_Statement[[#This Row],[Aop]],Data[],1)=K$2&amp;Income_Statement[[#This Row],[Aop]],VLOOKUP(K$2&amp;Income_Statement[[#This Row],[Aop]],Data[],K$1)/Jedinica,"")</f>
        <v>486382</v>
      </c>
      <c r="L59" s="38">
        <f>IF(VLOOKUP(L$2&amp;Income_Statement[[#This Row],[Aop]],Data[],1)=L$2&amp;Income_Statement[[#This Row],[Aop]],VLOOKUP(L$2&amp;Income_Statement[[#This Row],[Aop]],Data[],L$1)/Jedinica,"")</f>
        <v>481309</v>
      </c>
      <c r="M59" s="38">
        <f>IF(VLOOKUP(M$2&amp;Income_Statement[[#This Row],[Aop]],Data[],1)=M$2&amp;Income_Statement[[#This Row],[Aop]],VLOOKUP(M$2&amp;Income_Statement[[#This Row],[Aop]],Data[],M$1)/Jedinica,"")</f>
        <v>2018126</v>
      </c>
      <c r="N59" s="38">
        <f>IF(VLOOKUP(N$2&amp;Income_Statement[[#This Row],[Aop]],Data[],1)=N$2&amp;Income_Statement[[#This Row],[Aop]],VLOOKUP(N$2&amp;Income_Statement[[#This Row],[Aop]],Data[],N$1)/Jedinica,"")</f>
        <v>2017886</v>
      </c>
      <c r="O59" s="38">
        <f>IF(VLOOKUP(O$2&amp;Income_Statement[[#This Row],[Aop]],Data[],1)=O$2&amp;Income_Statement[[#This Row],[Aop]],VLOOKUP(O$2&amp;Income_Statement[[#This Row],[Aop]],Data[],O$1)/Jedinica,"")</f>
        <v>486382</v>
      </c>
      <c r="P59" s="38">
        <f>IF(VLOOKUP(P$2&amp;Income_Statement[[#This Row],[Aop]],Data[],1)=P$2&amp;Income_Statement[[#This Row],[Aop]],VLOOKUP(P$2&amp;Income_Statement[[#This Row],[Aop]],Data[],P$1)/Jedinica,"")</f>
        <v>481309</v>
      </c>
      <c r="Q59" s="38">
        <f>IF(VLOOKUP(Q$2&amp;Income_Statement[[#This Row],[Aop]],Data[],1)=Q$2&amp;Income_Statement[[#This Row],[Aop]],VLOOKUP(Q$2&amp;Income_Statement[[#This Row],[Aop]],Data[],Q$1)/Jedinica,"")</f>
        <v>319776</v>
      </c>
      <c r="R59" s="38">
        <f>IF(VLOOKUP(R$2&amp;Income_Statement[[#This Row],[Aop]],Data[],1)=R$2&amp;Income_Statement[[#This Row],[Aop]],VLOOKUP(R$2&amp;Income_Statement[[#This Row],[Aop]],Data[],R$1)/Jedinica,"")</f>
        <v>370108</v>
      </c>
      <c r="S59" s="38">
        <f>IF(VLOOKUP(S$2&amp;Income_Statement[[#This Row],[Aop]],Data[],1)=S$2&amp;Income_Statement[[#This Row],[Aop]],VLOOKUP(S$2&amp;Income_Statement[[#This Row],[Aop]],Data[],S$1)/Jedinica,"")</f>
        <v>1139036</v>
      </c>
      <c r="T59" s="38">
        <f>IF(VLOOKUP(T$2&amp;Income_Statement[[#This Row],[Aop]],Data[],1)=T$2&amp;Income_Statement[[#This Row],[Aop]],VLOOKUP(T$2&amp;Income_Statement[[#This Row],[Aop]],Data[],T$1)/Jedinica,"")</f>
        <v>1283978</v>
      </c>
    </row>
    <row r="60" spans="1:20" ht="12.75" customHeight="1" x14ac:dyDescent="0.2">
      <c r="A60" s="74">
        <v>160</v>
      </c>
      <c r="B60" s="74">
        <v>3</v>
      </c>
      <c r="C60" s="78" t="str">
        <f>VLOOKUP(Income_Statement[[#This Row],[No]],AOP_Balance,3,0)</f>
        <v>252</v>
      </c>
      <c r="D60" s="52" t="str">
        <f>VLOOKUP(Income_Statement[[#This Row],[No]],AOP_Balance,7,0)</f>
        <v xml:space="preserve">      j) Rashodi po osnovu lizinga</v>
      </c>
      <c r="E60" s="38" t="str">
        <f>IF(VLOOKUP(E$2&amp;Income_Statement[[#This Row],[Aop]],Data[],1)=E$2&amp;Income_Statement[[#This Row],[Aop]],VLOOKUP(E$2&amp;Income_Statement[[#This Row],[Aop]],Data[],E$1)/Jedinica,"")</f>
        <v/>
      </c>
      <c r="F60" s="38" t="str">
        <f>IF(VLOOKUP(F$2&amp;Income_Statement[[#This Row],[Aop]],Data[],1)=F$2&amp;Income_Statement[[#This Row],[Aop]],VLOOKUP(F$2&amp;Income_Statement[[#This Row],[Aop]],Data[],F$1)/Jedinica,"")</f>
        <v/>
      </c>
      <c r="G60" s="38" t="str">
        <f>IF(VLOOKUP(G$2&amp;Income_Statement[[#This Row],[Aop]],Data[],1)=G$2&amp;Income_Statement[[#This Row],[Aop]],VLOOKUP(G$2&amp;Income_Statement[[#This Row],[Aop]],Data[],G$1)/Jedinica,"")</f>
        <v/>
      </c>
      <c r="H60" s="38" t="str">
        <f>IF(VLOOKUP(H$2&amp;Income_Statement[[#This Row],[Aop]],Data[],1)=H$2&amp;Income_Statement[[#This Row],[Aop]],VLOOKUP(H$2&amp;Income_Statement[[#This Row],[Aop]],Data[],H$1)/Jedinica,"")</f>
        <v/>
      </c>
      <c r="I60" s="38" t="str">
        <f>IF(VLOOKUP(I$2&amp;Income_Statement[[#This Row],[Aop]],Data[],1)=I$2&amp;Income_Statement[[#This Row],[Aop]],VLOOKUP(I$2&amp;Income_Statement[[#This Row],[Aop]],Data[],I$1)/Jedinica,"")</f>
        <v/>
      </c>
      <c r="J60" s="38" t="str">
        <f>IF(VLOOKUP(J$2&amp;Income_Statement[[#This Row],[Aop]],Data[],1)=J$2&amp;Income_Statement[[#This Row],[Aop]],VLOOKUP(J$2&amp;Income_Statement[[#This Row],[Aop]],Data[],J$1)/Jedinica,"")</f>
        <v/>
      </c>
      <c r="K60" s="38" t="str">
        <f>IF(VLOOKUP(K$2&amp;Income_Statement[[#This Row],[Aop]],Data[],1)=K$2&amp;Income_Statement[[#This Row],[Aop]],VLOOKUP(K$2&amp;Income_Statement[[#This Row],[Aop]],Data[],K$1)/Jedinica,"")</f>
        <v/>
      </c>
      <c r="L60" s="38" t="str">
        <f>IF(VLOOKUP(L$2&amp;Income_Statement[[#This Row],[Aop]],Data[],1)=L$2&amp;Income_Statement[[#This Row],[Aop]],VLOOKUP(L$2&amp;Income_Statement[[#This Row],[Aop]],Data[],L$1)/Jedinica,"")</f>
        <v/>
      </c>
      <c r="M60" s="38">
        <f>IF(VLOOKUP(M$2&amp;Income_Statement[[#This Row],[Aop]],Data[],1)=M$2&amp;Income_Statement[[#This Row],[Aop]],VLOOKUP(M$2&amp;Income_Statement[[#This Row],[Aop]],Data[],M$1)/Jedinica,"")</f>
        <v>4082</v>
      </c>
      <c r="N60" s="38">
        <f>IF(VLOOKUP(N$2&amp;Income_Statement[[#This Row],[Aop]],Data[],1)=N$2&amp;Income_Statement[[#This Row],[Aop]],VLOOKUP(N$2&amp;Income_Statement[[#This Row],[Aop]],Data[],N$1)/Jedinica,"")</f>
        <v>0</v>
      </c>
      <c r="O60" s="38" t="str">
        <f>IF(VLOOKUP(O$2&amp;Income_Statement[[#This Row],[Aop]],Data[],1)=O$2&amp;Income_Statement[[#This Row],[Aop]],VLOOKUP(O$2&amp;Income_Statement[[#This Row],[Aop]],Data[],O$1)/Jedinica,"")</f>
        <v/>
      </c>
      <c r="P60" s="38" t="str">
        <f>IF(VLOOKUP(P$2&amp;Income_Statement[[#This Row],[Aop]],Data[],1)=P$2&amp;Income_Statement[[#This Row],[Aop]],VLOOKUP(P$2&amp;Income_Statement[[#This Row],[Aop]],Data[],P$1)/Jedinica,"")</f>
        <v/>
      </c>
      <c r="Q60" s="38">
        <f>IF(VLOOKUP(Q$2&amp;Income_Statement[[#This Row],[Aop]],Data[],1)=Q$2&amp;Income_Statement[[#This Row],[Aop]],VLOOKUP(Q$2&amp;Income_Statement[[#This Row],[Aop]],Data[],Q$1)/Jedinica,"")</f>
        <v>7766</v>
      </c>
      <c r="R60" s="38">
        <f>IF(VLOOKUP(R$2&amp;Income_Statement[[#This Row],[Aop]],Data[],1)=R$2&amp;Income_Statement[[#This Row],[Aop]],VLOOKUP(R$2&amp;Income_Statement[[#This Row],[Aop]],Data[],R$1)/Jedinica,"")</f>
        <v>7766</v>
      </c>
      <c r="S60" s="38">
        <f>IF(VLOOKUP(S$2&amp;Income_Statement[[#This Row],[Aop]],Data[],1)=S$2&amp;Income_Statement[[#This Row],[Aop]],VLOOKUP(S$2&amp;Income_Statement[[#This Row],[Aop]],Data[],S$1)/Jedinica,"")</f>
        <v>386073</v>
      </c>
      <c r="T60" s="38">
        <f>IF(VLOOKUP(T$2&amp;Income_Statement[[#This Row],[Aop]],Data[],1)=T$2&amp;Income_Statement[[#This Row],[Aop]],VLOOKUP(T$2&amp;Income_Statement[[#This Row],[Aop]],Data[],T$1)/Jedinica,"")</f>
        <v>357430</v>
      </c>
    </row>
    <row r="61" spans="1:20" ht="12.75" customHeight="1" x14ac:dyDescent="0.2">
      <c r="A61" s="74">
        <v>161</v>
      </c>
      <c r="B61" s="74">
        <v>3</v>
      </c>
      <c r="C61" s="78" t="str">
        <f>VLOOKUP(Income_Statement[[#This Row],[No]],AOP_Balance,3,0)</f>
        <v>253</v>
      </c>
      <c r="D61" s="52" t="str">
        <f>VLOOKUP(Income_Statement[[#This Row],[No]],AOP_Balance,7,0)</f>
        <v xml:space="preserve">      k) Nematerijalni troškovi (bez poreza i doprinosa)</v>
      </c>
      <c r="E61" s="38">
        <f>IF(VLOOKUP(E$2&amp;Income_Statement[[#This Row],[Aop]],Data[],1)=E$2&amp;Income_Statement[[#This Row],[Aop]],VLOOKUP(E$2&amp;Income_Statement[[#This Row],[Aop]],Data[],E$1)/Jedinica,"")</f>
        <v>642694</v>
      </c>
      <c r="F61" s="38">
        <f>IF(VLOOKUP(F$2&amp;Income_Statement[[#This Row],[Aop]],Data[],1)=F$2&amp;Income_Statement[[#This Row],[Aop]],VLOOKUP(F$2&amp;Income_Statement[[#This Row],[Aop]],Data[],F$1)/Jedinica,"")</f>
        <v>793291</v>
      </c>
      <c r="G61" s="38">
        <f>IF(VLOOKUP(G$2&amp;Income_Statement[[#This Row],[Aop]],Data[],1)=G$2&amp;Income_Statement[[#This Row],[Aop]],VLOOKUP(G$2&amp;Income_Statement[[#This Row],[Aop]],Data[],G$1)/Jedinica,"")</f>
        <v>1060218</v>
      </c>
      <c r="H61" s="38">
        <f>IF(VLOOKUP(H$2&amp;Income_Statement[[#This Row],[Aop]],Data[],1)=H$2&amp;Income_Statement[[#This Row],[Aop]],VLOOKUP(H$2&amp;Income_Statement[[#This Row],[Aop]],Data[],H$1)/Jedinica,"")</f>
        <v>1118716</v>
      </c>
      <c r="I61" s="38">
        <f>IF(VLOOKUP(I$2&amp;Income_Statement[[#This Row],[Aop]],Data[],1)=I$2&amp;Income_Statement[[#This Row],[Aop]],VLOOKUP(I$2&amp;Income_Statement[[#This Row],[Aop]],Data[],I$1)/Jedinica,"")</f>
        <v>444250</v>
      </c>
      <c r="J61" s="38">
        <f>IF(VLOOKUP(J$2&amp;Income_Statement[[#This Row],[Aop]],Data[],1)=J$2&amp;Income_Statement[[#This Row],[Aop]],VLOOKUP(J$2&amp;Income_Statement[[#This Row],[Aop]],Data[],J$1)/Jedinica,"")</f>
        <v>319854</v>
      </c>
      <c r="K61" s="38">
        <f>IF(VLOOKUP(K$2&amp;Income_Statement[[#This Row],[Aop]],Data[],1)=K$2&amp;Income_Statement[[#This Row],[Aop]],VLOOKUP(K$2&amp;Income_Statement[[#This Row],[Aop]],Data[],K$1)/Jedinica,"")</f>
        <v>1027763</v>
      </c>
      <c r="L61" s="38">
        <f>IF(VLOOKUP(L$2&amp;Income_Statement[[#This Row],[Aop]],Data[],1)=L$2&amp;Income_Statement[[#This Row],[Aop]],VLOOKUP(L$2&amp;Income_Statement[[#This Row],[Aop]],Data[],L$1)/Jedinica,"")</f>
        <v>885632</v>
      </c>
      <c r="M61" s="38">
        <f>IF(VLOOKUP(M$2&amp;Income_Statement[[#This Row],[Aop]],Data[],1)=M$2&amp;Income_Statement[[#This Row],[Aop]],VLOOKUP(M$2&amp;Income_Statement[[#This Row],[Aop]],Data[],M$1)/Jedinica,"")</f>
        <v>3988004</v>
      </c>
      <c r="N61" s="38">
        <f>IF(VLOOKUP(N$2&amp;Income_Statement[[#This Row],[Aop]],Data[],1)=N$2&amp;Income_Statement[[#This Row],[Aop]],VLOOKUP(N$2&amp;Income_Statement[[#This Row],[Aop]],Data[],N$1)/Jedinica,"")</f>
        <v>3283406</v>
      </c>
      <c r="O61" s="38">
        <f>IF(VLOOKUP(O$2&amp;Income_Statement[[#This Row],[Aop]],Data[],1)=O$2&amp;Income_Statement[[#This Row],[Aop]],VLOOKUP(O$2&amp;Income_Statement[[#This Row],[Aop]],Data[],O$1)/Jedinica,"")</f>
        <v>1027763</v>
      </c>
      <c r="P61" s="38">
        <f>IF(VLOOKUP(P$2&amp;Income_Statement[[#This Row],[Aop]],Data[],1)=P$2&amp;Income_Statement[[#This Row],[Aop]],VLOOKUP(P$2&amp;Income_Statement[[#This Row],[Aop]],Data[],P$1)/Jedinica,"")</f>
        <v>885632</v>
      </c>
      <c r="Q61" s="38">
        <f>IF(VLOOKUP(Q$2&amp;Income_Statement[[#This Row],[Aop]],Data[],1)=Q$2&amp;Income_Statement[[#This Row],[Aop]],VLOOKUP(Q$2&amp;Income_Statement[[#This Row],[Aop]],Data[],Q$1)/Jedinica,"")</f>
        <v>793071</v>
      </c>
      <c r="R61" s="38">
        <f>IF(VLOOKUP(R$2&amp;Income_Statement[[#This Row],[Aop]],Data[],1)=R$2&amp;Income_Statement[[#This Row],[Aop]],VLOOKUP(R$2&amp;Income_Statement[[#This Row],[Aop]],Data[],R$1)/Jedinica,"")</f>
        <v>579165</v>
      </c>
      <c r="S61" s="38">
        <f>IF(VLOOKUP(S$2&amp;Income_Statement[[#This Row],[Aop]],Data[],1)=S$2&amp;Income_Statement[[#This Row],[Aop]],VLOOKUP(S$2&amp;Income_Statement[[#This Row],[Aop]],Data[],S$1)/Jedinica,"")</f>
        <v>1671567</v>
      </c>
      <c r="T61" s="38">
        <f>IF(VLOOKUP(T$2&amp;Income_Statement[[#This Row],[Aop]],Data[],1)=T$2&amp;Income_Statement[[#This Row],[Aop]],VLOOKUP(T$2&amp;Income_Statement[[#This Row],[Aop]],Data[],T$1)/Jedinica,"")</f>
        <v>1597976</v>
      </c>
    </row>
    <row r="62" spans="1:20" ht="12.75" customHeight="1" x14ac:dyDescent="0.2">
      <c r="A62" s="74">
        <v>162</v>
      </c>
      <c r="B62" s="74">
        <v>3</v>
      </c>
      <c r="C62" s="78" t="str">
        <f>VLOOKUP(Income_Statement[[#This Row],[No]],AOP_Balance,3,0)</f>
        <v>254</v>
      </c>
      <c r="D62" s="52" t="str">
        <f>VLOOKUP(Income_Statement[[#This Row],[No]],AOP_Balance,7,0)</f>
        <v xml:space="preserve">      l) Troškovi po osnovu poreza i doprinosa</v>
      </c>
      <c r="E62" s="38">
        <f>IF(VLOOKUP(E$2&amp;Income_Statement[[#This Row],[Aop]],Data[],1)=E$2&amp;Income_Statement[[#This Row],[Aop]],VLOOKUP(E$2&amp;Income_Statement[[#This Row],[Aop]],Data[],E$1)/Jedinica,"")</f>
        <v>63806</v>
      </c>
      <c r="F62" s="38">
        <f>IF(VLOOKUP(F$2&amp;Income_Statement[[#This Row],[Aop]],Data[],1)=F$2&amp;Income_Statement[[#This Row],[Aop]],VLOOKUP(F$2&amp;Income_Statement[[#This Row],[Aop]],Data[],F$1)/Jedinica,"")</f>
        <v>43863</v>
      </c>
      <c r="G62" s="38">
        <f>IF(VLOOKUP(G$2&amp;Income_Statement[[#This Row],[Aop]],Data[],1)=G$2&amp;Income_Statement[[#This Row],[Aop]],VLOOKUP(G$2&amp;Income_Statement[[#This Row],[Aop]],Data[],G$1)/Jedinica,"")</f>
        <v>66496</v>
      </c>
      <c r="H62" s="38">
        <f>IF(VLOOKUP(H$2&amp;Income_Statement[[#This Row],[Aop]],Data[],1)=H$2&amp;Income_Statement[[#This Row],[Aop]],VLOOKUP(H$2&amp;Income_Statement[[#This Row],[Aop]],Data[],H$1)/Jedinica,"")</f>
        <v>117472</v>
      </c>
      <c r="I62" s="38">
        <f>IF(VLOOKUP(I$2&amp;Income_Statement[[#This Row],[Aop]],Data[],1)=I$2&amp;Income_Statement[[#This Row],[Aop]],VLOOKUP(I$2&amp;Income_Statement[[#This Row],[Aop]],Data[],I$1)/Jedinica,"")</f>
        <v>10546</v>
      </c>
      <c r="J62" s="38">
        <f>IF(VLOOKUP(J$2&amp;Income_Statement[[#This Row],[Aop]],Data[],1)=J$2&amp;Income_Statement[[#This Row],[Aop]],VLOOKUP(J$2&amp;Income_Statement[[#This Row],[Aop]],Data[],J$1)/Jedinica,"")</f>
        <v>7985</v>
      </c>
      <c r="K62" s="38">
        <f>IF(VLOOKUP(K$2&amp;Income_Statement[[#This Row],[Aop]],Data[],1)=K$2&amp;Income_Statement[[#This Row],[Aop]],VLOOKUP(K$2&amp;Income_Statement[[#This Row],[Aop]],Data[],K$1)/Jedinica,"")</f>
        <v>62958</v>
      </c>
      <c r="L62" s="38">
        <f>IF(VLOOKUP(L$2&amp;Income_Statement[[#This Row],[Aop]],Data[],1)=L$2&amp;Income_Statement[[#This Row],[Aop]],VLOOKUP(L$2&amp;Income_Statement[[#This Row],[Aop]],Data[],L$1)/Jedinica,"")</f>
        <v>54080</v>
      </c>
      <c r="M62" s="38">
        <f>IF(VLOOKUP(M$2&amp;Income_Statement[[#This Row],[Aop]],Data[],1)=M$2&amp;Income_Statement[[#This Row],[Aop]],VLOOKUP(M$2&amp;Income_Statement[[#This Row],[Aop]],Data[],M$1)/Jedinica,"")</f>
        <v>229667</v>
      </c>
      <c r="N62" s="38">
        <f>IF(VLOOKUP(N$2&amp;Income_Statement[[#This Row],[Aop]],Data[],1)=N$2&amp;Income_Statement[[#This Row],[Aop]],VLOOKUP(N$2&amp;Income_Statement[[#This Row],[Aop]],Data[],N$1)/Jedinica,"")</f>
        <v>175269</v>
      </c>
      <c r="O62" s="38">
        <f>IF(VLOOKUP(O$2&amp;Income_Statement[[#This Row],[Aop]],Data[],1)=O$2&amp;Income_Statement[[#This Row],[Aop]],VLOOKUP(O$2&amp;Income_Statement[[#This Row],[Aop]],Data[],O$1)/Jedinica,"")</f>
        <v>62958</v>
      </c>
      <c r="P62" s="38">
        <f>IF(VLOOKUP(P$2&amp;Income_Statement[[#This Row],[Aop]],Data[],1)=P$2&amp;Income_Statement[[#This Row],[Aop]],VLOOKUP(P$2&amp;Income_Statement[[#This Row],[Aop]],Data[],P$1)/Jedinica,"")</f>
        <v>54080</v>
      </c>
      <c r="Q62" s="38">
        <f>IF(VLOOKUP(Q$2&amp;Income_Statement[[#This Row],[Aop]],Data[],1)=Q$2&amp;Income_Statement[[#This Row],[Aop]],VLOOKUP(Q$2&amp;Income_Statement[[#This Row],[Aop]],Data[],Q$1)/Jedinica,"")</f>
        <v>186252</v>
      </c>
      <c r="R62" s="38">
        <f>IF(VLOOKUP(R$2&amp;Income_Statement[[#This Row],[Aop]],Data[],1)=R$2&amp;Income_Statement[[#This Row],[Aop]],VLOOKUP(R$2&amp;Income_Statement[[#This Row],[Aop]],Data[],R$1)/Jedinica,"")</f>
        <v>285608</v>
      </c>
      <c r="S62" s="38">
        <f>IF(VLOOKUP(S$2&amp;Income_Statement[[#This Row],[Aop]],Data[],1)=S$2&amp;Income_Statement[[#This Row],[Aop]],VLOOKUP(S$2&amp;Income_Statement[[#This Row],[Aop]],Data[],S$1)/Jedinica,"")</f>
        <v>904269</v>
      </c>
      <c r="T62" s="38">
        <f>IF(VLOOKUP(T$2&amp;Income_Statement[[#This Row],[Aop]],Data[],1)=T$2&amp;Income_Statement[[#This Row],[Aop]],VLOOKUP(T$2&amp;Income_Statement[[#This Row],[Aop]],Data[],T$1)/Jedinica,"")</f>
        <v>828892</v>
      </c>
    </row>
    <row r="63" spans="1:20" ht="12.75" customHeight="1" x14ac:dyDescent="0.2">
      <c r="A63" s="74">
        <v>163</v>
      </c>
      <c r="B63" s="74">
        <v>3</v>
      </c>
      <c r="C63" s="78" t="str">
        <f>VLOOKUP(Income_Statement[[#This Row],[No]],AOP_Balance,3,0)</f>
        <v>255</v>
      </c>
      <c r="D63" s="52" t="str">
        <f>VLOOKUP(Income_Statement[[#This Row],[No]],AOP_Balance,7,0)</f>
        <v xml:space="preserve">      lj) Ostali troškovi</v>
      </c>
      <c r="E63" s="38">
        <f>IF(VLOOKUP(E$2&amp;Income_Statement[[#This Row],[Aop]],Data[],1)=E$2&amp;Income_Statement[[#This Row],[Aop]],VLOOKUP(E$2&amp;Income_Statement[[#This Row],[Aop]],Data[],E$1)/Jedinica,"")</f>
        <v>205</v>
      </c>
      <c r="F63" s="38">
        <f>IF(VLOOKUP(F$2&amp;Income_Statement[[#This Row],[Aop]],Data[],1)=F$2&amp;Income_Statement[[#This Row],[Aop]],VLOOKUP(F$2&amp;Income_Statement[[#This Row],[Aop]],Data[],F$1)/Jedinica,"")</f>
        <v>480</v>
      </c>
      <c r="G63" s="38">
        <f>IF(VLOOKUP(G$2&amp;Income_Statement[[#This Row],[Aop]],Data[],1)=G$2&amp;Income_Statement[[#This Row],[Aop]],VLOOKUP(G$2&amp;Income_Statement[[#This Row],[Aop]],Data[],G$1)/Jedinica,"")</f>
        <v>44</v>
      </c>
      <c r="H63" s="38">
        <f>IF(VLOOKUP(H$2&amp;Income_Statement[[#This Row],[Aop]],Data[],1)=H$2&amp;Income_Statement[[#This Row],[Aop]],VLOOKUP(H$2&amp;Income_Statement[[#This Row],[Aop]],Data[],H$1)/Jedinica,"")</f>
        <v>80</v>
      </c>
      <c r="I63" s="38" t="str">
        <f>IF(VLOOKUP(I$2&amp;Income_Statement[[#This Row],[Aop]],Data[],1)=I$2&amp;Income_Statement[[#This Row],[Aop]],VLOOKUP(I$2&amp;Income_Statement[[#This Row],[Aop]],Data[],I$1)/Jedinica,"")</f>
        <v/>
      </c>
      <c r="J63" s="38" t="str">
        <f>IF(VLOOKUP(J$2&amp;Income_Statement[[#This Row],[Aop]],Data[],1)=J$2&amp;Income_Statement[[#This Row],[Aop]],VLOOKUP(J$2&amp;Income_Statement[[#This Row],[Aop]],Data[],J$1)/Jedinica,"")</f>
        <v/>
      </c>
      <c r="K63" s="38">
        <f>IF(VLOOKUP(K$2&amp;Income_Statement[[#This Row],[Aop]],Data[],1)=K$2&amp;Income_Statement[[#This Row],[Aop]],VLOOKUP(K$2&amp;Income_Statement[[#This Row],[Aop]],Data[],K$1)/Jedinica,"")</f>
        <v>900</v>
      </c>
      <c r="L63" s="38">
        <f>IF(VLOOKUP(L$2&amp;Income_Statement[[#This Row],[Aop]],Data[],1)=L$2&amp;Income_Statement[[#This Row],[Aop]],VLOOKUP(L$2&amp;Income_Statement[[#This Row],[Aop]],Data[],L$1)/Jedinica,"")</f>
        <v>0</v>
      </c>
      <c r="M63" s="38">
        <f>IF(VLOOKUP(M$2&amp;Income_Statement[[#This Row],[Aop]],Data[],1)=M$2&amp;Income_Statement[[#This Row],[Aop]],VLOOKUP(M$2&amp;Income_Statement[[#This Row],[Aop]],Data[],M$1)/Jedinica,"")</f>
        <v>266568</v>
      </c>
      <c r="N63" s="38">
        <f>IF(VLOOKUP(N$2&amp;Income_Statement[[#This Row],[Aop]],Data[],1)=N$2&amp;Income_Statement[[#This Row],[Aop]],VLOOKUP(N$2&amp;Income_Statement[[#This Row],[Aop]],Data[],N$1)/Jedinica,"")</f>
        <v>161377</v>
      </c>
      <c r="O63" s="38">
        <f>IF(VLOOKUP(O$2&amp;Income_Statement[[#This Row],[Aop]],Data[],1)=O$2&amp;Income_Statement[[#This Row],[Aop]],VLOOKUP(O$2&amp;Income_Statement[[#This Row],[Aop]],Data[],O$1)/Jedinica,"")</f>
        <v>900</v>
      </c>
      <c r="P63" s="38">
        <f>IF(VLOOKUP(P$2&amp;Income_Statement[[#This Row],[Aop]],Data[],1)=P$2&amp;Income_Statement[[#This Row],[Aop]],VLOOKUP(P$2&amp;Income_Statement[[#This Row],[Aop]],Data[],P$1)/Jedinica,"")</f>
        <v>0</v>
      </c>
      <c r="Q63" s="38">
        <f>IF(VLOOKUP(Q$2&amp;Income_Statement[[#This Row],[Aop]],Data[],1)=Q$2&amp;Income_Statement[[#This Row],[Aop]],VLOOKUP(Q$2&amp;Income_Statement[[#This Row],[Aop]],Data[],Q$1)/Jedinica,"")</f>
        <v>2259</v>
      </c>
      <c r="R63" s="38">
        <f>IF(VLOOKUP(R$2&amp;Income_Statement[[#This Row],[Aop]],Data[],1)=R$2&amp;Income_Statement[[#This Row],[Aop]],VLOOKUP(R$2&amp;Income_Statement[[#This Row],[Aop]],Data[],R$1)/Jedinica,"")</f>
        <v>9076</v>
      </c>
      <c r="S63" s="38">
        <f>IF(VLOOKUP(S$2&amp;Income_Statement[[#This Row],[Aop]],Data[],1)=S$2&amp;Income_Statement[[#This Row],[Aop]],VLOOKUP(S$2&amp;Income_Statement[[#This Row],[Aop]],Data[],S$1)/Jedinica,"")</f>
        <v>6707</v>
      </c>
      <c r="T63" s="38">
        <f>IF(VLOOKUP(T$2&amp;Income_Statement[[#This Row],[Aop]],Data[],1)=T$2&amp;Income_Statement[[#This Row],[Aop]],VLOOKUP(T$2&amp;Income_Statement[[#This Row],[Aop]],Data[],T$1)/Jedinica,"")</f>
        <v>3255</v>
      </c>
    </row>
    <row r="64" spans="1:20" ht="12.75" customHeight="1" x14ac:dyDescent="0.2">
      <c r="A64" s="74">
        <v>164</v>
      </c>
      <c r="B64" s="74">
        <v>2</v>
      </c>
      <c r="C64" s="78" t="str">
        <f>VLOOKUP(Income_Statement[[#This Row],[No]],AOP_Balance,3,0)</f>
        <v>256</v>
      </c>
      <c r="D64" s="52" t="str">
        <f>VLOOKUP(Income_Statement[[#This Row],[No]],AOP_Balance,7,0)</f>
        <v xml:space="preserve">    3. DOBITAK IZ OPERATIVNOG POSLOVANJA (235-241)</v>
      </c>
      <c r="E64" s="38" t="str">
        <f>IF(VLOOKUP(E$2&amp;Income_Statement[[#This Row],[Aop]],Data[],1)=E$2&amp;Income_Statement[[#This Row],[Aop]],VLOOKUP(E$2&amp;Income_Statement[[#This Row],[Aop]],Data[],E$1)/Jedinica,"")</f>
        <v/>
      </c>
      <c r="F64" s="38" t="str">
        <f>IF(VLOOKUP(F$2&amp;Income_Statement[[#This Row],[Aop]],Data[],1)=F$2&amp;Income_Statement[[#This Row],[Aop]],VLOOKUP(F$2&amp;Income_Statement[[#This Row],[Aop]],Data[],F$1)/Jedinica,"")</f>
        <v/>
      </c>
      <c r="G64" s="38" t="str">
        <f>IF(VLOOKUP(G$2&amp;Income_Statement[[#This Row],[Aop]],Data[],1)=G$2&amp;Income_Statement[[#This Row],[Aop]],VLOOKUP(G$2&amp;Income_Statement[[#This Row],[Aop]],Data[],G$1)/Jedinica,"")</f>
        <v/>
      </c>
      <c r="H64" s="38" t="str">
        <f>IF(VLOOKUP(H$2&amp;Income_Statement[[#This Row],[Aop]],Data[],1)=H$2&amp;Income_Statement[[#This Row],[Aop]],VLOOKUP(H$2&amp;Income_Statement[[#This Row],[Aop]],Data[],H$1)/Jedinica,"")</f>
        <v/>
      </c>
      <c r="I64" s="38" t="str">
        <f>IF(VLOOKUP(I$2&amp;Income_Statement[[#This Row],[Aop]],Data[],1)=I$2&amp;Income_Statement[[#This Row],[Aop]],VLOOKUP(I$2&amp;Income_Statement[[#This Row],[Aop]],Data[],I$1)/Jedinica,"")</f>
        <v/>
      </c>
      <c r="J64" s="38" t="str">
        <f>IF(VLOOKUP(J$2&amp;Income_Statement[[#This Row],[Aop]],Data[],1)=J$2&amp;Income_Statement[[#This Row],[Aop]],VLOOKUP(J$2&amp;Income_Statement[[#This Row],[Aop]],Data[],J$1)/Jedinica,"")</f>
        <v/>
      </c>
      <c r="K64" s="38" t="str">
        <f>IF(VLOOKUP(K$2&amp;Income_Statement[[#This Row],[Aop]],Data[],1)=K$2&amp;Income_Statement[[#This Row],[Aop]],VLOOKUP(K$2&amp;Income_Statement[[#This Row],[Aop]],Data[],K$1)/Jedinica,"")</f>
        <v/>
      </c>
      <c r="L64" s="38" t="str">
        <f>IF(VLOOKUP(L$2&amp;Income_Statement[[#This Row],[Aop]],Data[],1)=L$2&amp;Income_Statement[[#This Row],[Aop]],VLOOKUP(L$2&amp;Income_Statement[[#This Row],[Aop]],Data[],L$1)/Jedinica,"")</f>
        <v/>
      </c>
      <c r="M64" s="38" t="str">
        <f>IF(VLOOKUP(M$2&amp;Income_Statement[[#This Row],[Aop]],Data[],1)=M$2&amp;Income_Statement[[#This Row],[Aop]],VLOOKUP(M$2&amp;Income_Statement[[#This Row],[Aop]],Data[],M$1)/Jedinica,"")</f>
        <v/>
      </c>
      <c r="N64" s="38" t="str">
        <f>IF(VLOOKUP(N$2&amp;Income_Statement[[#This Row],[Aop]],Data[],1)=N$2&amp;Income_Statement[[#This Row],[Aop]],VLOOKUP(N$2&amp;Income_Statement[[#This Row],[Aop]],Data[],N$1)/Jedinica,"")</f>
        <v/>
      </c>
      <c r="O64" s="38" t="str">
        <f>IF(VLOOKUP(O$2&amp;Income_Statement[[#This Row],[Aop]],Data[],1)=O$2&amp;Income_Statement[[#This Row],[Aop]],VLOOKUP(O$2&amp;Income_Statement[[#This Row],[Aop]],Data[],O$1)/Jedinica,"")</f>
        <v/>
      </c>
      <c r="P64" s="38" t="str">
        <f>IF(VLOOKUP(P$2&amp;Income_Statement[[#This Row],[Aop]],Data[],1)=P$2&amp;Income_Statement[[#This Row],[Aop]],VLOOKUP(P$2&amp;Income_Statement[[#This Row],[Aop]],Data[],P$1)/Jedinica,"")</f>
        <v/>
      </c>
      <c r="Q64" s="38" t="str">
        <f>IF(VLOOKUP(Q$2&amp;Income_Statement[[#This Row],[Aop]],Data[],1)=Q$2&amp;Income_Statement[[#This Row],[Aop]],VLOOKUP(Q$2&amp;Income_Statement[[#This Row],[Aop]],Data[],Q$1)/Jedinica,"")</f>
        <v/>
      </c>
      <c r="R64" s="38" t="str">
        <f>IF(VLOOKUP(R$2&amp;Income_Statement[[#This Row],[Aop]],Data[],1)=R$2&amp;Income_Statement[[#This Row],[Aop]],VLOOKUP(R$2&amp;Income_Statement[[#This Row],[Aop]],Data[],R$1)/Jedinica,"")</f>
        <v/>
      </c>
      <c r="S64" s="38" t="str">
        <f>IF(VLOOKUP(S$2&amp;Income_Statement[[#This Row],[Aop]],Data[],1)=S$2&amp;Income_Statement[[#This Row],[Aop]],VLOOKUP(S$2&amp;Income_Statement[[#This Row],[Aop]],Data[],S$1)/Jedinica,"")</f>
        <v/>
      </c>
      <c r="T64" s="38" t="str">
        <f>IF(VLOOKUP(T$2&amp;Income_Statement[[#This Row],[Aop]],Data[],1)=T$2&amp;Income_Statement[[#This Row],[Aop]],VLOOKUP(T$2&amp;Income_Statement[[#This Row],[Aop]],Data[],T$1)/Jedinica,"")</f>
        <v/>
      </c>
    </row>
    <row r="65" spans="1:20" ht="12.75" customHeight="1" x14ac:dyDescent="0.2">
      <c r="A65" s="74">
        <v>165</v>
      </c>
      <c r="B65" s="74">
        <v>2</v>
      </c>
      <c r="C65" s="78" t="str">
        <f>VLOOKUP(Income_Statement[[#This Row],[No]],AOP_Balance,3,0)</f>
        <v>257</v>
      </c>
      <c r="D65" s="52" t="str">
        <f>VLOOKUP(Income_Statement[[#This Row],[No]],AOP_Balance,7,0)</f>
        <v xml:space="preserve">    4. GUBITAK IZ OPERATIVNOG POSLOVANJA (241-235)</v>
      </c>
      <c r="E65" s="39">
        <f>IF(VLOOKUP(E$2&amp;Income_Statement[[#This Row],[Aop]],Data[],1)=E$2&amp;Income_Statement[[#This Row],[Aop]],VLOOKUP(E$2&amp;Income_Statement[[#This Row],[Aop]],Data[],E$1)/Jedinica,"")</f>
        <v>6706025</v>
      </c>
      <c r="F65" s="39">
        <f>IF(VLOOKUP(F$2&amp;Income_Statement[[#This Row],[Aop]],Data[],1)=F$2&amp;Income_Statement[[#This Row],[Aop]],VLOOKUP(F$2&amp;Income_Statement[[#This Row],[Aop]],Data[],F$1)/Jedinica,"")</f>
        <v>6560131</v>
      </c>
      <c r="G65" s="39">
        <f>IF(VLOOKUP(G$2&amp;Income_Statement[[#This Row],[Aop]],Data[],1)=G$2&amp;Income_Statement[[#This Row],[Aop]],VLOOKUP(G$2&amp;Income_Statement[[#This Row],[Aop]],Data[],G$1)/Jedinica,"")</f>
        <v>5919206</v>
      </c>
      <c r="H65" s="39">
        <f>IF(VLOOKUP(H$2&amp;Income_Statement[[#This Row],[Aop]],Data[],1)=H$2&amp;Income_Statement[[#This Row],[Aop]],VLOOKUP(H$2&amp;Income_Statement[[#This Row],[Aop]],Data[],H$1)/Jedinica,"")</f>
        <v>6409013</v>
      </c>
      <c r="I65" s="39">
        <f>IF(VLOOKUP(I$2&amp;Income_Statement[[#This Row],[Aop]],Data[],1)=I$2&amp;Income_Statement[[#This Row],[Aop]],VLOOKUP(I$2&amp;Income_Statement[[#This Row],[Aop]],Data[],I$1)/Jedinica,"")</f>
        <v>3572215</v>
      </c>
      <c r="J65" s="39">
        <f>IF(VLOOKUP(J$2&amp;Income_Statement[[#This Row],[Aop]],Data[],1)=J$2&amp;Income_Statement[[#This Row],[Aop]],VLOOKUP(J$2&amp;Income_Statement[[#This Row],[Aop]],Data[],J$1)/Jedinica,"")</f>
        <v>2315632</v>
      </c>
      <c r="K65" s="39">
        <f>IF(VLOOKUP(K$2&amp;Income_Statement[[#This Row],[Aop]],Data[],1)=K$2&amp;Income_Statement[[#This Row],[Aop]],VLOOKUP(K$2&amp;Income_Statement[[#This Row],[Aop]],Data[],K$1)/Jedinica,"")</f>
        <v>5613320</v>
      </c>
      <c r="L65" s="39">
        <f>IF(VLOOKUP(L$2&amp;Income_Statement[[#This Row],[Aop]],Data[],1)=L$2&amp;Income_Statement[[#This Row],[Aop]],VLOOKUP(L$2&amp;Income_Statement[[#This Row],[Aop]],Data[],L$1)/Jedinica,"")</f>
        <v>5721623</v>
      </c>
      <c r="M65" s="39">
        <f>IF(VLOOKUP(M$2&amp;Income_Statement[[#This Row],[Aop]],Data[],1)=M$2&amp;Income_Statement[[#This Row],[Aop]],VLOOKUP(M$2&amp;Income_Statement[[#This Row],[Aop]],Data[],M$1)/Jedinica,"")</f>
        <v>24513299</v>
      </c>
      <c r="N65" s="39">
        <f>IF(VLOOKUP(N$2&amp;Income_Statement[[#This Row],[Aop]],Data[],1)=N$2&amp;Income_Statement[[#This Row],[Aop]],VLOOKUP(N$2&amp;Income_Statement[[#This Row],[Aop]],Data[],N$1)/Jedinica,"")</f>
        <v>21155643</v>
      </c>
      <c r="O65" s="39">
        <f>IF(VLOOKUP(O$2&amp;Income_Statement[[#This Row],[Aop]],Data[],1)=O$2&amp;Income_Statement[[#This Row],[Aop]],VLOOKUP(O$2&amp;Income_Statement[[#This Row],[Aop]],Data[],O$1)/Jedinica,"")</f>
        <v>5613320</v>
      </c>
      <c r="P65" s="39">
        <f>IF(VLOOKUP(P$2&amp;Income_Statement[[#This Row],[Aop]],Data[],1)=P$2&amp;Income_Statement[[#This Row],[Aop]],VLOOKUP(P$2&amp;Income_Statement[[#This Row],[Aop]],Data[],P$1)/Jedinica,"")</f>
        <v>5721623</v>
      </c>
      <c r="Q65" s="39">
        <f>IF(VLOOKUP(Q$2&amp;Income_Statement[[#This Row],[Aop]],Data[],1)=Q$2&amp;Income_Statement[[#This Row],[Aop]],VLOOKUP(Q$2&amp;Income_Statement[[#This Row],[Aop]],Data[],Q$1)/Jedinica,"")</f>
        <v>7156154</v>
      </c>
      <c r="R65" s="39">
        <f>IF(VLOOKUP(R$2&amp;Income_Statement[[#This Row],[Aop]],Data[],1)=R$2&amp;Income_Statement[[#This Row],[Aop]],VLOOKUP(R$2&amp;Income_Statement[[#This Row],[Aop]],Data[],R$1)/Jedinica,"")</f>
        <v>6244495</v>
      </c>
      <c r="S65" s="39">
        <f>IF(VLOOKUP(S$2&amp;Income_Statement[[#This Row],[Aop]],Data[],1)=S$2&amp;Income_Statement[[#This Row],[Aop]],VLOOKUP(S$2&amp;Income_Statement[[#This Row],[Aop]],Data[],S$1)/Jedinica,"")</f>
        <v>17207262</v>
      </c>
      <c r="T65" s="39">
        <f>IF(VLOOKUP(T$2&amp;Income_Statement[[#This Row],[Aop]],Data[],1)=T$2&amp;Income_Statement[[#This Row],[Aop]],VLOOKUP(T$2&amp;Income_Statement[[#This Row],[Aop]],Data[],T$1)/Jedinica,"")</f>
        <v>18588187</v>
      </c>
    </row>
    <row r="66" spans="1:20" ht="12.75" customHeight="1" x14ac:dyDescent="0.2">
      <c r="A66" s="74">
        <v>166</v>
      </c>
      <c r="B66" s="74">
        <v>1</v>
      </c>
      <c r="C66" s="79" t="str">
        <f>VLOOKUP(Income_Statement[[#This Row],[No]],AOP_Balance,3,0)</f>
        <v/>
      </c>
      <c r="D66" s="52" t="str">
        <f>VLOOKUP(Income_Statement[[#This Row],[No]],AOP_Balance,7,0)</f>
        <v xml:space="preserve">  V. OSTALI PRIHODI I RASHODI</v>
      </c>
      <c r="E66" s="39" t="e">
        <f>IF(VLOOKUP(E$2&amp;Income_Statement[[#This Row],[Aop]],Data[],1)=E$2&amp;Income_Statement[[#This Row],[Aop]],VLOOKUP(E$2&amp;Income_Statement[[#This Row],[Aop]],Data[],E$1)/Jedinica,"")</f>
        <v>#N/A</v>
      </c>
      <c r="F66" s="39" t="e">
        <f>IF(VLOOKUP(F$2&amp;Income_Statement[[#This Row],[Aop]],Data[],1)=F$2&amp;Income_Statement[[#This Row],[Aop]],VLOOKUP(F$2&amp;Income_Statement[[#This Row],[Aop]],Data[],F$1)/Jedinica,"")</f>
        <v>#N/A</v>
      </c>
      <c r="G66" s="39" t="str">
        <f>IF(VLOOKUP(G$2&amp;Income_Statement[[#This Row],[Aop]],Data[],1)=G$2&amp;Income_Statement[[#This Row],[Aop]],VLOOKUP(G$2&amp;Income_Statement[[#This Row],[Aop]],Data[],G$1)/Jedinica,"")</f>
        <v/>
      </c>
      <c r="H66" s="39" t="str">
        <f>IF(VLOOKUP(H$2&amp;Income_Statement[[#This Row],[Aop]],Data[],1)=H$2&amp;Income_Statement[[#This Row],[Aop]],VLOOKUP(H$2&amp;Income_Statement[[#This Row],[Aop]],Data[],H$1)/Jedinica,"")</f>
        <v/>
      </c>
      <c r="I66" s="39" t="str">
        <f>IF(VLOOKUP(I$2&amp;Income_Statement[[#This Row],[Aop]],Data[],1)=I$2&amp;Income_Statement[[#This Row],[Aop]],VLOOKUP(I$2&amp;Income_Statement[[#This Row],[Aop]],Data[],I$1)/Jedinica,"")</f>
        <v/>
      </c>
      <c r="J66" s="39" t="str">
        <f>IF(VLOOKUP(J$2&amp;Income_Statement[[#This Row],[Aop]],Data[],1)=J$2&amp;Income_Statement[[#This Row],[Aop]],VLOOKUP(J$2&amp;Income_Statement[[#This Row],[Aop]],Data[],J$1)/Jedinica,"")</f>
        <v/>
      </c>
      <c r="K66" s="39" t="str">
        <f>IF(VLOOKUP(K$2&amp;Income_Statement[[#This Row],[Aop]],Data[],1)=K$2&amp;Income_Statement[[#This Row],[Aop]],VLOOKUP(K$2&amp;Income_Statement[[#This Row],[Aop]],Data[],K$1)/Jedinica,"")</f>
        <v/>
      </c>
      <c r="L66" s="39" t="str">
        <f>IF(VLOOKUP(L$2&amp;Income_Statement[[#This Row],[Aop]],Data[],1)=L$2&amp;Income_Statement[[#This Row],[Aop]],VLOOKUP(L$2&amp;Income_Statement[[#This Row],[Aop]],Data[],L$1)/Jedinica,"")</f>
        <v/>
      </c>
      <c r="M66" s="39" t="str">
        <f>IF(VLOOKUP(M$2&amp;Income_Statement[[#This Row],[Aop]],Data[],1)=M$2&amp;Income_Statement[[#This Row],[Aop]],VLOOKUP(M$2&amp;Income_Statement[[#This Row],[Aop]],Data[],M$1)/Jedinica,"")</f>
        <v/>
      </c>
      <c r="N66" s="39" t="str">
        <f>IF(VLOOKUP(N$2&amp;Income_Statement[[#This Row],[Aop]],Data[],1)=N$2&amp;Income_Statement[[#This Row],[Aop]],VLOOKUP(N$2&amp;Income_Statement[[#This Row],[Aop]],Data[],N$1)/Jedinica,"")</f>
        <v/>
      </c>
      <c r="O66" s="39" t="str">
        <f>IF(VLOOKUP(O$2&amp;Income_Statement[[#This Row],[Aop]],Data[],1)=O$2&amp;Income_Statement[[#This Row],[Aop]],VLOOKUP(O$2&amp;Income_Statement[[#This Row],[Aop]],Data[],O$1)/Jedinica,"")</f>
        <v/>
      </c>
      <c r="P66" s="39" t="str">
        <f>IF(VLOOKUP(P$2&amp;Income_Statement[[#This Row],[Aop]],Data[],1)=P$2&amp;Income_Statement[[#This Row],[Aop]],VLOOKUP(P$2&amp;Income_Statement[[#This Row],[Aop]],Data[],P$1)/Jedinica,"")</f>
        <v/>
      </c>
      <c r="Q66" s="39" t="str">
        <f>IF(VLOOKUP(Q$2&amp;Income_Statement[[#This Row],[Aop]],Data[],1)=Q$2&amp;Income_Statement[[#This Row],[Aop]],VLOOKUP(Q$2&amp;Income_Statement[[#This Row],[Aop]],Data[],Q$1)/Jedinica,"")</f>
        <v/>
      </c>
      <c r="R66" s="39" t="str">
        <f>IF(VLOOKUP(R$2&amp;Income_Statement[[#This Row],[Aop]],Data[],1)=R$2&amp;Income_Statement[[#This Row],[Aop]],VLOOKUP(R$2&amp;Income_Statement[[#This Row],[Aop]],Data[],R$1)/Jedinica,"")</f>
        <v/>
      </c>
      <c r="S66" s="39" t="str">
        <f>IF(VLOOKUP(S$2&amp;Income_Statement[[#This Row],[Aop]],Data[],1)=S$2&amp;Income_Statement[[#This Row],[Aop]],VLOOKUP(S$2&amp;Income_Statement[[#This Row],[Aop]],Data[],S$1)/Jedinica,"")</f>
        <v/>
      </c>
      <c r="T66" s="39" t="str">
        <f>IF(VLOOKUP(T$2&amp;Income_Statement[[#This Row],[Aop]],Data[],1)=T$2&amp;Income_Statement[[#This Row],[Aop]],VLOOKUP(T$2&amp;Income_Statement[[#This Row],[Aop]],Data[],T$1)/Jedinica,"")</f>
        <v/>
      </c>
    </row>
    <row r="67" spans="1:20" ht="12.75" customHeight="1" x14ac:dyDescent="0.2">
      <c r="A67" s="74">
        <v>167</v>
      </c>
      <c r="B67" s="74">
        <v>2</v>
      </c>
      <c r="C67" s="79" t="str">
        <f>VLOOKUP(Income_Statement[[#This Row],[No]],AOP_Balance,3,0)</f>
        <v>258</v>
      </c>
      <c r="D67" s="52" t="str">
        <f>VLOOKUP(Income_Statement[[#This Row],[No]],AOP_Balance,7,0)</f>
        <v xml:space="preserve">    1. Ostali prihodi (259 do 265)</v>
      </c>
      <c r="E67" s="39">
        <f>IF(VLOOKUP(E$2&amp;Income_Statement[[#This Row],[Aop]],Data[],1)=E$2&amp;Income_Statement[[#This Row],[Aop]],VLOOKUP(E$2&amp;Income_Statement[[#This Row],[Aop]],Data[],E$1)/Jedinica,"")</f>
        <v>177597</v>
      </c>
      <c r="F67" s="39">
        <f>IF(VLOOKUP(F$2&amp;Income_Statement[[#This Row],[Aop]],Data[],1)=F$2&amp;Income_Statement[[#This Row],[Aop]],VLOOKUP(F$2&amp;Income_Statement[[#This Row],[Aop]],Data[],F$1)/Jedinica,"")</f>
        <v>317292</v>
      </c>
      <c r="G67" s="39">
        <f>IF(VLOOKUP(G$2&amp;Income_Statement[[#This Row],[Aop]],Data[],1)=G$2&amp;Income_Statement[[#This Row],[Aop]],VLOOKUP(G$2&amp;Income_Statement[[#This Row],[Aop]],Data[],G$1)/Jedinica,"")</f>
        <v>406282</v>
      </c>
      <c r="H67" s="39">
        <f>IF(VLOOKUP(H$2&amp;Income_Statement[[#This Row],[Aop]],Data[],1)=H$2&amp;Income_Statement[[#This Row],[Aop]],VLOOKUP(H$2&amp;Income_Statement[[#This Row],[Aop]],Data[],H$1)/Jedinica,"")</f>
        <v>395732</v>
      </c>
      <c r="I67" s="39">
        <f>IF(VLOOKUP(I$2&amp;Income_Statement[[#This Row],[Aop]],Data[],1)=I$2&amp;Income_Statement[[#This Row],[Aop]],VLOOKUP(I$2&amp;Income_Statement[[#This Row],[Aop]],Data[],I$1)/Jedinica,"")</f>
        <v>155992</v>
      </c>
      <c r="J67" s="39">
        <f>IF(VLOOKUP(J$2&amp;Income_Statement[[#This Row],[Aop]],Data[],1)=J$2&amp;Income_Statement[[#This Row],[Aop]],VLOOKUP(J$2&amp;Income_Statement[[#This Row],[Aop]],Data[],J$1)/Jedinica,"")</f>
        <v>50697</v>
      </c>
      <c r="K67" s="39">
        <f>IF(VLOOKUP(K$2&amp;Income_Statement[[#This Row],[Aop]],Data[],1)=K$2&amp;Income_Statement[[#This Row],[Aop]],VLOOKUP(K$2&amp;Income_Statement[[#This Row],[Aop]],Data[],K$1)/Jedinica,"")</f>
        <v>20481</v>
      </c>
      <c r="L67" s="39">
        <f>IF(VLOOKUP(L$2&amp;Income_Statement[[#This Row],[Aop]],Data[],1)=L$2&amp;Income_Statement[[#This Row],[Aop]],VLOOKUP(L$2&amp;Income_Statement[[#This Row],[Aop]],Data[],L$1)/Jedinica,"")</f>
        <v>11223</v>
      </c>
      <c r="M67" s="39">
        <f>IF(VLOOKUP(M$2&amp;Income_Statement[[#This Row],[Aop]],Data[],1)=M$2&amp;Income_Statement[[#This Row],[Aop]],VLOOKUP(M$2&amp;Income_Statement[[#This Row],[Aop]],Data[],M$1)/Jedinica,"")</f>
        <v>704922</v>
      </c>
      <c r="N67" s="39">
        <f>IF(VLOOKUP(N$2&amp;Income_Statement[[#This Row],[Aop]],Data[],1)=N$2&amp;Income_Statement[[#This Row],[Aop]],VLOOKUP(N$2&amp;Income_Statement[[#This Row],[Aop]],Data[],N$1)/Jedinica,"")</f>
        <v>965289</v>
      </c>
      <c r="O67" s="39">
        <f>IF(VLOOKUP(O$2&amp;Income_Statement[[#This Row],[Aop]],Data[],1)=O$2&amp;Income_Statement[[#This Row],[Aop]],VLOOKUP(O$2&amp;Income_Statement[[#This Row],[Aop]],Data[],O$1)/Jedinica,"")</f>
        <v>20481</v>
      </c>
      <c r="P67" s="39">
        <f>IF(VLOOKUP(P$2&amp;Income_Statement[[#This Row],[Aop]],Data[],1)=P$2&amp;Income_Statement[[#This Row],[Aop]],VLOOKUP(P$2&amp;Income_Statement[[#This Row],[Aop]],Data[],P$1)/Jedinica,"")</f>
        <v>11223</v>
      </c>
      <c r="Q67" s="39">
        <f>IF(VLOOKUP(Q$2&amp;Income_Statement[[#This Row],[Aop]],Data[],1)=Q$2&amp;Income_Statement[[#This Row],[Aop]],VLOOKUP(Q$2&amp;Income_Statement[[#This Row],[Aop]],Data[],Q$1)/Jedinica,"")</f>
        <v>281299</v>
      </c>
      <c r="R67" s="39">
        <f>IF(VLOOKUP(R$2&amp;Income_Statement[[#This Row],[Aop]],Data[],1)=R$2&amp;Income_Statement[[#This Row],[Aop]],VLOOKUP(R$2&amp;Income_Statement[[#This Row],[Aop]],Data[],R$1)/Jedinica,"")</f>
        <v>339409</v>
      </c>
      <c r="S67" s="39">
        <f>IF(VLOOKUP(S$2&amp;Income_Statement[[#This Row],[Aop]],Data[],1)=S$2&amp;Income_Statement[[#This Row],[Aop]],VLOOKUP(S$2&amp;Income_Statement[[#This Row],[Aop]],Data[],S$1)/Jedinica,"")</f>
        <v>2435259</v>
      </c>
      <c r="T67" s="39">
        <f>IF(VLOOKUP(T$2&amp;Income_Statement[[#This Row],[Aop]],Data[],1)=T$2&amp;Income_Statement[[#This Row],[Aop]],VLOOKUP(T$2&amp;Income_Statement[[#This Row],[Aop]],Data[],T$1)/Jedinica,"")</f>
        <v>470306</v>
      </c>
    </row>
    <row r="68" spans="1:20" ht="12.75" customHeight="1" x14ac:dyDescent="0.2">
      <c r="A68" s="74">
        <v>168</v>
      </c>
      <c r="B68" s="74">
        <v>3</v>
      </c>
      <c r="C68" s="78" t="str">
        <f>VLOOKUP(Income_Statement[[#This Row],[No]],AOP_Balance,3,0)</f>
        <v>259</v>
      </c>
      <c r="D68" s="52" t="str">
        <f>VLOOKUP(Income_Statement[[#This Row],[No]],AOP_Balance,7,0)</f>
        <v xml:space="preserve">      a) Prihodi od naplaćenih otpisanih potraživanja</v>
      </c>
      <c r="E68" s="39">
        <f>IF(VLOOKUP(E$2&amp;Income_Statement[[#This Row],[Aop]],Data[],1)=E$2&amp;Income_Statement[[#This Row],[Aop]],VLOOKUP(E$2&amp;Income_Statement[[#This Row],[Aop]],Data[],E$1)/Jedinica,"")</f>
        <v>39120</v>
      </c>
      <c r="F68" s="39">
        <f>IF(VLOOKUP(F$2&amp;Income_Statement[[#This Row],[Aop]],Data[],1)=F$2&amp;Income_Statement[[#This Row],[Aop]],VLOOKUP(F$2&amp;Income_Statement[[#This Row],[Aop]],Data[],F$1)/Jedinica,"")</f>
        <v>239086</v>
      </c>
      <c r="G68" s="39">
        <f>IF(VLOOKUP(G$2&amp;Income_Statement[[#This Row],[Aop]],Data[],1)=G$2&amp;Income_Statement[[#This Row],[Aop]],VLOOKUP(G$2&amp;Income_Statement[[#This Row],[Aop]],Data[],G$1)/Jedinica,"")</f>
        <v>261984</v>
      </c>
      <c r="H68" s="39">
        <f>IF(VLOOKUP(H$2&amp;Income_Statement[[#This Row],[Aop]],Data[],1)=H$2&amp;Income_Statement[[#This Row],[Aop]],VLOOKUP(H$2&amp;Income_Statement[[#This Row],[Aop]],Data[],H$1)/Jedinica,"")</f>
        <v>0</v>
      </c>
      <c r="I68" s="39">
        <f>IF(VLOOKUP(I$2&amp;Income_Statement[[#This Row],[Aop]],Data[],1)=I$2&amp;Income_Statement[[#This Row],[Aop]],VLOOKUP(I$2&amp;Income_Statement[[#This Row],[Aop]],Data[],I$1)/Jedinica,"")</f>
        <v>113652</v>
      </c>
      <c r="J68" s="39">
        <f>IF(VLOOKUP(J$2&amp;Income_Statement[[#This Row],[Aop]],Data[],1)=J$2&amp;Income_Statement[[#This Row],[Aop]],VLOOKUP(J$2&amp;Income_Statement[[#This Row],[Aop]],Data[],J$1)/Jedinica,"")</f>
        <v>28122</v>
      </c>
      <c r="K68" s="39" t="str">
        <f>IF(VLOOKUP(K$2&amp;Income_Statement[[#This Row],[Aop]],Data[],1)=K$2&amp;Income_Statement[[#This Row],[Aop]],VLOOKUP(K$2&amp;Income_Statement[[#This Row],[Aop]],Data[],K$1)/Jedinica,"")</f>
        <v/>
      </c>
      <c r="L68" s="39" t="str">
        <f>IF(VLOOKUP(L$2&amp;Income_Statement[[#This Row],[Aop]],Data[],1)=L$2&amp;Income_Statement[[#This Row],[Aop]],VLOOKUP(L$2&amp;Income_Statement[[#This Row],[Aop]],Data[],L$1)/Jedinica,"")</f>
        <v/>
      </c>
      <c r="M68" s="39">
        <f>IF(VLOOKUP(M$2&amp;Income_Statement[[#This Row],[Aop]],Data[],1)=M$2&amp;Income_Statement[[#This Row],[Aop]],VLOOKUP(M$2&amp;Income_Statement[[#This Row],[Aop]],Data[],M$1)/Jedinica,"")</f>
        <v>402687</v>
      </c>
      <c r="N68" s="39">
        <f>IF(VLOOKUP(N$2&amp;Income_Statement[[#This Row],[Aop]],Data[],1)=N$2&amp;Income_Statement[[#This Row],[Aop]],VLOOKUP(N$2&amp;Income_Statement[[#This Row],[Aop]],Data[],N$1)/Jedinica,"")</f>
        <v>582158</v>
      </c>
      <c r="O68" s="39" t="str">
        <f>IF(VLOOKUP(O$2&amp;Income_Statement[[#This Row],[Aop]],Data[],1)=O$2&amp;Income_Statement[[#This Row],[Aop]],VLOOKUP(O$2&amp;Income_Statement[[#This Row],[Aop]],Data[],O$1)/Jedinica,"")</f>
        <v/>
      </c>
      <c r="P68" s="39" t="str">
        <f>IF(VLOOKUP(P$2&amp;Income_Statement[[#This Row],[Aop]],Data[],1)=P$2&amp;Income_Statement[[#This Row],[Aop]],VLOOKUP(P$2&amp;Income_Statement[[#This Row],[Aop]],Data[],P$1)/Jedinica,"")</f>
        <v/>
      </c>
      <c r="Q68" s="39">
        <f>IF(VLOOKUP(Q$2&amp;Income_Statement[[#This Row],[Aop]],Data[],1)=Q$2&amp;Income_Statement[[#This Row],[Aop]],VLOOKUP(Q$2&amp;Income_Statement[[#This Row],[Aop]],Data[],Q$1)/Jedinica,"")</f>
        <v>99106</v>
      </c>
      <c r="R68" s="39">
        <f>IF(VLOOKUP(R$2&amp;Income_Statement[[#This Row],[Aop]],Data[],1)=R$2&amp;Income_Statement[[#This Row],[Aop]],VLOOKUP(R$2&amp;Income_Statement[[#This Row],[Aop]],Data[],R$1)/Jedinica,"")</f>
        <v>202920</v>
      </c>
      <c r="S68" s="39">
        <f>IF(VLOOKUP(S$2&amp;Income_Statement[[#This Row],[Aop]],Data[],1)=S$2&amp;Income_Statement[[#This Row],[Aop]],VLOOKUP(S$2&amp;Income_Statement[[#This Row],[Aop]],Data[],S$1)/Jedinica,"")</f>
        <v>2235286</v>
      </c>
      <c r="T68" s="39">
        <f>IF(VLOOKUP(T$2&amp;Income_Statement[[#This Row],[Aop]],Data[],1)=T$2&amp;Income_Statement[[#This Row],[Aop]],VLOOKUP(T$2&amp;Income_Statement[[#This Row],[Aop]],Data[],T$1)/Jedinica,"")</f>
        <v>306560</v>
      </c>
    </row>
    <row r="69" spans="1:20" ht="12.75" customHeight="1" x14ac:dyDescent="0.2">
      <c r="A69" s="74">
        <v>169</v>
      </c>
      <c r="B69" s="74">
        <v>3</v>
      </c>
      <c r="C69" s="78" t="str">
        <f>VLOOKUP(Income_Statement[[#This Row],[No]],AOP_Balance,3,0)</f>
        <v>260</v>
      </c>
      <c r="D69" s="52" t="str">
        <f>VLOOKUP(Income_Statement[[#This Row],[No]],AOP_Balance,7,0)</f>
        <v xml:space="preserve">      b) Dobici od prodaje osnovnih sredstava i nematerijalnih ulaganja</v>
      </c>
      <c r="E69" s="39" t="str">
        <f>IF(VLOOKUP(E$2&amp;Income_Statement[[#This Row],[Aop]],Data[],1)=E$2&amp;Income_Statement[[#This Row],[Aop]],VLOOKUP(E$2&amp;Income_Statement[[#This Row],[Aop]],Data[],E$1)/Jedinica,"")</f>
        <v/>
      </c>
      <c r="F69" s="39" t="str">
        <f>IF(VLOOKUP(F$2&amp;Income_Statement[[#This Row],[Aop]],Data[],1)=F$2&amp;Income_Statement[[#This Row],[Aop]],VLOOKUP(F$2&amp;Income_Statement[[#This Row],[Aop]],Data[],F$1)/Jedinica,"")</f>
        <v/>
      </c>
      <c r="G69" s="39">
        <f>IF(VLOOKUP(G$2&amp;Income_Statement[[#This Row],[Aop]],Data[],1)=G$2&amp;Income_Statement[[#This Row],[Aop]],VLOOKUP(G$2&amp;Income_Statement[[#This Row],[Aop]],Data[],G$1)/Jedinica,"")</f>
        <v>0</v>
      </c>
      <c r="H69" s="39">
        <f>IF(VLOOKUP(H$2&amp;Income_Statement[[#This Row],[Aop]],Data[],1)=H$2&amp;Income_Statement[[#This Row],[Aop]],VLOOKUP(H$2&amp;Income_Statement[[#This Row],[Aop]],Data[],H$1)/Jedinica,"")</f>
        <v>19927</v>
      </c>
      <c r="I69" s="39" t="str">
        <f>IF(VLOOKUP(I$2&amp;Income_Statement[[#This Row],[Aop]],Data[],1)=I$2&amp;Income_Statement[[#This Row],[Aop]],VLOOKUP(I$2&amp;Income_Statement[[#This Row],[Aop]],Data[],I$1)/Jedinica,"")</f>
        <v/>
      </c>
      <c r="J69" s="39" t="str">
        <f>IF(VLOOKUP(J$2&amp;Income_Statement[[#This Row],[Aop]],Data[],1)=J$2&amp;Income_Statement[[#This Row],[Aop]],VLOOKUP(J$2&amp;Income_Statement[[#This Row],[Aop]],Data[],J$1)/Jedinica,"")</f>
        <v/>
      </c>
      <c r="K69" s="39">
        <f>IF(VLOOKUP(K$2&amp;Income_Statement[[#This Row],[Aop]],Data[],1)=K$2&amp;Income_Statement[[#This Row],[Aop]],VLOOKUP(K$2&amp;Income_Statement[[#This Row],[Aop]],Data[],K$1)/Jedinica,"")</f>
        <v>17999</v>
      </c>
      <c r="L69" s="39">
        <f>IF(VLOOKUP(L$2&amp;Income_Statement[[#This Row],[Aop]],Data[],1)=L$2&amp;Income_Statement[[#This Row],[Aop]],VLOOKUP(L$2&amp;Income_Statement[[#This Row],[Aop]],Data[],L$1)/Jedinica,"")</f>
        <v>2931</v>
      </c>
      <c r="M69" s="39">
        <f>IF(VLOOKUP(M$2&amp;Income_Statement[[#This Row],[Aop]],Data[],1)=M$2&amp;Income_Statement[[#This Row],[Aop]],VLOOKUP(M$2&amp;Income_Statement[[#This Row],[Aop]],Data[],M$1)/Jedinica,"")</f>
        <v>14440</v>
      </c>
      <c r="N69" s="39">
        <f>IF(VLOOKUP(N$2&amp;Income_Statement[[#This Row],[Aop]],Data[],1)=N$2&amp;Income_Statement[[#This Row],[Aop]],VLOOKUP(N$2&amp;Income_Statement[[#This Row],[Aop]],Data[],N$1)/Jedinica,"")</f>
        <v>39045</v>
      </c>
      <c r="O69" s="39">
        <f>IF(VLOOKUP(O$2&amp;Income_Statement[[#This Row],[Aop]],Data[],1)=O$2&amp;Income_Statement[[#This Row],[Aop]],VLOOKUP(O$2&amp;Income_Statement[[#This Row],[Aop]],Data[],O$1)/Jedinica,"")</f>
        <v>17999</v>
      </c>
      <c r="P69" s="39">
        <f>IF(VLOOKUP(P$2&amp;Income_Statement[[#This Row],[Aop]],Data[],1)=P$2&amp;Income_Statement[[#This Row],[Aop]],VLOOKUP(P$2&amp;Income_Statement[[#This Row],[Aop]],Data[],P$1)/Jedinica,"")</f>
        <v>2931</v>
      </c>
      <c r="Q69" s="39" t="str">
        <f>IF(VLOOKUP(Q$2&amp;Income_Statement[[#This Row],[Aop]],Data[],1)=Q$2&amp;Income_Statement[[#This Row],[Aop]],VLOOKUP(Q$2&amp;Income_Statement[[#This Row],[Aop]],Data[],Q$1)/Jedinica,"")</f>
        <v/>
      </c>
      <c r="R69" s="39" t="str">
        <f>IF(VLOOKUP(R$2&amp;Income_Statement[[#This Row],[Aop]],Data[],1)=R$2&amp;Income_Statement[[#This Row],[Aop]],VLOOKUP(R$2&amp;Income_Statement[[#This Row],[Aop]],Data[],R$1)/Jedinica,"")</f>
        <v/>
      </c>
      <c r="S69" s="39">
        <f>IF(VLOOKUP(S$2&amp;Income_Statement[[#This Row],[Aop]],Data[],1)=S$2&amp;Income_Statement[[#This Row],[Aop]],VLOOKUP(S$2&amp;Income_Statement[[#This Row],[Aop]],Data[],S$1)/Jedinica,"")</f>
        <v>60312</v>
      </c>
      <c r="T69" s="39">
        <f>IF(VLOOKUP(T$2&amp;Income_Statement[[#This Row],[Aop]],Data[],1)=T$2&amp;Income_Statement[[#This Row],[Aop]],VLOOKUP(T$2&amp;Income_Statement[[#This Row],[Aop]],Data[],T$1)/Jedinica,"")</f>
        <v>17273</v>
      </c>
    </row>
    <row r="70" spans="1:20" ht="12.75" customHeight="1" x14ac:dyDescent="0.2">
      <c r="A70" s="74">
        <v>170</v>
      </c>
      <c r="B70" s="74">
        <v>3</v>
      </c>
      <c r="C70" s="78" t="str">
        <f>VLOOKUP(Income_Statement[[#This Row],[No]],AOP_Balance,3,0)</f>
        <v>261</v>
      </c>
      <c r="D70" s="52" t="str">
        <f>VLOOKUP(Income_Statement[[#This Row],[No]],AOP_Balance,7,0)</f>
        <v xml:space="preserve">      v) Prihodi od smanjenja obaveza</v>
      </c>
      <c r="E70" s="39" t="str">
        <f>IF(VLOOKUP(E$2&amp;Income_Statement[[#This Row],[Aop]],Data[],1)=E$2&amp;Income_Statement[[#This Row],[Aop]],VLOOKUP(E$2&amp;Income_Statement[[#This Row],[Aop]],Data[],E$1)/Jedinica,"")</f>
        <v/>
      </c>
      <c r="F70" s="39" t="str">
        <f>IF(VLOOKUP(F$2&amp;Income_Statement[[#This Row],[Aop]],Data[],1)=F$2&amp;Income_Statement[[#This Row],[Aop]],VLOOKUP(F$2&amp;Income_Statement[[#This Row],[Aop]],Data[],F$1)/Jedinica,"")</f>
        <v/>
      </c>
      <c r="G70" s="39">
        <f>IF(VLOOKUP(G$2&amp;Income_Statement[[#This Row],[Aop]],Data[],1)=G$2&amp;Income_Statement[[#This Row],[Aop]],VLOOKUP(G$2&amp;Income_Statement[[#This Row],[Aop]],Data[],G$1)/Jedinica,"")</f>
        <v>10410</v>
      </c>
      <c r="H70" s="39">
        <f>IF(VLOOKUP(H$2&amp;Income_Statement[[#This Row],[Aop]],Data[],1)=H$2&amp;Income_Statement[[#This Row],[Aop]],VLOOKUP(H$2&amp;Income_Statement[[#This Row],[Aop]],Data[],H$1)/Jedinica,"")</f>
        <v>2642</v>
      </c>
      <c r="I70" s="39">
        <f>IF(VLOOKUP(I$2&amp;Income_Statement[[#This Row],[Aop]],Data[],1)=I$2&amp;Income_Statement[[#This Row],[Aop]],VLOOKUP(I$2&amp;Income_Statement[[#This Row],[Aop]],Data[],I$1)/Jedinica,"")</f>
        <v>13054</v>
      </c>
      <c r="J70" s="39">
        <f>IF(VLOOKUP(J$2&amp;Income_Statement[[#This Row],[Aop]],Data[],1)=J$2&amp;Income_Statement[[#This Row],[Aop]],VLOOKUP(J$2&amp;Income_Statement[[#This Row],[Aop]],Data[],J$1)/Jedinica,"")</f>
        <v>688</v>
      </c>
      <c r="K70" s="39" t="str">
        <f>IF(VLOOKUP(K$2&amp;Income_Statement[[#This Row],[Aop]],Data[],1)=K$2&amp;Income_Statement[[#This Row],[Aop]],VLOOKUP(K$2&amp;Income_Statement[[#This Row],[Aop]],Data[],K$1)/Jedinica,"")</f>
        <v/>
      </c>
      <c r="L70" s="39" t="str">
        <f>IF(VLOOKUP(L$2&amp;Income_Statement[[#This Row],[Aop]],Data[],1)=L$2&amp;Income_Statement[[#This Row],[Aop]],VLOOKUP(L$2&amp;Income_Statement[[#This Row],[Aop]],Data[],L$1)/Jedinica,"")</f>
        <v/>
      </c>
      <c r="M70" s="39">
        <f>IF(VLOOKUP(M$2&amp;Income_Statement[[#This Row],[Aop]],Data[],1)=M$2&amp;Income_Statement[[#This Row],[Aop]],VLOOKUP(M$2&amp;Income_Statement[[#This Row],[Aop]],Data[],M$1)/Jedinica,"")</f>
        <v>22260</v>
      </c>
      <c r="N70" s="39">
        <f>IF(VLOOKUP(N$2&amp;Income_Statement[[#This Row],[Aop]],Data[],1)=N$2&amp;Income_Statement[[#This Row],[Aop]],VLOOKUP(N$2&amp;Income_Statement[[#This Row],[Aop]],Data[],N$1)/Jedinica,"")</f>
        <v>194525</v>
      </c>
      <c r="O70" s="39" t="str">
        <f>IF(VLOOKUP(O$2&amp;Income_Statement[[#This Row],[Aop]],Data[],1)=O$2&amp;Income_Statement[[#This Row],[Aop]],VLOOKUP(O$2&amp;Income_Statement[[#This Row],[Aop]],Data[],O$1)/Jedinica,"")</f>
        <v/>
      </c>
      <c r="P70" s="39" t="str">
        <f>IF(VLOOKUP(P$2&amp;Income_Statement[[#This Row],[Aop]],Data[],1)=P$2&amp;Income_Statement[[#This Row],[Aop]],VLOOKUP(P$2&amp;Income_Statement[[#This Row],[Aop]],Data[],P$1)/Jedinica,"")</f>
        <v/>
      </c>
      <c r="Q70" s="39" t="str">
        <f>IF(VLOOKUP(Q$2&amp;Income_Statement[[#This Row],[Aop]],Data[],1)=Q$2&amp;Income_Statement[[#This Row],[Aop]],VLOOKUP(Q$2&amp;Income_Statement[[#This Row],[Aop]],Data[],Q$1)/Jedinica,"")</f>
        <v/>
      </c>
      <c r="R70" s="39" t="str">
        <f>IF(VLOOKUP(R$2&amp;Income_Statement[[#This Row],[Aop]],Data[],1)=R$2&amp;Income_Statement[[#This Row],[Aop]],VLOOKUP(R$2&amp;Income_Statement[[#This Row],[Aop]],Data[],R$1)/Jedinica,"")</f>
        <v/>
      </c>
      <c r="S70" s="39">
        <f>IF(VLOOKUP(S$2&amp;Income_Statement[[#This Row],[Aop]],Data[],1)=S$2&amp;Income_Statement[[#This Row],[Aop]],VLOOKUP(S$2&amp;Income_Statement[[#This Row],[Aop]],Data[],S$1)/Jedinica,"")</f>
        <v>83710</v>
      </c>
      <c r="T70" s="39">
        <f>IF(VLOOKUP(T$2&amp;Income_Statement[[#This Row],[Aop]],Data[],1)=T$2&amp;Income_Statement[[#This Row],[Aop]],VLOOKUP(T$2&amp;Income_Statement[[#This Row],[Aop]],Data[],T$1)/Jedinica,"")</f>
        <v>123157</v>
      </c>
    </row>
    <row r="71" spans="1:20" ht="12.75" customHeight="1" x14ac:dyDescent="0.2">
      <c r="A71" s="74">
        <v>171</v>
      </c>
      <c r="B71" s="74">
        <v>3</v>
      </c>
      <c r="C71" s="78" t="str">
        <f>VLOOKUP(Income_Statement[[#This Row],[No]],AOP_Balance,3,0)</f>
        <v>262</v>
      </c>
      <c r="D71" s="52" t="str">
        <f>VLOOKUP(Income_Statement[[#This Row],[No]],AOP_Balance,7,0)</f>
        <v xml:space="preserve">      g) Prihodi od dividendi i učešća</v>
      </c>
      <c r="E71" s="39">
        <f>IF(VLOOKUP(E$2&amp;Income_Statement[[#This Row],[Aop]],Data[],1)=E$2&amp;Income_Statement[[#This Row],[Aop]],VLOOKUP(E$2&amp;Income_Statement[[#This Row],[Aop]],Data[],E$1)/Jedinica,"")</f>
        <v>25512</v>
      </c>
      <c r="F71" s="39">
        <f>IF(VLOOKUP(F$2&amp;Income_Statement[[#This Row],[Aop]],Data[],1)=F$2&amp;Income_Statement[[#This Row],[Aop]],VLOOKUP(F$2&amp;Income_Statement[[#This Row],[Aop]],Data[],F$1)/Jedinica,"")</f>
        <v>13079</v>
      </c>
      <c r="G71" s="39">
        <f>IF(VLOOKUP(G$2&amp;Income_Statement[[#This Row],[Aop]],Data[],1)=G$2&amp;Income_Statement[[#This Row],[Aop]],VLOOKUP(G$2&amp;Income_Statement[[#This Row],[Aop]],Data[],G$1)/Jedinica,"")</f>
        <v>4139</v>
      </c>
      <c r="H71" s="39">
        <f>IF(VLOOKUP(H$2&amp;Income_Statement[[#This Row],[Aop]],Data[],1)=H$2&amp;Income_Statement[[#This Row],[Aop]],VLOOKUP(H$2&amp;Income_Statement[[#This Row],[Aop]],Data[],H$1)/Jedinica,"")</f>
        <v>158135</v>
      </c>
      <c r="I71" s="39" t="str">
        <f>IF(VLOOKUP(I$2&amp;Income_Statement[[#This Row],[Aop]],Data[],1)=I$2&amp;Income_Statement[[#This Row],[Aop]],VLOOKUP(I$2&amp;Income_Statement[[#This Row],[Aop]],Data[],I$1)/Jedinica,"")</f>
        <v/>
      </c>
      <c r="J71" s="39" t="str">
        <f>IF(VLOOKUP(J$2&amp;Income_Statement[[#This Row],[Aop]],Data[],1)=J$2&amp;Income_Statement[[#This Row],[Aop]],VLOOKUP(J$2&amp;Income_Statement[[#This Row],[Aop]],Data[],J$1)/Jedinica,"")</f>
        <v/>
      </c>
      <c r="K71" s="39" t="str">
        <f>IF(VLOOKUP(K$2&amp;Income_Statement[[#This Row],[Aop]],Data[],1)=K$2&amp;Income_Statement[[#This Row],[Aop]],VLOOKUP(K$2&amp;Income_Statement[[#This Row],[Aop]],Data[],K$1)/Jedinica,"")</f>
        <v/>
      </c>
      <c r="L71" s="39" t="str">
        <f>IF(VLOOKUP(L$2&amp;Income_Statement[[#This Row],[Aop]],Data[],1)=L$2&amp;Income_Statement[[#This Row],[Aop]],VLOOKUP(L$2&amp;Income_Statement[[#This Row],[Aop]],Data[],L$1)/Jedinica,"")</f>
        <v/>
      </c>
      <c r="M71" s="39">
        <f>IF(VLOOKUP(M$2&amp;Income_Statement[[#This Row],[Aop]],Data[],1)=M$2&amp;Income_Statement[[#This Row],[Aop]],VLOOKUP(M$2&amp;Income_Statement[[#This Row],[Aop]],Data[],M$1)/Jedinica,"")</f>
        <v>29702</v>
      </c>
      <c r="N71" s="39">
        <f>IF(VLOOKUP(N$2&amp;Income_Statement[[#This Row],[Aop]],Data[],1)=N$2&amp;Income_Statement[[#This Row],[Aop]],VLOOKUP(N$2&amp;Income_Statement[[#This Row],[Aop]],Data[],N$1)/Jedinica,"")</f>
        <v>580</v>
      </c>
      <c r="O71" s="39" t="str">
        <f>IF(VLOOKUP(O$2&amp;Income_Statement[[#This Row],[Aop]],Data[],1)=O$2&amp;Income_Statement[[#This Row],[Aop]],VLOOKUP(O$2&amp;Income_Statement[[#This Row],[Aop]],Data[],O$1)/Jedinica,"")</f>
        <v/>
      </c>
      <c r="P71" s="39" t="str">
        <f>IF(VLOOKUP(P$2&amp;Income_Statement[[#This Row],[Aop]],Data[],1)=P$2&amp;Income_Statement[[#This Row],[Aop]],VLOOKUP(P$2&amp;Income_Statement[[#This Row],[Aop]],Data[],P$1)/Jedinica,"")</f>
        <v/>
      </c>
      <c r="Q71" s="39">
        <f>IF(VLOOKUP(Q$2&amp;Income_Statement[[#This Row],[Aop]],Data[],1)=Q$2&amp;Income_Statement[[#This Row],[Aop]],VLOOKUP(Q$2&amp;Income_Statement[[#This Row],[Aop]],Data[],Q$1)/Jedinica,"")</f>
        <v>45555</v>
      </c>
      <c r="R71" s="39">
        <f>IF(VLOOKUP(R$2&amp;Income_Statement[[#This Row],[Aop]],Data[],1)=R$2&amp;Income_Statement[[#This Row],[Aop]],VLOOKUP(R$2&amp;Income_Statement[[#This Row],[Aop]],Data[],R$1)/Jedinica,"")</f>
        <v>5065</v>
      </c>
      <c r="S71" s="39">
        <f>IF(VLOOKUP(S$2&amp;Income_Statement[[#This Row],[Aop]],Data[],1)=S$2&amp;Income_Statement[[#This Row],[Aop]],VLOOKUP(S$2&amp;Income_Statement[[#This Row],[Aop]],Data[],S$1)/Jedinica,"")</f>
        <v>38768</v>
      </c>
      <c r="T71" s="39">
        <f>IF(VLOOKUP(T$2&amp;Income_Statement[[#This Row],[Aop]],Data[],1)=T$2&amp;Income_Statement[[#This Row],[Aop]],VLOOKUP(T$2&amp;Income_Statement[[#This Row],[Aop]],Data[],T$1)/Jedinica,"")</f>
        <v>1127</v>
      </c>
    </row>
    <row r="72" spans="1:20" ht="12.75" customHeight="1" x14ac:dyDescent="0.2">
      <c r="A72" s="74">
        <v>172</v>
      </c>
      <c r="B72" s="74">
        <v>3</v>
      </c>
      <c r="C72" s="78" t="str">
        <f>VLOOKUP(Income_Statement[[#This Row],[No]],AOP_Balance,3,0)</f>
        <v>263</v>
      </c>
      <c r="D72" s="52" t="str">
        <f>VLOOKUP(Income_Statement[[#This Row],[No]],AOP_Balance,7,0)</f>
        <v xml:space="preserve">      d) Viškovi</v>
      </c>
      <c r="E72" s="39" t="str">
        <f>IF(VLOOKUP(E$2&amp;Income_Statement[[#This Row],[Aop]],Data[],1)=E$2&amp;Income_Statement[[#This Row],[Aop]],VLOOKUP(E$2&amp;Income_Statement[[#This Row],[Aop]],Data[],E$1)/Jedinica,"")</f>
        <v/>
      </c>
      <c r="F72" s="39" t="str">
        <f>IF(VLOOKUP(F$2&amp;Income_Statement[[#This Row],[Aop]],Data[],1)=F$2&amp;Income_Statement[[#This Row],[Aop]],VLOOKUP(F$2&amp;Income_Statement[[#This Row],[Aop]],Data[],F$1)/Jedinica,"")</f>
        <v/>
      </c>
      <c r="G72" s="39">
        <f>IF(VLOOKUP(G$2&amp;Income_Statement[[#This Row],[Aop]],Data[],1)=G$2&amp;Income_Statement[[#This Row],[Aop]],VLOOKUP(G$2&amp;Income_Statement[[#This Row],[Aop]],Data[],G$1)/Jedinica,"")</f>
        <v>73</v>
      </c>
      <c r="H72" s="39">
        <f>IF(VLOOKUP(H$2&amp;Income_Statement[[#This Row],[Aop]],Data[],1)=H$2&amp;Income_Statement[[#This Row],[Aop]],VLOOKUP(H$2&amp;Income_Statement[[#This Row],[Aop]],Data[],H$1)/Jedinica,"")</f>
        <v>291</v>
      </c>
      <c r="I72" s="39">
        <f>IF(VLOOKUP(I$2&amp;Income_Statement[[#This Row],[Aop]],Data[],1)=I$2&amp;Income_Statement[[#This Row],[Aop]],VLOOKUP(I$2&amp;Income_Statement[[#This Row],[Aop]],Data[],I$1)/Jedinica,"")</f>
        <v>205</v>
      </c>
      <c r="J72" s="39">
        <f>IF(VLOOKUP(J$2&amp;Income_Statement[[#This Row],[Aop]],Data[],1)=J$2&amp;Income_Statement[[#This Row],[Aop]],VLOOKUP(J$2&amp;Income_Statement[[#This Row],[Aop]],Data[],J$1)/Jedinica,"")</f>
        <v>0</v>
      </c>
      <c r="K72" s="39" t="str">
        <f>IF(VLOOKUP(K$2&amp;Income_Statement[[#This Row],[Aop]],Data[],1)=K$2&amp;Income_Statement[[#This Row],[Aop]],VLOOKUP(K$2&amp;Income_Statement[[#This Row],[Aop]],Data[],K$1)/Jedinica,"")</f>
        <v/>
      </c>
      <c r="L72" s="39" t="str">
        <f>IF(VLOOKUP(L$2&amp;Income_Statement[[#This Row],[Aop]],Data[],1)=L$2&amp;Income_Statement[[#This Row],[Aop]],VLOOKUP(L$2&amp;Income_Statement[[#This Row],[Aop]],Data[],L$1)/Jedinica,"")</f>
        <v/>
      </c>
      <c r="M72" s="39">
        <f>IF(VLOOKUP(M$2&amp;Income_Statement[[#This Row],[Aop]],Data[],1)=M$2&amp;Income_Statement[[#This Row],[Aop]],VLOOKUP(M$2&amp;Income_Statement[[#This Row],[Aop]],Data[],M$1)/Jedinica,"")</f>
        <v>0</v>
      </c>
      <c r="N72" s="39">
        <f>IF(VLOOKUP(N$2&amp;Income_Statement[[#This Row],[Aop]],Data[],1)=N$2&amp;Income_Statement[[#This Row],[Aop]],VLOOKUP(N$2&amp;Income_Statement[[#This Row],[Aop]],Data[],N$1)/Jedinica,"")</f>
        <v>46</v>
      </c>
      <c r="O72" s="39" t="str">
        <f>IF(VLOOKUP(O$2&amp;Income_Statement[[#This Row],[Aop]],Data[],1)=O$2&amp;Income_Statement[[#This Row],[Aop]],VLOOKUP(O$2&amp;Income_Statement[[#This Row],[Aop]],Data[],O$1)/Jedinica,"")</f>
        <v/>
      </c>
      <c r="P72" s="39" t="str">
        <f>IF(VLOOKUP(P$2&amp;Income_Statement[[#This Row],[Aop]],Data[],1)=P$2&amp;Income_Statement[[#This Row],[Aop]],VLOOKUP(P$2&amp;Income_Statement[[#This Row],[Aop]],Data[],P$1)/Jedinica,"")</f>
        <v/>
      </c>
      <c r="Q72" s="39" t="str">
        <f>IF(VLOOKUP(Q$2&amp;Income_Statement[[#This Row],[Aop]],Data[],1)=Q$2&amp;Income_Statement[[#This Row],[Aop]],VLOOKUP(Q$2&amp;Income_Statement[[#This Row],[Aop]],Data[],Q$1)/Jedinica,"")</f>
        <v/>
      </c>
      <c r="R72" s="39" t="str">
        <f>IF(VLOOKUP(R$2&amp;Income_Statement[[#This Row],[Aop]],Data[],1)=R$2&amp;Income_Statement[[#This Row],[Aop]],VLOOKUP(R$2&amp;Income_Statement[[#This Row],[Aop]],Data[],R$1)/Jedinica,"")</f>
        <v/>
      </c>
      <c r="S72" s="39">
        <f>IF(VLOOKUP(S$2&amp;Income_Statement[[#This Row],[Aop]],Data[],1)=S$2&amp;Income_Statement[[#This Row],[Aop]],VLOOKUP(S$2&amp;Income_Statement[[#This Row],[Aop]],Data[],S$1)/Jedinica,"")</f>
        <v>8490</v>
      </c>
      <c r="T72" s="39">
        <f>IF(VLOOKUP(T$2&amp;Income_Statement[[#This Row],[Aop]],Data[],1)=T$2&amp;Income_Statement[[#This Row],[Aop]],VLOOKUP(T$2&amp;Income_Statement[[#This Row],[Aop]],Data[],T$1)/Jedinica,"")</f>
        <v>0</v>
      </c>
    </row>
    <row r="73" spans="1:20" ht="12.75" customHeight="1" x14ac:dyDescent="0.2">
      <c r="A73" s="74">
        <v>173</v>
      </c>
      <c r="B73" s="74">
        <v>3</v>
      </c>
      <c r="C73" s="78" t="str">
        <f>VLOOKUP(Income_Statement[[#This Row],[No]],AOP_Balance,3,0)</f>
        <v>264</v>
      </c>
      <c r="D73" s="52" t="str">
        <f>VLOOKUP(Income_Statement[[#This Row],[No]],AOP_Balance,7,0)</f>
        <v xml:space="preserve">      đ) Ostali prihodi</v>
      </c>
      <c r="E73" s="39">
        <f>IF(VLOOKUP(E$2&amp;Income_Statement[[#This Row],[Aop]],Data[],1)=E$2&amp;Income_Statement[[#This Row],[Aop]],VLOOKUP(E$2&amp;Income_Statement[[#This Row],[Aop]],Data[],E$1)/Jedinica,"")</f>
        <v>112965</v>
      </c>
      <c r="F73" s="39">
        <f>IF(VLOOKUP(F$2&amp;Income_Statement[[#This Row],[Aop]],Data[],1)=F$2&amp;Income_Statement[[#This Row],[Aop]],VLOOKUP(F$2&amp;Income_Statement[[#This Row],[Aop]],Data[],F$1)/Jedinica,"")</f>
        <v>65127</v>
      </c>
      <c r="G73" s="39">
        <f>IF(VLOOKUP(G$2&amp;Income_Statement[[#This Row],[Aop]],Data[],1)=G$2&amp;Income_Statement[[#This Row],[Aop]],VLOOKUP(G$2&amp;Income_Statement[[#This Row],[Aop]],Data[],G$1)/Jedinica,"")</f>
        <v>115171</v>
      </c>
      <c r="H73" s="39">
        <f>IF(VLOOKUP(H$2&amp;Income_Statement[[#This Row],[Aop]],Data[],1)=H$2&amp;Income_Statement[[#This Row],[Aop]],VLOOKUP(H$2&amp;Income_Statement[[#This Row],[Aop]],Data[],H$1)/Jedinica,"")</f>
        <v>127202</v>
      </c>
      <c r="I73" s="39">
        <f>IF(VLOOKUP(I$2&amp;Income_Statement[[#This Row],[Aop]],Data[],1)=I$2&amp;Income_Statement[[#This Row],[Aop]],VLOOKUP(I$2&amp;Income_Statement[[#This Row],[Aop]],Data[],I$1)/Jedinica,"")</f>
        <v>29081</v>
      </c>
      <c r="J73" s="39">
        <f>IF(VLOOKUP(J$2&amp;Income_Statement[[#This Row],[Aop]],Data[],1)=J$2&amp;Income_Statement[[#This Row],[Aop]],VLOOKUP(J$2&amp;Income_Statement[[#This Row],[Aop]],Data[],J$1)/Jedinica,"")</f>
        <v>21887</v>
      </c>
      <c r="K73" s="39">
        <f>IF(VLOOKUP(K$2&amp;Income_Statement[[#This Row],[Aop]],Data[],1)=K$2&amp;Income_Statement[[#This Row],[Aop]],VLOOKUP(K$2&amp;Income_Statement[[#This Row],[Aop]],Data[],K$1)/Jedinica,"")</f>
        <v>2482</v>
      </c>
      <c r="L73" s="39">
        <f>IF(VLOOKUP(L$2&amp;Income_Statement[[#This Row],[Aop]],Data[],1)=L$2&amp;Income_Statement[[#This Row],[Aop]],VLOOKUP(L$2&amp;Income_Statement[[#This Row],[Aop]],Data[],L$1)/Jedinica,"")</f>
        <v>8292</v>
      </c>
      <c r="M73" s="39">
        <f>IF(VLOOKUP(M$2&amp;Income_Statement[[#This Row],[Aop]],Data[],1)=M$2&amp;Income_Statement[[#This Row],[Aop]],VLOOKUP(M$2&amp;Income_Statement[[#This Row],[Aop]],Data[],M$1)/Jedinica,"")</f>
        <v>235833</v>
      </c>
      <c r="N73" s="39">
        <f>IF(VLOOKUP(N$2&amp;Income_Statement[[#This Row],[Aop]],Data[],1)=N$2&amp;Income_Statement[[#This Row],[Aop]],VLOOKUP(N$2&amp;Income_Statement[[#This Row],[Aop]],Data[],N$1)/Jedinica,"")</f>
        <v>148935</v>
      </c>
      <c r="O73" s="39">
        <f>IF(VLOOKUP(O$2&amp;Income_Statement[[#This Row],[Aop]],Data[],1)=O$2&amp;Income_Statement[[#This Row],[Aop]],VLOOKUP(O$2&amp;Income_Statement[[#This Row],[Aop]],Data[],O$1)/Jedinica,"")</f>
        <v>2482</v>
      </c>
      <c r="P73" s="39">
        <f>IF(VLOOKUP(P$2&amp;Income_Statement[[#This Row],[Aop]],Data[],1)=P$2&amp;Income_Statement[[#This Row],[Aop]],VLOOKUP(P$2&amp;Income_Statement[[#This Row],[Aop]],Data[],P$1)/Jedinica,"")</f>
        <v>8292</v>
      </c>
      <c r="Q73" s="39">
        <f>IF(VLOOKUP(Q$2&amp;Income_Statement[[#This Row],[Aop]],Data[],1)=Q$2&amp;Income_Statement[[#This Row],[Aop]],VLOOKUP(Q$2&amp;Income_Statement[[#This Row],[Aop]],Data[],Q$1)/Jedinica,"")</f>
        <v>136638</v>
      </c>
      <c r="R73" s="39">
        <f>IF(VLOOKUP(R$2&amp;Income_Statement[[#This Row],[Aop]],Data[],1)=R$2&amp;Income_Statement[[#This Row],[Aop]],VLOOKUP(R$2&amp;Income_Statement[[#This Row],[Aop]],Data[],R$1)/Jedinica,"")</f>
        <v>131424</v>
      </c>
      <c r="S73" s="39">
        <f>IF(VLOOKUP(S$2&amp;Income_Statement[[#This Row],[Aop]],Data[],1)=S$2&amp;Income_Statement[[#This Row],[Aop]],VLOOKUP(S$2&amp;Income_Statement[[#This Row],[Aop]],Data[],S$1)/Jedinica,"")</f>
        <v>8693</v>
      </c>
      <c r="T73" s="39">
        <f>IF(VLOOKUP(T$2&amp;Income_Statement[[#This Row],[Aop]],Data[],1)=T$2&amp;Income_Statement[[#This Row],[Aop]],VLOOKUP(T$2&amp;Income_Statement[[#This Row],[Aop]],Data[],T$1)/Jedinica,"")</f>
        <v>22189</v>
      </c>
    </row>
    <row r="74" spans="1:20" ht="12.75" customHeight="1" x14ac:dyDescent="0.2">
      <c r="A74" s="74">
        <v>174</v>
      </c>
      <c r="B74" s="74">
        <v>3</v>
      </c>
      <c r="C74" s="78" t="str">
        <f>VLOOKUP(Income_Statement[[#This Row],[No]],AOP_Balance,3,0)</f>
        <v>265</v>
      </c>
      <c r="D74" s="52" t="str">
        <f>VLOOKUP(Income_Statement[[#This Row],[No]],AOP_Balance,7,0)</f>
        <v xml:space="preserve">      e) Dobici od obustavljenog poslovanja</v>
      </c>
      <c r="E74" s="39" t="str">
        <f>IF(VLOOKUP(E$2&amp;Income_Statement[[#This Row],[Aop]],Data[],1)=E$2&amp;Income_Statement[[#This Row],[Aop]],VLOOKUP(E$2&amp;Income_Statement[[#This Row],[Aop]],Data[],E$1)/Jedinica,"")</f>
        <v/>
      </c>
      <c r="F74" s="39" t="str">
        <f>IF(VLOOKUP(F$2&amp;Income_Statement[[#This Row],[Aop]],Data[],1)=F$2&amp;Income_Statement[[#This Row],[Aop]],VLOOKUP(F$2&amp;Income_Statement[[#This Row],[Aop]],Data[],F$1)/Jedinica,"")</f>
        <v/>
      </c>
      <c r="G74" s="39">
        <f>IF(VLOOKUP(G$2&amp;Income_Statement[[#This Row],[Aop]],Data[],1)=G$2&amp;Income_Statement[[#This Row],[Aop]],VLOOKUP(G$2&amp;Income_Statement[[#This Row],[Aop]],Data[],G$1)/Jedinica,"")</f>
        <v>14505</v>
      </c>
      <c r="H74" s="39">
        <f>IF(VLOOKUP(H$2&amp;Income_Statement[[#This Row],[Aop]],Data[],1)=H$2&amp;Income_Statement[[#This Row],[Aop]],VLOOKUP(H$2&amp;Income_Statement[[#This Row],[Aop]],Data[],H$1)/Jedinica,"")</f>
        <v>87535</v>
      </c>
      <c r="I74" s="39" t="str">
        <f>IF(VLOOKUP(I$2&amp;Income_Statement[[#This Row],[Aop]],Data[],1)=I$2&amp;Income_Statement[[#This Row],[Aop]],VLOOKUP(I$2&amp;Income_Statement[[#This Row],[Aop]],Data[],I$1)/Jedinica,"")</f>
        <v/>
      </c>
      <c r="J74" s="39" t="str">
        <f>IF(VLOOKUP(J$2&amp;Income_Statement[[#This Row],[Aop]],Data[],1)=J$2&amp;Income_Statement[[#This Row],[Aop]],VLOOKUP(J$2&amp;Income_Statement[[#This Row],[Aop]],Data[],J$1)/Jedinica,"")</f>
        <v/>
      </c>
      <c r="K74" s="39" t="str">
        <f>IF(VLOOKUP(K$2&amp;Income_Statement[[#This Row],[Aop]],Data[],1)=K$2&amp;Income_Statement[[#This Row],[Aop]],VLOOKUP(K$2&amp;Income_Statement[[#This Row],[Aop]],Data[],K$1)/Jedinica,"")</f>
        <v/>
      </c>
      <c r="L74" s="39" t="str">
        <f>IF(VLOOKUP(L$2&amp;Income_Statement[[#This Row],[Aop]],Data[],1)=L$2&amp;Income_Statement[[#This Row],[Aop]],VLOOKUP(L$2&amp;Income_Statement[[#This Row],[Aop]],Data[],L$1)/Jedinica,"")</f>
        <v/>
      </c>
      <c r="M74" s="39" t="str">
        <f>IF(VLOOKUP(M$2&amp;Income_Statement[[#This Row],[Aop]],Data[],1)=M$2&amp;Income_Statement[[#This Row],[Aop]],VLOOKUP(M$2&amp;Income_Statement[[#This Row],[Aop]],Data[],M$1)/Jedinica,"")</f>
        <v/>
      </c>
      <c r="N74" s="39" t="str">
        <f>IF(VLOOKUP(N$2&amp;Income_Statement[[#This Row],[Aop]],Data[],1)=N$2&amp;Income_Statement[[#This Row],[Aop]],VLOOKUP(N$2&amp;Income_Statement[[#This Row],[Aop]],Data[],N$1)/Jedinica,"")</f>
        <v/>
      </c>
      <c r="O74" s="39" t="str">
        <f>IF(VLOOKUP(O$2&amp;Income_Statement[[#This Row],[Aop]],Data[],1)=O$2&amp;Income_Statement[[#This Row],[Aop]],VLOOKUP(O$2&amp;Income_Statement[[#This Row],[Aop]],Data[],O$1)/Jedinica,"")</f>
        <v/>
      </c>
      <c r="P74" s="39" t="str">
        <f>IF(VLOOKUP(P$2&amp;Income_Statement[[#This Row],[Aop]],Data[],1)=P$2&amp;Income_Statement[[#This Row],[Aop]],VLOOKUP(P$2&amp;Income_Statement[[#This Row],[Aop]],Data[],P$1)/Jedinica,"")</f>
        <v/>
      </c>
      <c r="Q74" s="39" t="str">
        <f>IF(VLOOKUP(Q$2&amp;Income_Statement[[#This Row],[Aop]],Data[],1)=Q$2&amp;Income_Statement[[#This Row],[Aop]],VLOOKUP(Q$2&amp;Income_Statement[[#This Row],[Aop]],Data[],Q$1)/Jedinica,"")</f>
        <v/>
      </c>
      <c r="R74" s="39" t="str">
        <f>IF(VLOOKUP(R$2&amp;Income_Statement[[#This Row],[Aop]],Data[],1)=R$2&amp;Income_Statement[[#This Row],[Aop]],VLOOKUP(R$2&amp;Income_Statement[[#This Row],[Aop]],Data[],R$1)/Jedinica,"")</f>
        <v/>
      </c>
      <c r="S74" s="39" t="str">
        <f>IF(VLOOKUP(S$2&amp;Income_Statement[[#This Row],[Aop]],Data[],1)=S$2&amp;Income_Statement[[#This Row],[Aop]],VLOOKUP(S$2&amp;Income_Statement[[#This Row],[Aop]],Data[],S$1)/Jedinica,"")</f>
        <v/>
      </c>
      <c r="T74" s="39" t="str">
        <f>IF(VLOOKUP(T$2&amp;Income_Statement[[#This Row],[Aop]],Data[],1)=T$2&amp;Income_Statement[[#This Row],[Aop]],VLOOKUP(T$2&amp;Income_Statement[[#This Row],[Aop]],Data[],T$1)/Jedinica,"")</f>
        <v/>
      </c>
    </row>
    <row r="75" spans="1:20" ht="12.75" customHeight="1" x14ac:dyDescent="0.2">
      <c r="A75" s="74">
        <v>175</v>
      </c>
      <c r="B75" s="74">
        <v>2</v>
      </c>
      <c r="C75" s="78" t="str">
        <f>VLOOKUP(Income_Statement[[#This Row],[No]],AOP_Balance,3,0)</f>
        <v>266</v>
      </c>
      <c r="D75" s="53" t="str">
        <f>VLOOKUP(Income_Statement[[#This Row],[No]],AOP_Balance,7,0)</f>
        <v xml:space="preserve">    2. Ostali rashodi (267 do 273)</v>
      </c>
      <c r="E75" s="39">
        <f>IF(VLOOKUP(E$2&amp;Income_Statement[[#This Row],[Aop]],Data[],1)=E$2&amp;Income_Statement[[#This Row],[Aop]],VLOOKUP(E$2&amp;Income_Statement[[#This Row],[Aop]],Data[],E$1)/Jedinica,"")</f>
        <v>172884</v>
      </c>
      <c r="F75" s="39">
        <f>IF(VLOOKUP(F$2&amp;Income_Statement[[#This Row],[Aop]],Data[],1)=F$2&amp;Income_Statement[[#This Row],[Aop]],VLOOKUP(F$2&amp;Income_Statement[[#This Row],[Aop]],Data[],F$1)/Jedinica,"")</f>
        <v>186470</v>
      </c>
      <c r="G75" s="39">
        <f>IF(VLOOKUP(G$2&amp;Income_Statement[[#This Row],[Aop]],Data[],1)=G$2&amp;Income_Statement[[#This Row],[Aop]],VLOOKUP(G$2&amp;Income_Statement[[#This Row],[Aop]],Data[],G$1)/Jedinica,"")</f>
        <v>122531</v>
      </c>
      <c r="H75" s="39">
        <f>IF(VLOOKUP(H$2&amp;Income_Statement[[#This Row],[Aop]],Data[],1)=H$2&amp;Income_Statement[[#This Row],[Aop]],VLOOKUP(H$2&amp;Income_Statement[[#This Row],[Aop]],Data[],H$1)/Jedinica,"")</f>
        <v>80310</v>
      </c>
      <c r="I75" s="39">
        <f>IF(VLOOKUP(I$2&amp;Income_Statement[[#This Row],[Aop]],Data[],1)=I$2&amp;Income_Statement[[#This Row],[Aop]],VLOOKUP(I$2&amp;Income_Statement[[#This Row],[Aop]],Data[],I$1)/Jedinica,"")</f>
        <v>19373</v>
      </c>
      <c r="J75" s="39">
        <f>IF(VLOOKUP(J$2&amp;Income_Statement[[#This Row],[Aop]],Data[],1)=J$2&amp;Income_Statement[[#This Row],[Aop]],VLOOKUP(J$2&amp;Income_Statement[[#This Row],[Aop]],Data[],J$1)/Jedinica,"")</f>
        <v>7996</v>
      </c>
      <c r="K75" s="39">
        <f>IF(VLOOKUP(K$2&amp;Income_Statement[[#This Row],[Aop]],Data[],1)=K$2&amp;Income_Statement[[#This Row],[Aop]],VLOOKUP(K$2&amp;Income_Statement[[#This Row],[Aop]],Data[],K$1)/Jedinica,"")</f>
        <v>36175</v>
      </c>
      <c r="L75" s="39">
        <f>IF(VLOOKUP(L$2&amp;Income_Statement[[#This Row],[Aop]],Data[],1)=L$2&amp;Income_Statement[[#This Row],[Aop]],VLOOKUP(L$2&amp;Income_Statement[[#This Row],[Aop]],Data[],L$1)/Jedinica,"")</f>
        <v>38753</v>
      </c>
      <c r="M75" s="39">
        <f>IF(VLOOKUP(M$2&amp;Income_Statement[[#This Row],[Aop]],Data[],1)=M$2&amp;Income_Statement[[#This Row],[Aop]],VLOOKUP(M$2&amp;Income_Statement[[#This Row],[Aop]],Data[],M$1)/Jedinica,"")</f>
        <v>864548</v>
      </c>
      <c r="N75" s="39">
        <f>IF(VLOOKUP(N$2&amp;Income_Statement[[#This Row],[Aop]],Data[],1)=N$2&amp;Income_Statement[[#This Row],[Aop]],VLOOKUP(N$2&amp;Income_Statement[[#This Row],[Aop]],Data[],N$1)/Jedinica,"")</f>
        <v>871272</v>
      </c>
      <c r="O75" s="39">
        <f>IF(VLOOKUP(O$2&amp;Income_Statement[[#This Row],[Aop]],Data[],1)=O$2&amp;Income_Statement[[#This Row],[Aop]],VLOOKUP(O$2&amp;Income_Statement[[#This Row],[Aop]],Data[],O$1)/Jedinica,"")</f>
        <v>36175</v>
      </c>
      <c r="P75" s="39">
        <f>IF(VLOOKUP(P$2&amp;Income_Statement[[#This Row],[Aop]],Data[],1)=P$2&amp;Income_Statement[[#This Row],[Aop]],VLOOKUP(P$2&amp;Income_Statement[[#This Row],[Aop]],Data[],P$1)/Jedinica,"")</f>
        <v>38753</v>
      </c>
      <c r="Q75" s="39">
        <f>IF(VLOOKUP(Q$2&amp;Income_Statement[[#This Row],[Aop]],Data[],1)=Q$2&amp;Income_Statement[[#This Row],[Aop]],VLOOKUP(Q$2&amp;Income_Statement[[#This Row],[Aop]],Data[],Q$1)/Jedinica,"")</f>
        <v>25324</v>
      </c>
      <c r="R75" s="39">
        <f>IF(VLOOKUP(R$2&amp;Income_Statement[[#This Row],[Aop]],Data[],1)=R$2&amp;Income_Statement[[#This Row],[Aop]],VLOOKUP(R$2&amp;Income_Statement[[#This Row],[Aop]],Data[],R$1)/Jedinica,"")</f>
        <v>166522</v>
      </c>
      <c r="S75" s="39">
        <f>IF(VLOOKUP(S$2&amp;Income_Statement[[#This Row],[Aop]],Data[],1)=S$2&amp;Income_Statement[[#This Row],[Aop]],VLOOKUP(S$2&amp;Income_Statement[[#This Row],[Aop]],Data[],S$1)/Jedinica,"")</f>
        <v>20856</v>
      </c>
      <c r="T75" s="39">
        <f>IF(VLOOKUP(T$2&amp;Income_Statement[[#This Row],[Aop]],Data[],1)=T$2&amp;Income_Statement[[#This Row],[Aop]],VLOOKUP(T$2&amp;Income_Statement[[#This Row],[Aop]],Data[],T$1)/Jedinica,"")</f>
        <v>19726</v>
      </c>
    </row>
    <row r="76" spans="1:20" ht="12.75" customHeight="1" x14ac:dyDescent="0.2">
      <c r="A76" s="74">
        <v>176</v>
      </c>
      <c r="B76" s="74">
        <v>3</v>
      </c>
      <c r="C76" s="79" t="str">
        <f>VLOOKUP(Income_Statement[[#This Row],[No]],AOP_Balance,3,0)</f>
        <v>267</v>
      </c>
      <c r="D76" s="52" t="str">
        <f>VLOOKUP(Income_Statement[[#This Row],[No]],AOP_Balance,7,0)</f>
        <v xml:space="preserve">      a) Rashodi po osnovu direktnog otpisa potraživanja</v>
      </c>
      <c r="E76" s="39">
        <f>IF(VLOOKUP(E$2&amp;Income_Statement[[#This Row],[Aop]],Data[],1)=E$2&amp;Income_Statement[[#This Row],[Aop]],VLOOKUP(E$2&amp;Income_Statement[[#This Row],[Aop]],Data[],E$1)/Jedinica,"")</f>
        <v>0</v>
      </c>
      <c r="F76" s="39">
        <f>IF(VLOOKUP(F$2&amp;Income_Statement[[#This Row],[Aop]],Data[],1)=F$2&amp;Income_Statement[[#This Row],[Aop]],VLOOKUP(F$2&amp;Income_Statement[[#This Row],[Aop]],Data[],F$1)/Jedinica,"")</f>
        <v>876</v>
      </c>
      <c r="G76" s="39">
        <f>IF(VLOOKUP(G$2&amp;Income_Statement[[#This Row],[Aop]],Data[],1)=G$2&amp;Income_Statement[[#This Row],[Aop]],VLOOKUP(G$2&amp;Income_Statement[[#This Row],[Aop]],Data[],G$1)/Jedinica,"")</f>
        <v>405</v>
      </c>
      <c r="H76" s="39">
        <f>IF(VLOOKUP(H$2&amp;Income_Statement[[#This Row],[Aop]],Data[],1)=H$2&amp;Income_Statement[[#This Row],[Aop]],VLOOKUP(H$2&amp;Income_Statement[[#This Row],[Aop]],Data[],H$1)/Jedinica,"")</f>
        <v>1460</v>
      </c>
      <c r="I76" s="39">
        <f>IF(VLOOKUP(I$2&amp;Income_Statement[[#This Row],[Aop]],Data[],1)=I$2&amp;Income_Statement[[#This Row],[Aop]],VLOOKUP(I$2&amp;Income_Statement[[#This Row],[Aop]],Data[],I$1)/Jedinica,"")</f>
        <v>3858</v>
      </c>
      <c r="J76" s="39">
        <f>IF(VLOOKUP(J$2&amp;Income_Statement[[#This Row],[Aop]],Data[],1)=J$2&amp;Income_Statement[[#This Row],[Aop]],VLOOKUP(J$2&amp;Income_Statement[[#This Row],[Aop]],Data[],J$1)/Jedinica,"")</f>
        <v>0</v>
      </c>
      <c r="K76" s="39">
        <f>IF(VLOOKUP(K$2&amp;Income_Statement[[#This Row],[Aop]],Data[],1)=K$2&amp;Income_Statement[[#This Row],[Aop]],VLOOKUP(K$2&amp;Income_Statement[[#This Row],[Aop]],Data[],K$1)/Jedinica,"")</f>
        <v>3750</v>
      </c>
      <c r="L76" s="39">
        <f>IF(VLOOKUP(L$2&amp;Income_Statement[[#This Row],[Aop]],Data[],1)=L$2&amp;Income_Statement[[#This Row],[Aop]],VLOOKUP(L$2&amp;Income_Statement[[#This Row],[Aop]],Data[],L$1)/Jedinica,"")</f>
        <v>3591</v>
      </c>
      <c r="M76" s="39">
        <f>IF(VLOOKUP(M$2&amp;Income_Statement[[#This Row],[Aop]],Data[],1)=M$2&amp;Income_Statement[[#This Row],[Aop]],VLOOKUP(M$2&amp;Income_Statement[[#This Row],[Aop]],Data[],M$1)/Jedinica,"")</f>
        <v>235467</v>
      </c>
      <c r="N76" s="39">
        <f>IF(VLOOKUP(N$2&amp;Income_Statement[[#This Row],[Aop]],Data[],1)=N$2&amp;Income_Statement[[#This Row],[Aop]],VLOOKUP(N$2&amp;Income_Statement[[#This Row],[Aop]],Data[],N$1)/Jedinica,"")</f>
        <v>187390</v>
      </c>
      <c r="O76" s="39">
        <f>IF(VLOOKUP(O$2&amp;Income_Statement[[#This Row],[Aop]],Data[],1)=O$2&amp;Income_Statement[[#This Row],[Aop]],VLOOKUP(O$2&amp;Income_Statement[[#This Row],[Aop]],Data[],O$1)/Jedinica,"")</f>
        <v>3750</v>
      </c>
      <c r="P76" s="39">
        <f>IF(VLOOKUP(P$2&amp;Income_Statement[[#This Row],[Aop]],Data[],1)=P$2&amp;Income_Statement[[#This Row],[Aop]],VLOOKUP(P$2&amp;Income_Statement[[#This Row],[Aop]],Data[],P$1)/Jedinica,"")</f>
        <v>3591</v>
      </c>
      <c r="Q76" s="39">
        <f>IF(VLOOKUP(Q$2&amp;Income_Statement[[#This Row],[Aop]],Data[],1)=Q$2&amp;Income_Statement[[#This Row],[Aop]],VLOOKUP(Q$2&amp;Income_Statement[[#This Row],[Aop]],Data[],Q$1)/Jedinica,"")</f>
        <v>21488</v>
      </c>
      <c r="R76" s="39">
        <f>IF(VLOOKUP(R$2&amp;Income_Statement[[#This Row],[Aop]],Data[],1)=R$2&amp;Income_Statement[[#This Row],[Aop]],VLOOKUP(R$2&amp;Income_Statement[[#This Row],[Aop]],Data[],R$1)/Jedinica,"")</f>
        <v>37123</v>
      </c>
      <c r="S76" s="39" t="str">
        <f>IF(VLOOKUP(S$2&amp;Income_Statement[[#This Row],[Aop]],Data[],1)=S$2&amp;Income_Statement[[#This Row],[Aop]],VLOOKUP(S$2&amp;Income_Statement[[#This Row],[Aop]],Data[],S$1)/Jedinica,"")</f>
        <v/>
      </c>
      <c r="T76" s="39" t="str">
        <f>IF(VLOOKUP(T$2&amp;Income_Statement[[#This Row],[Aop]],Data[],1)=T$2&amp;Income_Statement[[#This Row],[Aop]],VLOOKUP(T$2&amp;Income_Statement[[#This Row],[Aop]],Data[],T$1)/Jedinica,"")</f>
        <v/>
      </c>
    </row>
    <row r="77" spans="1:20" ht="12.75" customHeight="1" x14ac:dyDescent="0.2">
      <c r="A77" s="74">
        <v>177</v>
      </c>
      <c r="B77" s="74">
        <v>3</v>
      </c>
      <c r="C77" s="79" t="str">
        <f>VLOOKUP(Income_Statement[[#This Row],[No]],AOP_Balance,3,0)</f>
        <v>268</v>
      </c>
      <c r="D77" s="52" t="str">
        <f>VLOOKUP(Income_Statement[[#This Row],[No]],AOP_Balance,7,0)</f>
        <v xml:space="preserve">      b) Gubici od prodaje osnovnih sredstava i nematerijalnih ulaganja</v>
      </c>
      <c r="E77" s="39">
        <f>IF(VLOOKUP(E$2&amp;Income_Statement[[#This Row],[Aop]],Data[],1)=E$2&amp;Income_Statement[[#This Row],[Aop]],VLOOKUP(E$2&amp;Income_Statement[[#This Row],[Aop]],Data[],E$1)/Jedinica,"")</f>
        <v>2907</v>
      </c>
      <c r="F77" s="39">
        <f>IF(VLOOKUP(F$2&amp;Income_Statement[[#This Row],[Aop]],Data[],1)=F$2&amp;Income_Statement[[#This Row],[Aop]],VLOOKUP(F$2&amp;Income_Statement[[#This Row],[Aop]],Data[],F$1)/Jedinica,"")</f>
        <v>0</v>
      </c>
      <c r="G77" s="39">
        <f>IF(VLOOKUP(G$2&amp;Income_Statement[[#This Row],[Aop]],Data[],1)=G$2&amp;Income_Statement[[#This Row],[Aop]],VLOOKUP(G$2&amp;Income_Statement[[#This Row],[Aop]],Data[],G$1)/Jedinica,"")</f>
        <v>0</v>
      </c>
      <c r="H77" s="39">
        <f>IF(VLOOKUP(H$2&amp;Income_Statement[[#This Row],[Aop]],Data[],1)=H$2&amp;Income_Statement[[#This Row],[Aop]],VLOOKUP(H$2&amp;Income_Statement[[#This Row],[Aop]],Data[],H$1)/Jedinica,"")</f>
        <v>2</v>
      </c>
      <c r="I77" s="39">
        <f>IF(VLOOKUP(I$2&amp;Income_Statement[[#This Row],[Aop]],Data[],1)=I$2&amp;Income_Statement[[#This Row],[Aop]],VLOOKUP(I$2&amp;Income_Statement[[#This Row],[Aop]],Data[],I$1)/Jedinica,"")</f>
        <v>12956</v>
      </c>
      <c r="J77" s="39">
        <f>IF(VLOOKUP(J$2&amp;Income_Statement[[#This Row],[Aop]],Data[],1)=J$2&amp;Income_Statement[[#This Row],[Aop]],VLOOKUP(J$2&amp;Income_Statement[[#This Row],[Aop]],Data[],J$1)/Jedinica,"")</f>
        <v>0</v>
      </c>
      <c r="K77" s="39">
        <f>IF(VLOOKUP(K$2&amp;Income_Statement[[#This Row],[Aop]],Data[],1)=K$2&amp;Income_Statement[[#This Row],[Aop]],VLOOKUP(K$2&amp;Income_Statement[[#This Row],[Aop]],Data[],K$1)/Jedinica,"")</f>
        <v>0</v>
      </c>
      <c r="L77" s="39">
        <f>IF(VLOOKUP(L$2&amp;Income_Statement[[#This Row],[Aop]],Data[],1)=L$2&amp;Income_Statement[[#This Row],[Aop]],VLOOKUP(L$2&amp;Income_Statement[[#This Row],[Aop]],Data[],L$1)/Jedinica,"")</f>
        <v>1813</v>
      </c>
      <c r="M77" s="39">
        <f>IF(VLOOKUP(M$2&amp;Income_Statement[[#This Row],[Aop]],Data[],1)=M$2&amp;Income_Statement[[#This Row],[Aop]],VLOOKUP(M$2&amp;Income_Statement[[#This Row],[Aop]],Data[],M$1)/Jedinica,"")</f>
        <v>96375</v>
      </c>
      <c r="N77" s="39">
        <f>IF(VLOOKUP(N$2&amp;Income_Statement[[#This Row],[Aop]],Data[],1)=N$2&amp;Income_Statement[[#This Row],[Aop]],VLOOKUP(N$2&amp;Income_Statement[[#This Row],[Aop]],Data[],N$1)/Jedinica,"")</f>
        <v>23952</v>
      </c>
      <c r="O77" s="39">
        <f>IF(VLOOKUP(O$2&amp;Income_Statement[[#This Row],[Aop]],Data[],1)=O$2&amp;Income_Statement[[#This Row],[Aop]],VLOOKUP(O$2&amp;Income_Statement[[#This Row],[Aop]],Data[],O$1)/Jedinica,"")</f>
        <v>0</v>
      </c>
      <c r="P77" s="39">
        <f>IF(VLOOKUP(P$2&amp;Income_Statement[[#This Row],[Aop]],Data[],1)=P$2&amp;Income_Statement[[#This Row],[Aop]],VLOOKUP(P$2&amp;Income_Statement[[#This Row],[Aop]],Data[],P$1)/Jedinica,"")</f>
        <v>1813</v>
      </c>
      <c r="Q77" s="39">
        <f>IF(VLOOKUP(Q$2&amp;Income_Statement[[#This Row],[Aop]],Data[],1)=Q$2&amp;Income_Statement[[#This Row],[Aop]],VLOOKUP(Q$2&amp;Income_Statement[[#This Row],[Aop]],Data[],Q$1)/Jedinica,"")</f>
        <v>0</v>
      </c>
      <c r="R77" s="39">
        <f>IF(VLOOKUP(R$2&amp;Income_Statement[[#This Row],[Aop]],Data[],1)=R$2&amp;Income_Statement[[#This Row],[Aop]],VLOOKUP(R$2&amp;Income_Statement[[#This Row],[Aop]],Data[],R$1)/Jedinica,"")</f>
        <v>127836</v>
      </c>
      <c r="S77" s="39">
        <f>IF(VLOOKUP(S$2&amp;Income_Statement[[#This Row],[Aop]],Data[],1)=S$2&amp;Income_Statement[[#This Row],[Aop]],VLOOKUP(S$2&amp;Income_Statement[[#This Row],[Aop]],Data[],S$1)/Jedinica,"")</f>
        <v>2400</v>
      </c>
      <c r="T77" s="39">
        <f>IF(VLOOKUP(T$2&amp;Income_Statement[[#This Row],[Aop]],Data[],1)=T$2&amp;Income_Statement[[#This Row],[Aop]],VLOOKUP(T$2&amp;Income_Statement[[#This Row],[Aop]],Data[],T$1)/Jedinica,"")</f>
        <v>5582</v>
      </c>
    </row>
    <row r="78" spans="1:20" ht="12.75" customHeight="1" x14ac:dyDescent="0.2">
      <c r="A78" s="74">
        <v>178</v>
      </c>
      <c r="B78" s="74">
        <v>3</v>
      </c>
      <c r="C78" s="78" t="str">
        <f>VLOOKUP(Income_Statement[[#This Row],[No]],AOP_Balance,3,0)</f>
        <v>269</v>
      </c>
      <c r="D78" s="52" t="str">
        <f>VLOOKUP(Income_Statement[[#This Row],[No]],AOP_Balance,7,0)</f>
        <v xml:space="preserve">      v) Gubici po osnovu rashodovanja i otpisa osnovnih sredstava i nematerijalnih ulaganja</v>
      </c>
      <c r="E78" s="39" t="str">
        <f>IF(VLOOKUP(E$2&amp;Income_Statement[[#This Row],[Aop]],Data[],1)=E$2&amp;Income_Statement[[#This Row],[Aop]],VLOOKUP(E$2&amp;Income_Statement[[#This Row],[Aop]],Data[],E$1)/Jedinica,"")</f>
        <v/>
      </c>
      <c r="F78" s="39" t="str">
        <f>IF(VLOOKUP(F$2&amp;Income_Statement[[#This Row],[Aop]],Data[],1)=F$2&amp;Income_Statement[[#This Row],[Aop]],VLOOKUP(F$2&amp;Income_Statement[[#This Row],[Aop]],Data[],F$1)/Jedinica,"")</f>
        <v/>
      </c>
      <c r="G78" s="39">
        <f>IF(VLOOKUP(G$2&amp;Income_Statement[[#This Row],[Aop]],Data[],1)=G$2&amp;Income_Statement[[#This Row],[Aop]],VLOOKUP(G$2&amp;Income_Statement[[#This Row],[Aop]],Data[],G$1)/Jedinica,"")</f>
        <v>57481</v>
      </c>
      <c r="H78" s="39">
        <f>IF(VLOOKUP(H$2&amp;Income_Statement[[#This Row],[Aop]],Data[],1)=H$2&amp;Income_Statement[[#This Row],[Aop]],VLOOKUP(H$2&amp;Income_Statement[[#This Row],[Aop]],Data[],H$1)/Jedinica,"")</f>
        <v>0</v>
      </c>
      <c r="I78" s="39">
        <f>IF(VLOOKUP(I$2&amp;Income_Statement[[#This Row],[Aop]],Data[],1)=I$2&amp;Income_Statement[[#This Row],[Aop]],VLOOKUP(I$2&amp;Income_Statement[[#This Row],[Aop]],Data[],I$1)/Jedinica,"")</f>
        <v>20</v>
      </c>
      <c r="J78" s="39">
        <f>IF(VLOOKUP(J$2&amp;Income_Statement[[#This Row],[Aop]],Data[],1)=J$2&amp;Income_Statement[[#This Row],[Aop]],VLOOKUP(J$2&amp;Income_Statement[[#This Row],[Aop]],Data[],J$1)/Jedinica,"")</f>
        <v>0</v>
      </c>
      <c r="K78" s="39" t="str">
        <f>IF(VLOOKUP(K$2&amp;Income_Statement[[#This Row],[Aop]],Data[],1)=K$2&amp;Income_Statement[[#This Row],[Aop]],VLOOKUP(K$2&amp;Income_Statement[[#This Row],[Aop]],Data[],K$1)/Jedinica,"")</f>
        <v/>
      </c>
      <c r="L78" s="39" t="str">
        <f>IF(VLOOKUP(L$2&amp;Income_Statement[[#This Row],[Aop]],Data[],1)=L$2&amp;Income_Statement[[#This Row],[Aop]],VLOOKUP(L$2&amp;Income_Statement[[#This Row],[Aop]],Data[],L$1)/Jedinica,"")</f>
        <v/>
      </c>
      <c r="M78" s="39">
        <f>IF(VLOOKUP(M$2&amp;Income_Statement[[#This Row],[Aop]],Data[],1)=M$2&amp;Income_Statement[[#This Row],[Aop]],VLOOKUP(M$2&amp;Income_Statement[[#This Row],[Aop]],Data[],M$1)/Jedinica,"")</f>
        <v>56384</v>
      </c>
      <c r="N78" s="39">
        <f>IF(VLOOKUP(N$2&amp;Income_Statement[[#This Row],[Aop]],Data[],1)=N$2&amp;Income_Statement[[#This Row],[Aop]],VLOOKUP(N$2&amp;Income_Statement[[#This Row],[Aop]],Data[],N$1)/Jedinica,"")</f>
        <v>257397</v>
      </c>
      <c r="O78" s="39" t="str">
        <f>IF(VLOOKUP(O$2&amp;Income_Statement[[#This Row],[Aop]],Data[],1)=O$2&amp;Income_Statement[[#This Row],[Aop]],VLOOKUP(O$2&amp;Income_Statement[[#This Row],[Aop]],Data[],O$1)/Jedinica,"")</f>
        <v/>
      </c>
      <c r="P78" s="39" t="str">
        <f>IF(VLOOKUP(P$2&amp;Income_Statement[[#This Row],[Aop]],Data[],1)=P$2&amp;Income_Statement[[#This Row],[Aop]],VLOOKUP(P$2&amp;Income_Statement[[#This Row],[Aop]],Data[],P$1)/Jedinica,"")</f>
        <v/>
      </c>
      <c r="Q78" s="39">
        <f>IF(VLOOKUP(Q$2&amp;Income_Statement[[#This Row],[Aop]],Data[],1)=Q$2&amp;Income_Statement[[#This Row],[Aop]],VLOOKUP(Q$2&amp;Income_Statement[[#This Row],[Aop]],Data[],Q$1)/Jedinica,"")</f>
        <v>3453</v>
      </c>
      <c r="R78" s="39">
        <f>IF(VLOOKUP(R$2&amp;Income_Statement[[#This Row],[Aop]],Data[],1)=R$2&amp;Income_Statement[[#This Row],[Aop]],VLOOKUP(R$2&amp;Income_Statement[[#This Row],[Aop]],Data[],R$1)/Jedinica,"")</f>
        <v>0</v>
      </c>
      <c r="S78" s="39">
        <f>IF(VLOOKUP(S$2&amp;Income_Statement[[#This Row],[Aop]],Data[],1)=S$2&amp;Income_Statement[[#This Row],[Aop]],VLOOKUP(S$2&amp;Income_Statement[[#This Row],[Aop]],Data[],S$1)/Jedinica,"")</f>
        <v>3082</v>
      </c>
      <c r="T78" s="39">
        <f>IF(VLOOKUP(T$2&amp;Income_Statement[[#This Row],[Aop]],Data[],1)=T$2&amp;Income_Statement[[#This Row],[Aop]],VLOOKUP(T$2&amp;Income_Statement[[#This Row],[Aop]],Data[],T$1)/Jedinica,"")</f>
        <v>484</v>
      </c>
    </row>
    <row r="79" spans="1:20" ht="12.75" customHeight="1" x14ac:dyDescent="0.2">
      <c r="A79" s="74">
        <v>179</v>
      </c>
      <c r="B79" s="74">
        <v>3</v>
      </c>
      <c r="C79" s="78" t="str">
        <f>VLOOKUP(Income_Statement[[#This Row],[No]],AOP_Balance,3,0)</f>
        <v>270</v>
      </c>
      <c r="D79" s="52" t="str">
        <f>VLOOKUP(Income_Statement[[#This Row],[No]],AOP_Balance,7,0)</f>
        <v xml:space="preserve">      g) Manjkovi</v>
      </c>
      <c r="E79" s="39">
        <f>IF(VLOOKUP(E$2&amp;Income_Statement[[#This Row],[Aop]],Data[],1)=E$2&amp;Income_Statement[[#This Row],[Aop]],VLOOKUP(E$2&amp;Income_Statement[[#This Row],[Aop]],Data[],E$1)/Jedinica,"")</f>
        <v>123508</v>
      </c>
      <c r="F79" s="39">
        <f>IF(VLOOKUP(F$2&amp;Income_Statement[[#This Row],[Aop]],Data[],1)=F$2&amp;Income_Statement[[#This Row],[Aop]],VLOOKUP(F$2&amp;Income_Statement[[#This Row],[Aop]],Data[],F$1)/Jedinica,"")</f>
        <v>22391</v>
      </c>
      <c r="G79" s="39" t="str">
        <f>IF(VLOOKUP(G$2&amp;Income_Statement[[#This Row],[Aop]],Data[],1)=G$2&amp;Income_Statement[[#This Row],[Aop]],VLOOKUP(G$2&amp;Income_Statement[[#This Row],[Aop]],Data[],G$1)/Jedinica,"")</f>
        <v/>
      </c>
      <c r="H79" s="39" t="str">
        <f>IF(VLOOKUP(H$2&amp;Income_Statement[[#This Row],[Aop]],Data[],1)=H$2&amp;Income_Statement[[#This Row],[Aop]],VLOOKUP(H$2&amp;Income_Statement[[#This Row],[Aop]],Data[],H$1)/Jedinica,"")</f>
        <v/>
      </c>
      <c r="I79" s="39" t="str">
        <f>IF(VLOOKUP(I$2&amp;Income_Statement[[#This Row],[Aop]],Data[],1)=I$2&amp;Income_Statement[[#This Row],[Aop]],VLOOKUP(I$2&amp;Income_Statement[[#This Row],[Aop]],Data[],I$1)/Jedinica,"")</f>
        <v/>
      </c>
      <c r="J79" s="39" t="str">
        <f>IF(VLOOKUP(J$2&amp;Income_Statement[[#This Row],[Aop]],Data[],1)=J$2&amp;Income_Statement[[#This Row],[Aop]],VLOOKUP(J$2&amp;Income_Statement[[#This Row],[Aop]],Data[],J$1)/Jedinica,"")</f>
        <v/>
      </c>
      <c r="K79" s="39" t="str">
        <f>IF(VLOOKUP(K$2&amp;Income_Statement[[#This Row],[Aop]],Data[],1)=K$2&amp;Income_Statement[[#This Row],[Aop]],VLOOKUP(K$2&amp;Income_Statement[[#This Row],[Aop]],Data[],K$1)/Jedinica,"")</f>
        <v/>
      </c>
      <c r="L79" s="39" t="str">
        <f>IF(VLOOKUP(L$2&amp;Income_Statement[[#This Row],[Aop]],Data[],1)=L$2&amp;Income_Statement[[#This Row],[Aop]],VLOOKUP(L$2&amp;Income_Statement[[#This Row],[Aop]],Data[],L$1)/Jedinica,"")</f>
        <v/>
      </c>
      <c r="M79" s="39">
        <f>IF(VLOOKUP(M$2&amp;Income_Statement[[#This Row],[Aop]],Data[],1)=M$2&amp;Income_Statement[[#This Row],[Aop]],VLOOKUP(M$2&amp;Income_Statement[[#This Row],[Aop]],Data[],M$1)/Jedinica,"")</f>
        <v>691</v>
      </c>
      <c r="N79" s="39">
        <f>IF(VLOOKUP(N$2&amp;Income_Statement[[#This Row],[Aop]],Data[],1)=N$2&amp;Income_Statement[[#This Row],[Aop]],VLOOKUP(N$2&amp;Income_Statement[[#This Row],[Aop]],Data[],N$1)/Jedinica,"")</f>
        <v>0</v>
      </c>
      <c r="O79" s="39" t="str">
        <f>IF(VLOOKUP(O$2&amp;Income_Statement[[#This Row],[Aop]],Data[],1)=O$2&amp;Income_Statement[[#This Row],[Aop]],VLOOKUP(O$2&amp;Income_Statement[[#This Row],[Aop]],Data[],O$1)/Jedinica,"")</f>
        <v/>
      </c>
      <c r="P79" s="39" t="str">
        <f>IF(VLOOKUP(P$2&amp;Income_Statement[[#This Row],[Aop]],Data[],1)=P$2&amp;Income_Statement[[#This Row],[Aop]],VLOOKUP(P$2&amp;Income_Statement[[#This Row],[Aop]],Data[],P$1)/Jedinica,"")</f>
        <v/>
      </c>
      <c r="Q79" s="39" t="str">
        <f>IF(VLOOKUP(Q$2&amp;Income_Statement[[#This Row],[Aop]],Data[],1)=Q$2&amp;Income_Statement[[#This Row],[Aop]],VLOOKUP(Q$2&amp;Income_Statement[[#This Row],[Aop]],Data[],Q$1)/Jedinica,"")</f>
        <v/>
      </c>
      <c r="R79" s="39" t="str">
        <f>IF(VLOOKUP(R$2&amp;Income_Statement[[#This Row],[Aop]],Data[],1)=R$2&amp;Income_Statement[[#This Row],[Aop]],VLOOKUP(R$2&amp;Income_Statement[[#This Row],[Aop]],Data[],R$1)/Jedinica,"")</f>
        <v/>
      </c>
      <c r="S79" s="39" t="str">
        <f>IF(VLOOKUP(S$2&amp;Income_Statement[[#This Row],[Aop]],Data[],1)=S$2&amp;Income_Statement[[#This Row],[Aop]],VLOOKUP(S$2&amp;Income_Statement[[#This Row],[Aop]],Data[],S$1)/Jedinica,"")</f>
        <v/>
      </c>
      <c r="T79" s="39" t="str">
        <f>IF(VLOOKUP(T$2&amp;Income_Statement[[#This Row],[Aop]],Data[],1)=T$2&amp;Income_Statement[[#This Row],[Aop]],VLOOKUP(T$2&amp;Income_Statement[[#This Row],[Aop]],Data[],T$1)/Jedinica,"")</f>
        <v/>
      </c>
    </row>
    <row r="80" spans="1:20" ht="12.75" customHeight="1" x14ac:dyDescent="0.2">
      <c r="A80" s="74">
        <v>180</v>
      </c>
      <c r="B80" s="74">
        <v>3</v>
      </c>
      <c r="C80" s="78" t="str">
        <f>VLOOKUP(Income_Statement[[#This Row],[No]],AOP_Balance,3,0)</f>
        <v>271</v>
      </c>
      <c r="D80" s="52" t="str">
        <f>VLOOKUP(Income_Statement[[#This Row],[No]],AOP_Balance,7,0)</f>
        <v xml:space="preserve">      d) Otpis zaliha</v>
      </c>
      <c r="E80" s="39" t="str">
        <f>IF(VLOOKUP(E$2&amp;Income_Statement[[#This Row],[Aop]],Data[],1)=E$2&amp;Income_Statement[[#This Row],[Aop]],VLOOKUP(E$2&amp;Income_Statement[[#This Row],[Aop]],Data[],E$1)/Jedinica,"")</f>
        <v/>
      </c>
      <c r="F80" s="39" t="str">
        <f>IF(VLOOKUP(F$2&amp;Income_Statement[[#This Row],[Aop]],Data[],1)=F$2&amp;Income_Statement[[#This Row],[Aop]],VLOOKUP(F$2&amp;Income_Statement[[#This Row],[Aop]],Data[],F$1)/Jedinica,"")</f>
        <v/>
      </c>
      <c r="G80" s="39">
        <f>IF(VLOOKUP(G$2&amp;Income_Statement[[#This Row],[Aop]],Data[],1)=G$2&amp;Income_Statement[[#This Row],[Aop]],VLOOKUP(G$2&amp;Income_Statement[[#This Row],[Aop]],Data[],G$1)/Jedinica,"")</f>
        <v>48</v>
      </c>
      <c r="H80" s="39">
        <f>IF(VLOOKUP(H$2&amp;Income_Statement[[#This Row],[Aop]],Data[],1)=H$2&amp;Income_Statement[[#This Row],[Aop]],VLOOKUP(H$2&amp;Income_Statement[[#This Row],[Aop]],Data[],H$1)/Jedinica,"")</f>
        <v>29</v>
      </c>
      <c r="I80" s="39" t="str">
        <f>IF(VLOOKUP(I$2&amp;Income_Statement[[#This Row],[Aop]],Data[],1)=I$2&amp;Income_Statement[[#This Row],[Aop]],VLOOKUP(I$2&amp;Income_Statement[[#This Row],[Aop]],Data[],I$1)/Jedinica,"")</f>
        <v/>
      </c>
      <c r="J80" s="39" t="str">
        <f>IF(VLOOKUP(J$2&amp;Income_Statement[[#This Row],[Aop]],Data[],1)=J$2&amp;Income_Statement[[#This Row],[Aop]],VLOOKUP(J$2&amp;Income_Statement[[#This Row],[Aop]],Data[],J$1)/Jedinica,"")</f>
        <v/>
      </c>
      <c r="K80" s="39" t="str">
        <f>IF(VLOOKUP(K$2&amp;Income_Statement[[#This Row],[Aop]],Data[],1)=K$2&amp;Income_Statement[[#This Row],[Aop]],VLOOKUP(K$2&amp;Income_Statement[[#This Row],[Aop]],Data[],K$1)/Jedinica,"")</f>
        <v/>
      </c>
      <c r="L80" s="39" t="str">
        <f>IF(VLOOKUP(L$2&amp;Income_Statement[[#This Row],[Aop]],Data[],1)=L$2&amp;Income_Statement[[#This Row],[Aop]],VLOOKUP(L$2&amp;Income_Statement[[#This Row],[Aop]],Data[],L$1)/Jedinica,"")</f>
        <v/>
      </c>
      <c r="M80" s="39">
        <f>IF(VLOOKUP(M$2&amp;Income_Statement[[#This Row],[Aop]],Data[],1)=M$2&amp;Income_Statement[[#This Row],[Aop]],VLOOKUP(M$2&amp;Income_Statement[[#This Row],[Aop]],Data[],M$1)/Jedinica,"")</f>
        <v>68</v>
      </c>
      <c r="N80" s="39">
        <f>IF(VLOOKUP(N$2&amp;Income_Statement[[#This Row],[Aop]],Data[],1)=N$2&amp;Income_Statement[[#This Row],[Aop]],VLOOKUP(N$2&amp;Income_Statement[[#This Row],[Aop]],Data[],N$1)/Jedinica,"")</f>
        <v>0</v>
      </c>
      <c r="O80" s="39" t="str">
        <f>IF(VLOOKUP(O$2&amp;Income_Statement[[#This Row],[Aop]],Data[],1)=O$2&amp;Income_Statement[[#This Row],[Aop]],VLOOKUP(O$2&amp;Income_Statement[[#This Row],[Aop]],Data[],O$1)/Jedinica,"")</f>
        <v/>
      </c>
      <c r="P80" s="39" t="str">
        <f>IF(VLOOKUP(P$2&amp;Income_Statement[[#This Row],[Aop]],Data[],1)=P$2&amp;Income_Statement[[#This Row],[Aop]],VLOOKUP(P$2&amp;Income_Statement[[#This Row],[Aop]],Data[],P$1)/Jedinica,"")</f>
        <v/>
      </c>
      <c r="Q80" s="39" t="str">
        <f>IF(VLOOKUP(Q$2&amp;Income_Statement[[#This Row],[Aop]],Data[],1)=Q$2&amp;Income_Statement[[#This Row],[Aop]],VLOOKUP(Q$2&amp;Income_Statement[[#This Row],[Aop]],Data[],Q$1)/Jedinica,"")</f>
        <v/>
      </c>
      <c r="R80" s="39" t="str">
        <f>IF(VLOOKUP(R$2&amp;Income_Statement[[#This Row],[Aop]],Data[],1)=R$2&amp;Income_Statement[[#This Row],[Aop]],VLOOKUP(R$2&amp;Income_Statement[[#This Row],[Aop]],Data[],R$1)/Jedinica,"")</f>
        <v/>
      </c>
      <c r="S80" s="39" t="str">
        <f>IF(VLOOKUP(S$2&amp;Income_Statement[[#This Row],[Aop]],Data[],1)=S$2&amp;Income_Statement[[#This Row],[Aop]],VLOOKUP(S$2&amp;Income_Statement[[#This Row],[Aop]],Data[],S$1)/Jedinica,"")</f>
        <v/>
      </c>
      <c r="T80" s="39" t="str">
        <f>IF(VLOOKUP(T$2&amp;Income_Statement[[#This Row],[Aop]],Data[],1)=T$2&amp;Income_Statement[[#This Row],[Aop]],VLOOKUP(T$2&amp;Income_Statement[[#This Row],[Aop]],Data[],T$1)/Jedinica,"")</f>
        <v/>
      </c>
    </row>
    <row r="81" spans="1:20" ht="12.75" customHeight="1" x14ac:dyDescent="0.2">
      <c r="A81" s="74">
        <v>181</v>
      </c>
      <c r="B81" s="74">
        <v>3</v>
      </c>
      <c r="C81" s="78" t="str">
        <f>VLOOKUP(Income_Statement[[#This Row],[No]],AOP_Balance,3,0)</f>
        <v>272</v>
      </c>
      <c r="D81" s="52" t="str">
        <f>VLOOKUP(Income_Statement[[#This Row],[No]],AOP_Balance,7,0)</f>
        <v xml:space="preserve">      đ) Ostali rashodi</v>
      </c>
      <c r="E81" s="39">
        <f>IF(VLOOKUP(E$2&amp;Income_Statement[[#This Row],[Aop]],Data[],1)=E$2&amp;Income_Statement[[#This Row],[Aop]],VLOOKUP(E$2&amp;Income_Statement[[#This Row],[Aop]],Data[],E$1)/Jedinica,"")</f>
        <v>46469</v>
      </c>
      <c r="F81" s="39">
        <f>IF(VLOOKUP(F$2&amp;Income_Statement[[#This Row],[Aop]],Data[],1)=F$2&amp;Income_Statement[[#This Row],[Aop]],VLOOKUP(F$2&amp;Income_Statement[[#This Row],[Aop]],Data[],F$1)/Jedinica,"")</f>
        <v>163203</v>
      </c>
      <c r="G81" s="39">
        <f>IF(VLOOKUP(G$2&amp;Income_Statement[[#This Row],[Aop]],Data[],1)=G$2&amp;Income_Statement[[#This Row],[Aop]],VLOOKUP(G$2&amp;Income_Statement[[#This Row],[Aop]],Data[],G$1)/Jedinica,"")</f>
        <v>64327</v>
      </c>
      <c r="H81" s="39">
        <f>IF(VLOOKUP(H$2&amp;Income_Statement[[#This Row],[Aop]],Data[],1)=H$2&amp;Income_Statement[[#This Row],[Aop]],VLOOKUP(H$2&amp;Income_Statement[[#This Row],[Aop]],Data[],H$1)/Jedinica,"")</f>
        <v>74153</v>
      </c>
      <c r="I81" s="39">
        <f>IF(VLOOKUP(I$2&amp;Income_Statement[[#This Row],[Aop]],Data[],1)=I$2&amp;Income_Statement[[#This Row],[Aop]],VLOOKUP(I$2&amp;Income_Statement[[#This Row],[Aop]],Data[],I$1)/Jedinica,"")</f>
        <v>2539</v>
      </c>
      <c r="J81" s="39">
        <f>IF(VLOOKUP(J$2&amp;Income_Statement[[#This Row],[Aop]],Data[],1)=J$2&amp;Income_Statement[[#This Row],[Aop]],VLOOKUP(J$2&amp;Income_Statement[[#This Row],[Aop]],Data[],J$1)/Jedinica,"")</f>
        <v>7996</v>
      </c>
      <c r="K81" s="39">
        <f>IF(VLOOKUP(K$2&amp;Income_Statement[[#This Row],[Aop]],Data[],1)=K$2&amp;Income_Statement[[#This Row],[Aop]],VLOOKUP(K$2&amp;Income_Statement[[#This Row],[Aop]],Data[],K$1)/Jedinica,"")</f>
        <v>32425</v>
      </c>
      <c r="L81" s="39">
        <f>IF(VLOOKUP(L$2&amp;Income_Statement[[#This Row],[Aop]],Data[],1)=L$2&amp;Income_Statement[[#This Row],[Aop]],VLOOKUP(L$2&amp;Income_Statement[[#This Row],[Aop]],Data[],L$1)/Jedinica,"")</f>
        <v>33349</v>
      </c>
      <c r="M81" s="39">
        <f>IF(VLOOKUP(M$2&amp;Income_Statement[[#This Row],[Aop]],Data[],1)=M$2&amp;Income_Statement[[#This Row],[Aop]],VLOOKUP(M$2&amp;Income_Statement[[#This Row],[Aop]],Data[],M$1)/Jedinica,"")</f>
        <v>475563</v>
      </c>
      <c r="N81" s="39">
        <f>IF(VLOOKUP(N$2&amp;Income_Statement[[#This Row],[Aop]],Data[],1)=N$2&amp;Income_Statement[[#This Row],[Aop]],VLOOKUP(N$2&amp;Income_Statement[[#This Row],[Aop]],Data[],N$1)/Jedinica,"")</f>
        <v>402533</v>
      </c>
      <c r="O81" s="39">
        <f>IF(VLOOKUP(O$2&amp;Income_Statement[[#This Row],[Aop]],Data[],1)=O$2&amp;Income_Statement[[#This Row],[Aop]],VLOOKUP(O$2&amp;Income_Statement[[#This Row],[Aop]],Data[],O$1)/Jedinica,"")</f>
        <v>32425</v>
      </c>
      <c r="P81" s="39">
        <f>IF(VLOOKUP(P$2&amp;Income_Statement[[#This Row],[Aop]],Data[],1)=P$2&amp;Income_Statement[[#This Row],[Aop]],VLOOKUP(P$2&amp;Income_Statement[[#This Row],[Aop]],Data[],P$1)/Jedinica,"")</f>
        <v>33349</v>
      </c>
      <c r="Q81" s="39">
        <f>IF(VLOOKUP(Q$2&amp;Income_Statement[[#This Row],[Aop]],Data[],1)=Q$2&amp;Income_Statement[[#This Row],[Aop]],VLOOKUP(Q$2&amp;Income_Statement[[#This Row],[Aop]],Data[],Q$1)/Jedinica,"")</f>
        <v>383</v>
      </c>
      <c r="R81" s="39">
        <f>IF(VLOOKUP(R$2&amp;Income_Statement[[#This Row],[Aop]],Data[],1)=R$2&amp;Income_Statement[[#This Row],[Aop]],VLOOKUP(R$2&amp;Income_Statement[[#This Row],[Aop]],Data[],R$1)/Jedinica,"")</f>
        <v>1563</v>
      </c>
      <c r="S81" s="39">
        <f>IF(VLOOKUP(S$2&amp;Income_Statement[[#This Row],[Aop]],Data[],1)=S$2&amp;Income_Statement[[#This Row],[Aop]],VLOOKUP(S$2&amp;Income_Statement[[#This Row],[Aop]],Data[],S$1)/Jedinica,"")</f>
        <v>15374</v>
      </c>
      <c r="T81" s="39">
        <f>IF(VLOOKUP(T$2&amp;Income_Statement[[#This Row],[Aop]],Data[],1)=T$2&amp;Income_Statement[[#This Row],[Aop]],VLOOKUP(T$2&amp;Income_Statement[[#This Row],[Aop]],Data[],T$1)/Jedinica,"")</f>
        <v>13660</v>
      </c>
    </row>
    <row r="82" spans="1:20" ht="12.75" customHeight="1" x14ac:dyDescent="0.2">
      <c r="A82" s="74">
        <v>182</v>
      </c>
      <c r="B82" s="74">
        <v>3</v>
      </c>
      <c r="C82" s="78" t="str">
        <f>VLOOKUP(Income_Statement[[#This Row],[No]],AOP_Balance,3,0)</f>
        <v>273</v>
      </c>
      <c r="D82" s="52" t="str">
        <f>VLOOKUP(Income_Statement[[#This Row],[No]],AOP_Balance,7,0)</f>
        <v xml:space="preserve">      e) Gubici od obustavljenog poslovanja</v>
      </c>
      <c r="E82" s="39" t="str">
        <f>IF(VLOOKUP(E$2&amp;Income_Statement[[#This Row],[Aop]],Data[],1)=E$2&amp;Income_Statement[[#This Row],[Aop]],VLOOKUP(E$2&amp;Income_Statement[[#This Row],[Aop]],Data[],E$1)/Jedinica,"")</f>
        <v/>
      </c>
      <c r="F82" s="39" t="str">
        <f>IF(VLOOKUP(F$2&amp;Income_Statement[[#This Row],[Aop]],Data[],1)=F$2&amp;Income_Statement[[#This Row],[Aop]],VLOOKUP(F$2&amp;Income_Statement[[#This Row],[Aop]],Data[],F$1)/Jedinica,"")</f>
        <v/>
      </c>
      <c r="G82" s="39">
        <f>IF(VLOOKUP(G$2&amp;Income_Statement[[#This Row],[Aop]],Data[],1)=G$2&amp;Income_Statement[[#This Row],[Aop]],VLOOKUP(G$2&amp;Income_Statement[[#This Row],[Aop]],Data[],G$1)/Jedinica,"")</f>
        <v>270</v>
      </c>
      <c r="H82" s="39">
        <f>IF(VLOOKUP(H$2&amp;Income_Statement[[#This Row],[Aop]],Data[],1)=H$2&amp;Income_Statement[[#This Row],[Aop]],VLOOKUP(H$2&amp;Income_Statement[[#This Row],[Aop]],Data[],H$1)/Jedinica,"")</f>
        <v>4666</v>
      </c>
      <c r="I82" s="39" t="str">
        <f>IF(VLOOKUP(I$2&amp;Income_Statement[[#This Row],[Aop]],Data[],1)=I$2&amp;Income_Statement[[#This Row],[Aop]],VLOOKUP(I$2&amp;Income_Statement[[#This Row],[Aop]],Data[],I$1)/Jedinica,"")</f>
        <v/>
      </c>
      <c r="J82" s="39" t="str">
        <f>IF(VLOOKUP(J$2&amp;Income_Statement[[#This Row],[Aop]],Data[],1)=J$2&amp;Income_Statement[[#This Row],[Aop]],VLOOKUP(J$2&amp;Income_Statement[[#This Row],[Aop]],Data[],J$1)/Jedinica,"")</f>
        <v/>
      </c>
      <c r="K82" s="39" t="str">
        <f>IF(VLOOKUP(K$2&amp;Income_Statement[[#This Row],[Aop]],Data[],1)=K$2&amp;Income_Statement[[#This Row],[Aop]],VLOOKUP(K$2&amp;Income_Statement[[#This Row],[Aop]],Data[],K$1)/Jedinica,"")</f>
        <v/>
      </c>
      <c r="L82" s="39" t="str">
        <f>IF(VLOOKUP(L$2&amp;Income_Statement[[#This Row],[Aop]],Data[],1)=L$2&amp;Income_Statement[[#This Row],[Aop]],VLOOKUP(L$2&amp;Income_Statement[[#This Row],[Aop]],Data[],L$1)/Jedinica,"")</f>
        <v/>
      </c>
      <c r="M82" s="39" t="str">
        <f>IF(VLOOKUP(M$2&amp;Income_Statement[[#This Row],[Aop]],Data[],1)=M$2&amp;Income_Statement[[#This Row],[Aop]],VLOOKUP(M$2&amp;Income_Statement[[#This Row],[Aop]],Data[],M$1)/Jedinica,"")</f>
        <v/>
      </c>
      <c r="N82" s="39" t="str">
        <f>IF(VLOOKUP(N$2&amp;Income_Statement[[#This Row],[Aop]],Data[],1)=N$2&amp;Income_Statement[[#This Row],[Aop]],VLOOKUP(N$2&amp;Income_Statement[[#This Row],[Aop]],Data[],N$1)/Jedinica,"")</f>
        <v/>
      </c>
      <c r="O82" s="39" t="str">
        <f>IF(VLOOKUP(O$2&amp;Income_Statement[[#This Row],[Aop]],Data[],1)=O$2&amp;Income_Statement[[#This Row],[Aop]],VLOOKUP(O$2&amp;Income_Statement[[#This Row],[Aop]],Data[],O$1)/Jedinica,"")</f>
        <v/>
      </c>
      <c r="P82" s="39" t="str">
        <f>IF(VLOOKUP(P$2&amp;Income_Statement[[#This Row],[Aop]],Data[],1)=P$2&amp;Income_Statement[[#This Row],[Aop]],VLOOKUP(P$2&amp;Income_Statement[[#This Row],[Aop]],Data[],P$1)/Jedinica,"")</f>
        <v/>
      </c>
      <c r="Q82" s="39" t="str">
        <f>IF(VLOOKUP(Q$2&amp;Income_Statement[[#This Row],[Aop]],Data[],1)=Q$2&amp;Income_Statement[[#This Row],[Aop]],VLOOKUP(Q$2&amp;Income_Statement[[#This Row],[Aop]],Data[],Q$1)/Jedinica,"")</f>
        <v/>
      </c>
      <c r="R82" s="39" t="str">
        <f>IF(VLOOKUP(R$2&amp;Income_Statement[[#This Row],[Aop]],Data[],1)=R$2&amp;Income_Statement[[#This Row],[Aop]],VLOOKUP(R$2&amp;Income_Statement[[#This Row],[Aop]],Data[],R$1)/Jedinica,"")</f>
        <v/>
      </c>
      <c r="S82" s="39" t="str">
        <f>IF(VLOOKUP(S$2&amp;Income_Statement[[#This Row],[Aop]],Data[],1)=S$2&amp;Income_Statement[[#This Row],[Aop]],VLOOKUP(S$2&amp;Income_Statement[[#This Row],[Aop]],Data[],S$1)/Jedinica,"")</f>
        <v/>
      </c>
      <c r="T82" s="39" t="str">
        <f>IF(VLOOKUP(T$2&amp;Income_Statement[[#This Row],[Aop]],Data[],1)=T$2&amp;Income_Statement[[#This Row],[Aop]],VLOOKUP(T$2&amp;Income_Statement[[#This Row],[Aop]],Data[],T$1)/Jedinica,"")</f>
        <v/>
      </c>
    </row>
    <row r="83" spans="1:20" ht="12.75" customHeight="1" x14ac:dyDescent="0.2">
      <c r="A83" s="74">
        <v>183</v>
      </c>
      <c r="B83" s="74">
        <v>2</v>
      </c>
      <c r="C83" s="78" t="str">
        <f>VLOOKUP(Income_Statement[[#This Row],[No]],AOP_Balance,3,0)</f>
        <v>274</v>
      </c>
      <c r="D83" s="52" t="str">
        <f>VLOOKUP(Income_Statement[[#This Row],[No]],AOP_Balance,7,0)</f>
        <v xml:space="preserve">    3. DOBITAK PO OSNOVU OSTALIH PRIHODA I RASHODA (258-266)</v>
      </c>
      <c r="E83" s="39">
        <f>IF(VLOOKUP(E$2&amp;Income_Statement[[#This Row],[Aop]],Data[],1)=E$2&amp;Income_Statement[[#This Row],[Aop]],VLOOKUP(E$2&amp;Income_Statement[[#This Row],[Aop]],Data[],E$1)/Jedinica,"")</f>
        <v>0</v>
      </c>
      <c r="F83" s="39">
        <f>IF(VLOOKUP(F$2&amp;Income_Statement[[#This Row],[Aop]],Data[],1)=F$2&amp;Income_Statement[[#This Row],[Aop]],VLOOKUP(F$2&amp;Income_Statement[[#This Row],[Aop]],Data[],F$1)/Jedinica,"")</f>
        <v>130822</v>
      </c>
      <c r="G83" s="39">
        <f>IF(VLOOKUP(G$2&amp;Income_Statement[[#This Row],[Aop]],Data[],1)=G$2&amp;Income_Statement[[#This Row],[Aop]],VLOOKUP(G$2&amp;Income_Statement[[#This Row],[Aop]],Data[],G$1)/Jedinica,"")</f>
        <v>283751</v>
      </c>
      <c r="H83" s="39">
        <f>IF(VLOOKUP(H$2&amp;Income_Statement[[#This Row],[Aop]],Data[],1)=H$2&amp;Income_Statement[[#This Row],[Aop]],VLOOKUP(H$2&amp;Income_Statement[[#This Row],[Aop]],Data[],H$1)/Jedinica,"")</f>
        <v>315422</v>
      </c>
      <c r="I83" s="39">
        <f>IF(VLOOKUP(I$2&amp;Income_Statement[[#This Row],[Aop]],Data[],1)=I$2&amp;Income_Statement[[#This Row],[Aop]],VLOOKUP(I$2&amp;Income_Statement[[#This Row],[Aop]],Data[],I$1)/Jedinica,"")</f>
        <v>136619</v>
      </c>
      <c r="J83" s="39">
        <f>IF(VLOOKUP(J$2&amp;Income_Statement[[#This Row],[Aop]],Data[],1)=J$2&amp;Income_Statement[[#This Row],[Aop]],VLOOKUP(J$2&amp;Income_Statement[[#This Row],[Aop]],Data[],J$1)/Jedinica,"")</f>
        <v>42701</v>
      </c>
      <c r="K83" s="39" t="str">
        <f>IF(VLOOKUP(K$2&amp;Income_Statement[[#This Row],[Aop]],Data[],1)=K$2&amp;Income_Statement[[#This Row],[Aop]],VLOOKUP(K$2&amp;Income_Statement[[#This Row],[Aop]],Data[],K$1)/Jedinica,"")</f>
        <v/>
      </c>
      <c r="L83" s="39" t="str">
        <f>IF(VLOOKUP(L$2&amp;Income_Statement[[#This Row],[Aop]],Data[],1)=L$2&amp;Income_Statement[[#This Row],[Aop]],VLOOKUP(L$2&amp;Income_Statement[[#This Row],[Aop]],Data[],L$1)/Jedinica,"")</f>
        <v/>
      </c>
      <c r="M83" s="39">
        <f>IF(VLOOKUP(M$2&amp;Income_Statement[[#This Row],[Aop]],Data[],1)=M$2&amp;Income_Statement[[#This Row],[Aop]],VLOOKUP(M$2&amp;Income_Statement[[#This Row],[Aop]],Data[],M$1)/Jedinica,"")</f>
        <v>0</v>
      </c>
      <c r="N83" s="39">
        <f>IF(VLOOKUP(N$2&amp;Income_Statement[[#This Row],[Aop]],Data[],1)=N$2&amp;Income_Statement[[#This Row],[Aop]],VLOOKUP(N$2&amp;Income_Statement[[#This Row],[Aop]],Data[],N$1)/Jedinica,"")</f>
        <v>94017</v>
      </c>
      <c r="O83" s="39" t="str">
        <f>IF(VLOOKUP(O$2&amp;Income_Statement[[#This Row],[Aop]],Data[],1)=O$2&amp;Income_Statement[[#This Row],[Aop]],VLOOKUP(O$2&amp;Income_Statement[[#This Row],[Aop]],Data[],O$1)/Jedinica,"")</f>
        <v/>
      </c>
      <c r="P83" s="39" t="str">
        <f>IF(VLOOKUP(P$2&amp;Income_Statement[[#This Row],[Aop]],Data[],1)=P$2&amp;Income_Statement[[#This Row],[Aop]],VLOOKUP(P$2&amp;Income_Statement[[#This Row],[Aop]],Data[],P$1)/Jedinica,"")</f>
        <v/>
      </c>
      <c r="Q83" s="39">
        <f>IF(VLOOKUP(Q$2&amp;Income_Statement[[#This Row],[Aop]],Data[],1)=Q$2&amp;Income_Statement[[#This Row],[Aop]],VLOOKUP(Q$2&amp;Income_Statement[[#This Row],[Aop]],Data[],Q$1)/Jedinica,"")</f>
        <v>255975</v>
      </c>
      <c r="R83" s="39">
        <f>IF(VLOOKUP(R$2&amp;Income_Statement[[#This Row],[Aop]],Data[],1)=R$2&amp;Income_Statement[[#This Row],[Aop]],VLOOKUP(R$2&amp;Income_Statement[[#This Row],[Aop]],Data[],R$1)/Jedinica,"")</f>
        <v>172887</v>
      </c>
      <c r="S83" s="39">
        <f>IF(VLOOKUP(S$2&amp;Income_Statement[[#This Row],[Aop]],Data[],1)=S$2&amp;Income_Statement[[#This Row],[Aop]],VLOOKUP(S$2&amp;Income_Statement[[#This Row],[Aop]],Data[],S$1)/Jedinica,"")</f>
        <v>2414403</v>
      </c>
      <c r="T83" s="39">
        <f>IF(VLOOKUP(T$2&amp;Income_Statement[[#This Row],[Aop]],Data[],1)=T$2&amp;Income_Statement[[#This Row],[Aop]],VLOOKUP(T$2&amp;Income_Statement[[#This Row],[Aop]],Data[],T$1)/Jedinica,"")</f>
        <v>450580</v>
      </c>
    </row>
    <row r="84" spans="1:20" ht="12.75" customHeight="1" x14ac:dyDescent="0.2">
      <c r="A84" s="74">
        <v>184</v>
      </c>
      <c r="B84" s="74">
        <v>2</v>
      </c>
      <c r="C84" s="78" t="str">
        <f>VLOOKUP(Income_Statement[[#This Row],[No]],AOP_Balance,3,0)</f>
        <v>275</v>
      </c>
      <c r="D84" s="52" t="str">
        <f>VLOOKUP(Income_Statement[[#This Row],[No]],AOP_Balance,7,0)</f>
        <v xml:space="preserve">    4. GUBITAK PO OSNOVU OSTALIH PRIHODA I RASHODA (266-258)</v>
      </c>
      <c r="E84" s="39">
        <f>IF(VLOOKUP(E$2&amp;Income_Statement[[#This Row],[Aop]],Data[],1)=E$2&amp;Income_Statement[[#This Row],[Aop]],VLOOKUP(E$2&amp;Income_Statement[[#This Row],[Aop]],Data[],E$1)/Jedinica,"")</f>
        <v>-4713</v>
      </c>
      <c r="F84" s="39">
        <f>IF(VLOOKUP(F$2&amp;Income_Statement[[#This Row],[Aop]],Data[],1)=F$2&amp;Income_Statement[[#This Row],[Aop]],VLOOKUP(F$2&amp;Income_Statement[[#This Row],[Aop]],Data[],F$1)/Jedinica,"")</f>
        <v>0</v>
      </c>
      <c r="G84" s="39" t="str">
        <f>IF(VLOOKUP(G$2&amp;Income_Statement[[#This Row],[Aop]],Data[],1)=G$2&amp;Income_Statement[[#This Row],[Aop]],VLOOKUP(G$2&amp;Income_Statement[[#This Row],[Aop]],Data[],G$1)/Jedinica,"")</f>
        <v/>
      </c>
      <c r="H84" s="39" t="str">
        <f>IF(VLOOKUP(H$2&amp;Income_Statement[[#This Row],[Aop]],Data[],1)=H$2&amp;Income_Statement[[#This Row],[Aop]],VLOOKUP(H$2&amp;Income_Statement[[#This Row],[Aop]],Data[],H$1)/Jedinica,"")</f>
        <v/>
      </c>
      <c r="I84" s="39" t="str">
        <f>IF(VLOOKUP(I$2&amp;Income_Statement[[#This Row],[Aop]],Data[],1)=I$2&amp;Income_Statement[[#This Row],[Aop]],VLOOKUP(I$2&amp;Income_Statement[[#This Row],[Aop]],Data[],I$1)/Jedinica,"")</f>
        <v/>
      </c>
      <c r="J84" s="39" t="str">
        <f>IF(VLOOKUP(J$2&amp;Income_Statement[[#This Row],[Aop]],Data[],1)=J$2&amp;Income_Statement[[#This Row],[Aop]],VLOOKUP(J$2&amp;Income_Statement[[#This Row],[Aop]],Data[],J$1)/Jedinica,"")</f>
        <v/>
      </c>
      <c r="K84" s="39">
        <f>IF(VLOOKUP(K$2&amp;Income_Statement[[#This Row],[Aop]],Data[],1)=K$2&amp;Income_Statement[[#This Row],[Aop]],VLOOKUP(K$2&amp;Income_Statement[[#This Row],[Aop]],Data[],K$1)/Jedinica,"")</f>
        <v>15694</v>
      </c>
      <c r="L84" s="39">
        <f>IF(VLOOKUP(L$2&amp;Income_Statement[[#This Row],[Aop]],Data[],1)=L$2&amp;Income_Statement[[#This Row],[Aop]],VLOOKUP(L$2&amp;Income_Statement[[#This Row],[Aop]],Data[],L$1)/Jedinica,"")</f>
        <v>27530</v>
      </c>
      <c r="M84" s="39">
        <f>IF(VLOOKUP(M$2&amp;Income_Statement[[#This Row],[Aop]],Data[],1)=M$2&amp;Income_Statement[[#This Row],[Aop]],VLOOKUP(M$2&amp;Income_Statement[[#This Row],[Aop]],Data[],M$1)/Jedinica,"")</f>
        <v>159626</v>
      </c>
      <c r="N84" s="39">
        <f>IF(VLOOKUP(N$2&amp;Income_Statement[[#This Row],[Aop]],Data[],1)=N$2&amp;Income_Statement[[#This Row],[Aop]],VLOOKUP(N$2&amp;Income_Statement[[#This Row],[Aop]],Data[],N$1)/Jedinica,"")</f>
        <v>0</v>
      </c>
      <c r="O84" s="39">
        <f>IF(VLOOKUP(O$2&amp;Income_Statement[[#This Row],[Aop]],Data[],1)=O$2&amp;Income_Statement[[#This Row],[Aop]],VLOOKUP(O$2&amp;Income_Statement[[#This Row],[Aop]],Data[],O$1)/Jedinica,"")</f>
        <v>15694</v>
      </c>
      <c r="P84" s="39">
        <f>IF(VLOOKUP(P$2&amp;Income_Statement[[#This Row],[Aop]],Data[],1)=P$2&amp;Income_Statement[[#This Row],[Aop]],VLOOKUP(P$2&amp;Income_Statement[[#This Row],[Aop]],Data[],P$1)/Jedinica,"")</f>
        <v>27530</v>
      </c>
      <c r="Q84" s="39" t="str">
        <f>IF(VLOOKUP(Q$2&amp;Income_Statement[[#This Row],[Aop]],Data[],1)=Q$2&amp;Income_Statement[[#This Row],[Aop]],VLOOKUP(Q$2&amp;Income_Statement[[#This Row],[Aop]],Data[],Q$1)/Jedinica,"")</f>
        <v/>
      </c>
      <c r="R84" s="39" t="str">
        <f>IF(VLOOKUP(R$2&amp;Income_Statement[[#This Row],[Aop]],Data[],1)=R$2&amp;Income_Statement[[#This Row],[Aop]],VLOOKUP(R$2&amp;Income_Statement[[#This Row],[Aop]],Data[],R$1)/Jedinica,"")</f>
        <v/>
      </c>
      <c r="S84" s="39" t="str">
        <f>IF(VLOOKUP(S$2&amp;Income_Statement[[#This Row],[Aop]],Data[],1)=S$2&amp;Income_Statement[[#This Row],[Aop]],VLOOKUP(S$2&amp;Income_Statement[[#This Row],[Aop]],Data[],S$1)/Jedinica,"")</f>
        <v/>
      </c>
      <c r="T84" s="39" t="str">
        <f>IF(VLOOKUP(T$2&amp;Income_Statement[[#This Row],[Aop]],Data[],1)=T$2&amp;Income_Statement[[#This Row],[Aop]],VLOOKUP(T$2&amp;Income_Statement[[#This Row],[Aop]],Data[],T$1)/Jedinica,"")</f>
        <v/>
      </c>
    </row>
    <row r="85" spans="1:20" ht="12.75" customHeight="1" x14ac:dyDescent="0.2">
      <c r="A85" s="74">
        <v>185</v>
      </c>
      <c r="B85" s="74">
        <v>1</v>
      </c>
      <c r="C85" s="78" t="str">
        <f>VLOOKUP(Income_Statement[[#This Row],[No]],AOP_Balance,3,0)</f>
        <v>276</v>
      </c>
      <c r="D85" s="52" t="str">
        <f>VLOOKUP(Income_Statement[[#This Row],[No]],AOP_Balance,7,0)</f>
        <v xml:space="preserve">  G. POSLOVNI DOBITAK (233+256+274-234-257-275)</v>
      </c>
      <c r="E85" s="39">
        <f>IF(VLOOKUP(E$2&amp;Income_Statement[[#This Row],[Aop]],Data[],1)=E$2&amp;Income_Statement[[#This Row],[Aop]],VLOOKUP(E$2&amp;Income_Statement[[#This Row],[Aop]],Data[],E$1)/Jedinica,"")</f>
        <v>304443</v>
      </c>
      <c r="F85" s="39">
        <f>IF(VLOOKUP(F$2&amp;Income_Statement[[#This Row],[Aop]],Data[],1)=F$2&amp;Income_Statement[[#This Row],[Aop]],VLOOKUP(F$2&amp;Income_Statement[[#This Row],[Aop]],Data[],F$1)/Jedinica,"")</f>
        <v>809374</v>
      </c>
      <c r="G85" s="39">
        <f>IF(VLOOKUP(G$2&amp;Income_Statement[[#This Row],[Aop]],Data[],1)=G$2&amp;Income_Statement[[#This Row],[Aop]],VLOOKUP(G$2&amp;Income_Statement[[#This Row],[Aop]],Data[],G$1)/Jedinica,"")</f>
        <v>0</v>
      </c>
      <c r="H85" s="39">
        <f>IF(VLOOKUP(H$2&amp;Income_Statement[[#This Row],[Aop]],Data[],1)=H$2&amp;Income_Statement[[#This Row],[Aop]],VLOOKUP(H$2&amp;Income_Statement[[#This Row],[Aop]],Data[],H$1)/Jedinica,"")</f>
        <v>672512</v>
      </c>
      <c r="I85" s="39">
        <f>IF(VLOOKUP(I$2&amp;Income_Statement[[#This Row],[Aop]],Data[],1)=I$2&amp;Income_Statement[[#This Row],[Aop]],VLOOKUP(I$2&amp;Income_Statement[[#This Row],[Aop]],Data[],I$1)/Jedinica,"")</f>
        <v>138343</v>
      </c>
      <c r="J85" s="39">
        <f>IF(VLOOKUP(J$2&amp;Income_Statement[[#This Row],[Aop]],Data[],1)=J$2&amp;Income_Statement[[#This Row],[Aop]],VLOOKUP(J$2&amp;Income_Statement[[#This Row],[Aop]],Data[],J$1)/Jedinica,"")</f>
        <v>78777</v>
      </c>
      <c r="K85" s="39">
        <f>IF(VLOOKUP(K$2&amp;Income_Statement[[#This Row],[Aop]],Data[],1)=K$2&amp;Income_Statement[[#This Row],[Aop]],VLOOKUP(K$2&amp;Income_Statement[[#This Row],[Aop]],Data[],K$1)/Jedinica,"")</f>
        <v>613773</v>
      </c>
      <c r="L85" s="39">
        <f>IF(VLOOKUP(L$2&amp;Income_Statement[[#This Row],[Aop]],Data[],1)=L$2&amp;Income_Statement[[#This Row],[Aop]],VLOOKUP(L$2&amp;Income_Statement[[#This Row],[Aop]],Data[],L$1)/Jedinica,"")</f>
        <v>1248662</v>
      </c>
      <c r="M85" s="39">
        <f>IF(VLOOKUP(M$2&amp;Income_Statement[[#This Row],[Aop]],Data[],1)=M$2&amp;Income_Statement[[#This Row],[Aop]],VLOOKUP(M$2&amp;Income_Statement[[#This Row],[Aop]],Data[],M$1)/Jedinica,"")</f>
        <v>3985600</v>
      </c>
      <c r="N85" s="39">
        <f>IF(VLOOKUP(N$2&amp;Income_Statement[[#This Row],[Aop]],Data[],1)=N$2&amp;Income_Statement[[#This Row],[Aop]],VLOOKUP(N$2&amp;Income_Statement[[#This Row],[Aop]],Data[],N$1)/Jedinica,"")</f>
        <v>4756939</v>
      </c>
      <c r="O85" s="39">
        <f>IF(VLOOKUP(O$2&amp;Income_Statement[[#This Row],[Aop]],Data[],1)=O$2&amp;Income_Statement[[#This Row],[Aop]],VLOOKUP(O$2&amp;Income_Statement[[#This Row],[Aop]],Data[],O$1)/Jedinica,"")</f>
        <v>613773</v>
      </c>
      <c r="P85" s="39">
        <f>IF(VLOOKUP(P$2&amp;Income_Statement[[#This Row],[Aop]],Data[],1)=P$2&amp;Income_Statement[[#This Row],[Aop]],VLOOKUP(P$2&amp;Income_Statement[[#This Row],[Aop]],Data[],P$1)/Jedinica,"")</f>
        <v>1248662</v>
      </c>
      <c r="Q85" s="39" t="str">
        <f>IF(VLOOKUP(Q$2&amp;Income_Statement[[#This Row],[Aop]],Data[],1)=Q$2&amp;Income_Statement[[#This Row],[Aop]],VLOOKUP(Q$2&amp;Income_Statement[[#This Row],[Aop]],Data[],Q$1)/Jedinica,"")</f>
        <v/>
      </c>
      <c r="R85" s="39" t="str">
        <f>IF(VLOOKUP(R$2&amp;Income_Statement[[#This Row],[Aop]],Data[],1)=R$2&amp;Income_Statement[[#This Row],[Aop]],VLOOKUP(R$2&amp;Income_Statement[[#This Row],[Aop]],Data[],R$1)/Jedinica,"")</f>
        <v/>
      </c>
      <c r="S85" s="39">
        <f>IF(VLOOKUP(S$2&amp;Income_Statement[[#This Row],[Aop]],Data[],1)=S$2&amp;Income_Statement[[#This Row],[Aop]],VLOOKUP(S$2&amp;Income_Statement[[#This Row],[Aop]],Data[],S$1)/Jedinica,"")</f>
        <v>6978518</v>
      </c>
      <c r="T85" s="39">
        <f>IF(VLOOKUP(T$2&amp;Income_Statement[[#This Row],[Aop]],Data[],1)=T$2&amp;Income_Statement[[#This Row],[Aop]],VLOOKUP(T$2&amp;Income_Statement[[#This Row],[Aop]],Data[],T$1)/Jedinica,"")</f>
        <v>5870379</v>
      </c>
    </row>
    <row r="86" spans="1:20" ht="12.75" customHeight="1" x14ac:dyDescent="0.2">
      <c r="A86" s="74">
        <v>186</v>
      </c>
      <c r="B86" s="74">
        <v>1</v>
      </c>
      <c r="C86" s="78" t="str">
        <f>VLOOKUP(Income_Statement[[#This Row],[No]],AOP_Balance,3,0)</f>
        <v>277</v>
      </c>
      <c r="D86" s="52" t="str">
        <f>VLOOKUP(Income_Statement[[#This Row],[No]],AOP_Balance,7,0)</f>
        <v xml:space="preserve">  D. POSLOVNI GUBITAK (234+257+275-233-256-274)</v>
      </c>
      <c r="E86" s="39" t="str">
        <f>IF(VLOOKUP(E$2&amp;Income_Statement[[#This Row],[Aop]],Data[],1)=E$2&amp;Income_Statement[[#This Row],[Aop]],VLOOKUP(E$2&amp;Income_Statement[[#This Row],[Aop]],Data[],E$1)/Jedinica,"")</f>
        <v/>
      </c>
      <c r="F86" s="39" t="str">
        <f>IF(VLOOKUP(F$2&amp;Income_Statement[[#This Row],[Aop]],Data[],1)=F$2&amp;Income_Statement[[#This Row],[Aop]],VLOOKUP(F$2&amp;Income_Statement[[#This Row],[Aop]],Data[],F$1)/Jedinica,"")</f>
        <v/>
      </c>
      <c r="G86" s="39">
        <f>IF(VLOOKUP(G$2&amp;Income_Statement[[#This Row],[Aop]],Data[],1)=G$2&amp;Income_Statement[[#This Row],[Aop]],VLOOKUP(G$2&amp;Income_Statement[[#This Row],[Aop]],Data[],G$1)/Jedinica,"")</f>
        <v>273129</v>
      </c>
      <c r="H86" s="39">
        <f>IF(VLOOKUP(H$2&amp;Income_Statement[[#This Row],[Aop]],Data[],1)=H$2&amp;Income_Statement[[#This Row],[Aop]],VLOOKUP(H$2&amp;Income_Statement[[#This Row],[Aop]],Data[],H$1)/Jedinica,"")</f>
        <v>0</v>
      </c>
      <c r="I86" s="39" t="str">
        <f>IF(VLOOKUP(I$2&amp;Income_Statement[[#This Row],[Aop]],Data[],1)=I$2&amp;Income_Statement[[#This Row],[Aop]],VLOOKUP(I$2&amp;Income_Statement[[#This Row],[Aop]],Data[],I$1)/Jedinica,"")</f>
        <v/>
      </c>
      <c r="J86" s="39" t="str">
        <f>IF(VLOOKUP(J$2&amp;Income_Statement[[#This Row],[Aop]],Data[],1)=J$2&amp;Income_Statement[[#This Row],[Aop]],VLOOKUP(J$2&amp;Income_Statement[[#This Row],[Aop]],Data[],J$1)/Jedinica,"")</f>
        <v/>
      </c>
      <c r="K86" s="39" t="str">
        <f>IF(VLOOKUP(K$2&amp;Income_Statement[[#This Row],[Aop]],Data[],1)=K$2&amp;Income_Statement[[#This Row],[Aop]],VLOOKUP(K$2&amp;Income_Statement[[#This Row],[Aop]],Data[],K$1)/Jedinica,"")</f>
        <v/>
      </c>
      <c r="L86" s="39" t="str">
        <f>IF(VLOOKUP(L$2&amp;Income_Statement[[#This Row],[Aop]],Data[],1)=L$2&amp;Income_Statement[[#This Row],[Aop]],VLOOKUP(L$2&amp;Income_Statement[[#This Row],[Aop]],Data[],L$1)/Jedinica,"")</f>
        <v/>
      </c>
      <c r="M86" s="39" t="str">
        <f>IF(VLOOKUP(M$2&amp;Income_Statement[[#This Row],[Aop]],Data[],1)=M$2&amp;Income_Statement[[#This Row],[Aop]],VLOOKUP(M$2&amp;Income_Statement[[#This Row],[Aop]],Data[],M$1)/Jedinica,"")</f>
        <v/>
      </c>
      <c r="N86" s="39" t="str">
        <f>IF(VLOOKUP(N$2&amp;Income_Statement[[#This Row],[Aop]],Data[],1)=N$2&amp;Income_Statement[[#This Row],[Aop]],VLOOKUP(N$2&amp;Income_Statement[[#This Row],[Aop]],Data[],N$1)/Jedinica,"")</f>
        <v/>
      </c>
      <c r="O86" s="39" t="str">
        <f>IF(VLOOKUP(O$2&amp;Income_Statement[[#This Row],[Aop]],Data[],1)=O$2&amp;Income_Statement[[#This Row],[Aop]],VLOOKUP(O$2&amp;Income_Statement[[#This Row],[Aop]],Data[],O$1)/Jedinica,"")</f>
        <v/>
      </c>
      <c r="P86" s="39" t="str">
        <f>IF(VLOOKUP(P$2&amp;Income_Statement[[#This Row],[Aop]],Data[],1)=P$2&amp;Income_Statement[[#This Row],[Aop]],VLOOKUP(P$2&amp;Income_Statement[[#This Row],[Aop]],Data[],P$1)/Jedinica,"")</f>
        <v/>
      </c>
      <c r="Q86" s="39">
        <f>IF(VLOOKUP(Q$2&amp;Income_Statement[[#This Row],[Aop]],Data[],1)=Q$2&amp;Income_Statement[[#This Row],[Aop]],VLOOKUP(Q$2&amp;Income_Statement[[#This Row],[Aop]],Data[],Q$1)/Jedinica,"")</f>
        <v>108578</v>
      </c>
      <c r="R86" s="39">
        <f>IF(VLOOKUP(R$2&amp;Income_Statement[[#This Row],[Aop]],Data[],1)=R$2&amp;Income_Statement[[#This Row],[Aop]],VLOOKUP(R$2&amp;Income_Statement[[#This Row],[Aop]],Data[],R$1)/Jedinica,"")</f>
        <v>218547</v>
      </c>
      <c r="S86" s="39" t="str">
        <f>IF(VLOOKUP(S$2&amp;Income_Statement[[#This Row],[Aop]],Data[],1)=S$2&amp;Income_Statement[[#This Row],[Aop]],VLOOKUP(S$2&amp;Income_Statement[[#This Row],[Aop]],Data[],S$1)/Jedinica,"")</f>
        <v/>
      </c>
      <c r="T86" s="39" t="str">
        <f>IF(VLOOKUP(T$2&amp;Income_Statement[[#This Row],[Aop]],Data[],1)=T$2&amp;Income_Statement[[#This Row],[Aop]],VLOOKUP(T$2&amp;Income_Statement[[#This Row],[Aop]],Data[],T$1)/Jedinica,"")</f>
        <v/>
      </c>
    </row>
    <row r="87" spans="1:20" ht="12.75" customHeight="1" x14ac:dyDescent="0.2">
      <c r="A87" s="74">
        <v>187</v>
      </c>
      <c r="B87" s="74">
        <v>1</v>
      </c>
      <c r="C87" s="79" t="str">
        <f>VLOOKUP(Income_Statement[[#This Row],[No]],AOP_Balance,3,0)</f>
        <v/>
      </c>
      <c r="D87" s="52" t="str">
        <f>VLOOKUP(Income_Statement[[#This Row],[No]],AOP_Balance,7,0)</f>
        <v xml:space="preserve">  Đ. PRIHODI I RASHODI OD PROMJENE VRIJEDNOSTI IMOVINE I OBAVEZA</v>
      </c>
      <c r="E87" s="39" t="e">
        <f>IF(VLOOKUP(E$2&amp;Income_Statement[[#This Row],[Aop]],Data[],1)=E$2&amp;Income_Statement[[#This Row],[Aop]],VLOOKUP(E$2&amp;Income_Statement[[#This Row],[Aop]],Data[],E$1)/Jedinica,"")</f>
        <v>#N/A</v>
      </c>
      <c r="F87" s="39" t="e">
        <f>IF(VLOOKUP(F$2&amp;Income_Statement[[#This Row],[Aop]],Data[],1)=F$2&amp;Income_Statement[[#This Row],[Aop]],VLOOKUP(F$2&amp;Income_Statement[[#This Row],[Aop]],Data[],F$1)/Jedinica,"")</f>
        <v>#N/A</v>
      </c>
      <c r="G87" s="39" t="str">
        <f>IF(VLOOKUP(G$2&amp;Income_Statement[[#This Row],[Aop]],Data[],1)=G$2&amp;Income_Statement[[#This Row],[Aop]],VLOOKUP(G$2&amp;Income_Statement[[#This Row],[Aop]],Data[],G$1)/Jedinica,"")</f>
        <v/>
      </c>
      <c r="H87" s="39" t="str">
        <f>IF(VLOOKUP(H$2&amp;Income_Statement[[#This Row],[Aop]],Data[],1)=H$2&amp;Income_Statement[[#This Row],[Aop]],VLOOKUP(H$2&amp;Income_Statement[[#This Row],[Aop]],Data[],H$1)/Jedinica,"")</f>
        <v/>
      </c>
      <c r="I87" s="39" t="str">
        <f>IF(VLOOKUP(I$2&amp;Income_Statement[[#This Row],[Aop]],Data[],1)=I$2&amp;Income_Statement[[#This Row],[Aop]],VLOOKUP(I$2&amp;Income_Statement[[#This Row],[Aop]],Data[],I$1)/Jedinica,"")</f>
        <v/>
      </c>
      <c r="J87" s="39" t="str">
        <f>IF(VLOOKUP(J$2&amp;Income_Statement[[#This Row],[Aop]],Data[],1)=J$2&amp;Income_Statement[[#This Row],[Aop]],VLOOKUP(J$2&amp;Income_Statement[[#This Row],[Aop]],Data[],J$1)/Jedinica,"")</f>
        <v/>
      </c>
      <c r="K87" s="39" t="str">
        <f>IF(VLOOKUP(K$2&amp;Income_Statement[[#This Row],[Aop]],Data[],1)=K$2&amp;Income_Statement[[#This Row],[Aop]],VLOOKUP(K$2&amp;Income_Statement[[#This Row],[Aop]],Data[],K$1)/Jedinica,"")</f>
        <v/>
      </c>
      <c r="L87" s="39" t="str">
        <f>IF(VLOOKUP(L$2&amp;Income_Statement[[#This Row],[Aop]],Data[],1)=L$2&amp;Income_Statement[[#This Row],[Aop]],VLOOKUP(L$2&amp;Income_Statement[[#This Row],[Aop]],Data[],L$1)/Jedinica,"")</f>
        <v/>
      </c>
      <c r="M87" s="39" t="str">
        <f>IF(VLOOKUP(M$2&amp;Income_Statement[[#This Row],[Aop]],Data[],1)=M$2&amp;Income_Statement[[#This Row],[Aop]],VLOOKUP(M$2&amp;Income_Statement[[#This Row],[Aop]],Data[],M$1)/Jedinica,"")</f>
        <v/>
      </c>
      <c r="N87" s="39" t="str">
        <f>IF(VLOOKUP(N$2&amp;Income_Statement[[#This Row],[Aop]],Data[],1)=N$2&amp;Income_Statement[[#This Row],[Aop]],VLOOKUP(N$2&amp;Income_Statement[[#This Row],[Aop]],Data[],N$1)/Jedinica,"")</f>
        <v/>
      </c>
      <c r="O87" s="39" t="str">
        <f>IF(VLOOKUP(O$2&amp;Income_Statement[[#This Row],[Aop]],Data[],1)=O$2&amp;Income_Statement[[#This Row],[Aop]],VLOOKUP(O$2&amp;Income_Statement[[#This Row],[Aop]],Data[],O$1)/Jedinica,"")</f>
        <v/>
      </c>
      <c r="P87" s="39" t="str">
        <f>IF(VLOOKUP(P$2&amp;Income_Statement[[#This Row],[Aop]],Data[],1)=P$2&amp;Income_Statement[[#This Row],[Aop]],VLOOKUP(P$2&amp;Income_Statement[[#This Row],[Aop]],Data[],P$1)/Jedinica,"")</f>
        <v/>
      </c>
      <c r="Q87" s="39" t="str">
        <f>IF(VLOOKUP(Q$2&amp;Income_Statement[[#This Row],[Aop]],Data[],1)=Q$2&amp;Income_Statement[[#This Row],[Aop]],VLOOKUP(Q$2&amp;Income_Statement[[#This Row],[Aop]],Data[],Q$1)/Jedinica,"")</f>
        <v/>
      </c>
      <c r="R87" s="39" t="str">
        <f>IF(VLOOKUP(R$2&amp;Income_Statement[[#This Row],[Aop]],Data[],1)=R$2&amp;Income_Statement[[#This Row],[Aop]],VLOOKUP(R$2&amp;Income_Statement[[#This Row],[Aop]],Data[],R$1)/Jedinica,"")</f>
        <v/>
      </c>
      <c r="S87" s="39" t="str">
        <f>IF(VLOOKUP(S$2&amp;Income_Statement[[#This Row],[Aop]],Data[],1)=S$2&amp;Income_Statement[[#This Row],[Aop]],VLOOKUP(S$2&amp;Income_Statement[[#This Row],[Aop]],Data[],S$1)/Jedinica,"")</f>
        <v/>
      </c>
      <c r="T87" s="39" t="str">
        <f>IF(VLOOKUP(T$2&amp;Income_Statement[[#This Row],[Aop]],Data[],1)=T$2&amp;Income_Statement[[#This Row],[Aop]],VLOOKUP(T$2&amp;Income_Statement[[#This Row],[Aop]],Data[],T$1)/Jedinica,"")</f>
        <v/>
      </c>
    </row>
    <row r="88" spans="1:20" ht="12.75" customHeight="1" x14ac:dyDescent="0.2">
      <c r="A88" s="74">
        <v>188</v>
      </c>
      <c r="B88" s="74">
        <v>2</v>
      </c>
      <c r="C88" s="79" t="str">
        <f>VLOOKUP(Income_Statement[[#This Row],[No]],AOP_Balance,3,0)</f>
        <v>278</v>
      </c>
      <c r="D88" s="52" t="str">
        <f>VLOOKUP(Income_Statement[[#This Row],[No]],AOP_Balance,7,0)</f>
        <v xml:space="preserve">    1. Prihodi od promjene vrijednosti imovine i obaveza (279 do 283)</v>
      </c>
      <c r="E88" s="39">
        <f>IF(VLOOKUP(E$2&amp;Income_Statement[[#This Row],[Aop]],Data[],1)=E$2&amp;Income_Statement[[#This Row],[Aop]],VLOOKUP(E$2&amp;Income_Statement[[#This Row],[Aop]],Data[],E$1)/Jedinica,"")</f>
        <v>353615</v>
      </c>
      <c r="F88" s="39">
        <f>IF(VLOOKUP(F$2&amp;Income_Statement[[#This Row],[Aop]],Data[],1)=F$2&amp;Income_Statement[[#This Row],[Aop]],VLOOKUP(F$2&amp;Income_Statement[[#This Row],[Aop]],Data[],F$1)/Jedinica,"")</f>
        <v>189952</v>
      </c>
      <c r="G88" s="39">
        <f>IF(VLOOKUP(G$2&amp;Income_Statement[[#This Row],[Aop]],Data[],1)=G$2&amp;Income_Statement[[#This Row],[Aop]],VLOOKUP(G$2&amp;Income_Statement[[#This Row],[Aop]],Data[],G$1)/Jedinica,"")</f>
        <v>2897959</v>
      </c>
      <c r="H88" s="39">
        <f>IF(VLOOKUP(H$2&amp;Income_Statement[[#This Row],[Aop]],Data[],1)=H$2&amp;Income_Statement[[#This Row],[Aop]],VLOOKUP(H$2&amp;Income_Statement[[#This Row],[Aop]],Data[],H$1)/Jedinica,"")</f>
        <v>6510402</v>
      </c>
      <c r="I88" s="39">
        <f>IF(VLOOKUP(I$2&amp;Income_Statement[[#This Row],[Aop]],Data[],1)=I$2&amp;Income_Statement[[#This Row],[Aop]],VLOOKUP(I$2&amp;Income_Statement[[#This Row],[Aop]],Data[],I$1)/Jedinica,"")</f>
        <v>177262</v>
      </c>
      <c r="J88" s="39">
        <f>IF(VLOOKUP(J$2&amp;Income_Statement[[#This Row],[Aop]],Data[],1)=J$2&amp;Income_Statement[[#This Row],[Aop]],VLOOKUP(J$2&amp;Income_Statement[[#This Row],[Aop]],Data[],J$1)/Jedinica,"")</f>
        <v>202769</v>
      </c>
      <c r="K88" s="39">
        <f>IF(VLOOKUP(K$2&amp;Income_Statement[[#This Row],[Aop]],Data[],1)=K$2&amp;Income_Statement[[#This Row],[Aop]],VLOOKUP(K$2&amp;Income_Statement[[#This Row],[Aop]],Data[],K$1)/Jedinica,"")</f>
        <v>2741225</v>
      </c>
      <c r="L88" s="39">
        <f>IF(VLOOKUP(L$2&amp;Income_Statement[[#This Row],[Aop]],Data[],1)=L$2&amp;Income_Statement[[#This Row],[Aop]],VLOOKUP(L$2&amp;Income_Statement[[#This Row],[Aop]],Data[],L$1)/Jedinica,"")</f>
        <v>927066</v>
      </c>
      <c r="M88" s="39">
        <f>IF(VLOOKUP(M$2&amp;Income_Statement[[#This Row],[Aop]],Data[],1)=M$2&amp;Income_Statement[[#This Row],[Aop]],VLOOKUP(M$2&amp;Income_Statement[[#This Row],[Aop]],Data[],M$1)/Jedinica,"")</f>
        <v>6074487</v>
      </c>
      <c r="N88" s="39">
        <f>IF(VLOOKUP(N$2&amp;Income_Statement[[#This Row],[Aop]],Data[],1)=N$2&amp;Income_Statement[[#This Row],[Aop]],VLOOKUP(N$2&amp;Income_Statement[[#This Row],[Aop]],Data[],N$1)/Jedinica,"")</f>
        <v>6027836</v>
      </c>
      <c r="O88" s="39">
        <f>IF(VLOOKUP(O$2&amp;Income_Statement[[#This Row],[Aop]],Data[],1)=O$2&amp;Income_Statement[[#This Row],[Aop]],VLOOKUP(O$2&amp;Income_Statement[[#This Row],[Aop]],Data[],O$1)/Jedinica,"")</f>
        <v>2741225</v>
      </c>
      <c r="P88" s="39">
        <f>IF(VLOOKUP(P$2&amp;Income_Statement[[#This Row],[Aop]],Data[],1)=P$2&amp;Income_Statement[[#This Row],[Aop]],VLOOKUP(P$2&amp;Income_Statement[[#This Row],[Aop]],Data[],P$1)/Jedinica,"")</f>
        <v>927066</v>
      </c>
      <c r="Q88" s="39">
        <f>IF(VLOOKUP(Q$2&amp;Income_Statement[[#This Row],[Aop]],Data[],1)=Q$2&amp;Income_Statement[[#This Row],[Aop]],VLOOKUP(Q$2&amp;Income_Statement[[#This Row],[Aop]],Data[],Q$1)/Jedinica,"")</f>
        <v>1507174</v>
      </c>
      <c r="R88" s="39">
        <f>IF(VLOOKUP(R$2&amp;Income_Statement[[#This Row],[Aop]],Data[],1)=R$2&amp;Income_Statement[[#This Row],[Aop]],VLOOKUP(R$2&amp;Income_Statement[[#This Row],[Aop]],Data[],R$1)/Jedinica,"")</f>
        <v>906805</v>
      </c>
      <c r="S88" s="39">
        <f>IF(VLOOKUP(S$2&amp;Income_Statement[[#This Row],[Aop]],Data[],1)=S$2&amp;Income_Statement[[#This Row],[Aop]],VLOOKUP(S$2&amp;Income_Statement[[#This Row],[Aop]],Data[],S$1)/Jedinica,"")</f>
        <v>3105439</v>
      </c>
      <c r="T88" s="39">
        <f>IF(VLOOKUP(T$2&amp;Income_Statement[[#This Row],[Aop]],Data[],1)=T$2&amp;Income_Statement[[#This Row],[Aop]],VLOOKUP(T$2&amp;Income_Statement[[#This Row],[Aop]],Data[],T$1)/Jedinica,"")</f>
        <v>2563723</v>
      </c>
    </row>
    <row r="89" spans="1:20" ht="12.75" customHeight="1" x14ac:dyDescent="0.2">
      <c r="A89" s="74">
        <v>189</v>
      </c>
      <c r="B89" s="74">
        <v>3</v>
      </c>
      <c r="C89" s="78" t="str">
        <f>VLOOKUP(Income_Statement[[#This Row],[No]],AOP_Balance,3,0)</f>
        <v>279</v>
      </c>
      <c r="D89" s="52" t="str">
        <f>VLOOKUP(Income_Statement[[#This Row],[No]],AOP_Balance,7,0)</f>
        <v xml:space="preserve">      a) Prihodi po osnovu promjene vrijednosti plasmana i potraživanja</v>
      </c>
      <c r="E89" s="39" t="str">
        <f>IF(VLOOKUP(E$2&amp;Income_Statement[[#This Row],[Aop]],Data[],1)=E$2&amp;Income_Statement[[#This Row],[Aop]],VLOOKUP(E$2&amp;Income_Statement[[#This Row],[Aop]],Data[],E$1)/Jedinica,"")</f>
        <v/>
      </c>
      <c r="F89" s="39" t="str">
        <f>IF(VLOOKUP(F$2&amp;Income_Statement[[#This Row],[Aop]],Data[],1)=F$2&amp;Income_Statement[[#This Row],[Aop]],VLOOKUP(F$2&amp;Income_Statement[[#This Row],[Aop]],Data[],F$1)/Jedinica,"")</f>
        <v/>
      </c>
      <c r="G89" s="39" t="str">
        <f>IF(VLOOKUP(G$2&amp;Income_Statement[[#This Row],[Aop]],Data[],1)=G$2&amp;Income_Statement[[#This Row],[Aop]],VLOOKUP(G$2&amp;Income_Statement[[#This Row],[Aop]],Data[],G$1)/Jedinica,"")</f>
        <v/>
      </c>
      <c r="H89" s="39" t="str">
        <f>IF(VLOOKUP(H$2&amp;Income_Statement[[#This Row],[Aop]],Data[],1)=H$2&amp;Income_Statement[[#This Row],[Aop]],VLOOKUP(H$2&amp;Income_Statement[[#This Row],[Aop]],Data[],H$1)/Jedinica,"")</f>
        <v/>
      </c>
      <c r="I89" s="39" t="str">
        <f>IF(VLOOKUP(I$2&amp;Income_Statement[[#This Row],[Aop]],Data[],1)=I$2&amp;Income_Statement[[#This Row],[Aop]],VLOOKUP(I$2&amp;Income_Statement[[#This Row],[Aop]],Data[],I$1)/Jedinica,"")</f>
        <v/>
      </c>
      <c r="J89" s="39" t="str">
        <f>IF(VLOOKUP(J$2&amp;Income_Statement[[#This Row],[Aop]],Data[],1)=J$2&amp;Income_Statement[[#This Row],[Aop]],VLOOKUP(J$2&amp;Income_Statement[[#This Row],[Aop]],Data[],J$1)/Jedinica,"")</f>
        <v/>
      </c>
      <c r="K89" s="39" t="str">
        <f>IF(VLOOKUP(K$2&amp;Income_Statement[[#This Row],[Aop]],Data[],1)=K$2&amp;Income_Statement[[#This Row],[Aop]],VLOOKUP(K$2&amp;Income_Statement[[#This Row],[Aop]],Data[],K$1)/Jedinica,"")</f>
        <v/>
      </c>
      <c r="L89" s="39" t="str">
        <f>IF(VLOOKUP(L$2&amp;Income_Statement[[#This Row],[Aop]],Data[],1)=L$2&amp;Income_Statement[[#This Row],[Aop]],VLOOKUP(L$2&amp;Income_Statement[[#This Row],[Aop]],Data[],L$1)/Jedinica,"")</f>
        <v/>
      </c>
      <c r="M89" s="39" t="str">
        <f>IF(VLOOKUP(M$2&amp;Income_Statement[[#This Row],[Aop]],Data[],1)=M$2&amp;Income_Statement[[#This Row],[Aop]],VLOOKUP(M$2&amp;Income_Statement[[#This Row],[Aop]],Data[],M$1)/Jedinica,"")</f>
        <v/>
      </c>
      <c r="N89" s="39" t="str">
        <f>IF(VLOOKUP(N$2&amp;Income_Statement[[#This Row],[Aop]],Data[],1)=N$2&amp;Income_Statement[[#This Row],[Aop]],VLOOKUP(N$2&amp;Income_Statement[[#This Row],[Aop]],Data[],N$1)/Jedinica,"")</f>
        <v/>
      </c>
      <c r="O89" s="39" t="str">
        <f>IF(VLOOKUP(O$2&amp;Income_Statement[[#This Row],[Aop]],Data[],1)=O$2&amp;Income_Statement[[#This Row],[Aop]],VLOOKUP(O$2&amp;Income_Statement[[#This Row],[Aop]],Data[],O$1)/Jedinica,"")</f>
        <v/>
      </c>
      <c r="P89" s="39" t="str">
        <f>IF(VLOOKUP(P$2&amp;Income_Statement[[#This Row],[Aop]],Data[],1)=P$2&amp;Income_Statement[[#This Row],[Aop]],VLOOKUP(P$2&amp;Income_Statement[[#This Row],[Aop]],Data[],P$1)/Jedinica,"")</f>
        <v/>
      </c>
      <c r="Q89" s="39" t="str">
        <f>IF(VLOOKUP(Q$2&amp;Income_Statement[[#This Row],[Aop]],Data[],1)=Q$2&amp;Income_Statement[[#This Row],[Aop]],VLOOKUP(Q$2&amp;Income_Statement[[#This Row],[Aop]],Data[],Q$1)/Jedinica,"")</f>
        <v/>
      </c>
      <c r="R89" s="39" t="str">
        <f>IF(VLOOKUP(R$2&amp;Income_Statement[[#This Row],[Aop]],Data[],1)=R$2&amp;Income_Statement[[#This Row],[Aop]],VLOOKUP(R$2&amp;Income_Statement[[#This Row],[Aop]],Data[],R$1)/Jedinica,"")</f>
        <v/>
      </c>
      <c r="S89" s="39" t="str">
        <f>IF(VLOOKUP(S$2&amp;Income_Statement[[#This Row],[Aop]],Data[],1)=S$2&amp;Income_Statement[[#This Row],[Aop]],VLOOKUP(S$2&amp;Income_Statement[[#This Row],[Aop]],Data[],S$1)/Jedinica,"")</f>
        <v/>
      </c>
      <c r="T89" s="39" t="str">
        <f>IF(VLOOKUP(T$2&amp;Income_Statement[[#This Row],[Aop]],Data[],1)=T$2&amp;Income_Statement[[#This Row],[Aop]],VLOOKUP(T$2&amp;Income_Statement[[#This Row],[Aop]],Data[],T$1)/Jedinica,"")</f>
        <v/>
      </c>
    </row>
    <row r="90" spans="1:20" ht="12.75" customHeight="1" x14ac:dyDescent="0.2">
      <c r="A90" s="74">
        <v>190</v>
      </c>
      <c r="B90" s="74">
        <v>3</v>
      </c>
      <c r="C90" s="78" t="str">
        <f>VLOOKUP(Income_Statement[[#This Row],[No]],AOP_Balance,3,0)</f>
        <v>280</v>
      </c>
      <c r="D90" s="52" t="str">
        <f>VLOOKUP(Income_Statement[[#This Row],[No]],AOP_Balance,7,0)</f>
        <v xml:space="preserve">      b) Prihodi po osnovu promjene vrijednosti HOV</v>
      </c>
      <c r="E90" s="39">
        <f>IF(VLOOKUP(E$2&amp;Income_Statement[[#This Row],[Aop]],Data[],1)=E$2&amp;Income_Statement[[#This Row],[Aop]],VLOOKUP(E$2&amp;Income_Statement[[#This Row],[Aop]],Data[],E$1)/Jedinica,"")</f>
        <v>13898</v>
      </c>
      <c r="F90" s="39">
        <f>IF(VLOOKUP(F$2&amp;Income_Statement[[#This Row],[Aop]],Data[],1)=F$2&amp;Income_Statement[[#This Row],[Aop]],VLOOKUP(F$2&amp;Income_Statement[[#This Row],[Aop]],Data[],F$1)/Jedinica,"")</f>
        <v>0</v>
      </c>
      <c r="G90" s="39">
        <f>IF(VLOOKUP(G$2&amp;Income_Statement[[#This Row],[Aop]],Data[],1)=G$2&amp;Income_Statement[[#This Row],[Aop]],VLOOKUP(G$2&amp;Income_Statement[[#This Row],[Aop]],Data[],G$1)/Jedinica,"")</f>
        <v>224574</v>
      </c>
      <c r="H90" s="39">
        <f>IF(VLOOKUP(H$2&amp;Income_Statement[[#This Row],[Aop]],Data[],1)=H$2&amp;Income_Statement[[#This Row],[Aop]],VLOOKUP(H$2&amp;Income_Statement[[#This Row],[Aop]],Data[],H$1)/Jedinica,"")</f>
        <v>568935</v>
      </c>
      <c r="I90" s="39" t="str">
        <f>IF(VLOOKUP(I$2&amp;Income_Statement[[#This Row],[Aop]],Data[],1)=I$2&amp;Income_Statement[[#This Row],[Aop]],VLOOKUP(I$2&amp;Income_Statement[[#This Row],[Aop]],Data[],I$1)/Jedinica,"")</f>
        <v/>
      </c>
      <c r="J90" s="39" t="str">
        <f>IF(VLOOKUP(J$2&amp;Income_Statement[[#This Row],[Aop]],Data[],1)=J$2&amp;Income_Statement[[#This Row],[Aop]],VLOOKUP(J$2&amp;Income_Statement[[#This Row],[Aop]],Data[],J$1)/Jedinica,"")</f>
        <v/>
      </c>
      <c r="K90" s="39" t="str">
        <f>IF(VLOOKUP(K$2&amp;Income_Statement[[#This Row],[Aop]],Data[],1)=K$2&amp;Income_Statement[[#This Row],[Aop]],VLOOKUP(K$2&amp;Income_Statement[[#This Row],[Aop]],Data[],K$1)/Jedinica,"")</f>
        <v/>
      </c>
      <c r="L90" s="39" t="str">
        <f>IF(VLOOKUP(L$2&amp;Income_Statement[[#This Row],[Aop]],Data[],1)=L$2&amp;Income_Statement[[#This Row],[Aop]],VLOOKUP(L$2&amp;Income_Statement[[#This Row],[Aop]],Data[],L$1)/Jedinica,"")</f>
        <v/>
      </c>
      <c r="M90" s="39">
        <f>IF(VLOOKUP(M$2&amp;Income_Statement[[#This Row],[Aop]],Data[],1)=M$2&amp;Income_Statement[[#This Row],[Aop]],VLOOKUP(M$2&amp;Income_Statement[[#This Row],[Aop]],Data[],M$1)/Jedinica,"")</f>
        <v>793049</v>
      </c>
      <c r="N90" s="39">
        <f>IF(VLOOKUP(N$2&amp;Income_Statement[[#This Row],[Aop]],Data[],1)=N$2&amp;Income_Statement[[#This Row],[Aop]],VLOOKUP(N$2&amp;Income_Statement[[#This Row],[Aop]],Data[],N$1)/Jedinica,"")</f>
        <v>390972</v>
      </c>
      <c r="O90" s="39" t="str">
        <f>IF(VLOOKUP(O$2&amp;Income_Statement[[#This Row],[Aop]],Data[],1)=O$2&amp;Income_Statement[[#This Row],[Aop]],VLOOKUP(O$2&amp;Income_Statement[[#This Row],[Aop]],Data[],O$1)/Jedinica,"")</f>
        <v/>
      </c>
      <c r="P90" s="39" t="str">
        <f>IF(VLOOKUP(P$2&amp;Income_Statement[[#This Row],[Aop]],Data[],1)=P$2&amp;Income_Statement[[#This Row],[Aop]],VLOOKUP(P$2&amp;Income_Statement[[#This Row],[Aop]],Data[],P$1)/Jedinica,"")</f>
        <v/>
      </c>
      <c r="Q90" s="39">
        <f>IF(VLOOKUP(Q$2&amp;Income_Statement[[#This Row],[Aop]],Data[],1)=Q$2&amp;Income_Statement[[#This Row],[Aop]],VLOOKUP(Q$2&amp;Income_Statement[[#This Row],[Aop]],Data[],Q$1)/Jedinica,"")</f>
        <v>166814</v>
      </c>
      <c r="R90" s="39">
        <f>IF(VLOOKUP(R$2&amp;Income_Statement[[#This Row],[Aop]],Data[],1)=R$2&amp;Income_Statement[[#This Row],[Aop]],VLOOKUP(R$2&amp;Income_Statement[[#This Row],[Aop]],Data[],R$1)/Jedinica,"")</f>
        <v>0</v>
      </c>
      <c r="S90" s="39">
        <f>IF(VLOOKUP(S$2&amp;Income_Statement[[#This Row],[Aop]],Data[],1)=S$2&amp;Income_Statement[[#This Row],[Aop]],VLOOKUP(S$2&amp;Income_Statement[[#This Row],[Aop]],Data[],S$1)/Jedinica,"")</f>
        <v>0</v>
      </c>
      <c r="T90" s="39">
        <f>IF(VLOOKUP(T$2&amp;Income_Statement[[#This Row],[Aop]],Data[],1)=T$2&amp;Income_Statement[[#This Row],[Aop]],VLOOKUP(T$2&amp;Income_Statement[[#This Row],[Aop]],Data[],T$1)/Jedinica,"")</f>
        <v>4799</v>
      </c>
    </row>
    <row r="91" spans="1:20" ht="12.75" customHeight="1" x14ac:dyDescent="0.2">
      <c r="A91" s="74">
        <v>191</v>
      </c>
      <c r="B91" s="74">
        <v>3</v>
      </c>
      <c r="C91" s="78" t="str">
        <f>VLOOKUP(Income_Statement[[#This Row],[No]],AOP_Balance,3,0)</f>
        <v>281</v>
      </c>
      <c r="D91" s="52" t="str">
        <f>VLOOKUP(Income_Statement[[#This Row],[No]],AOP_Balance,7,0)</f>
        <v xml:space="preserve">      v) Prihodi po osnovu promjene vrijednosti obaveza</v>
      </c>
      <c r="E91" s="39" t="str">
        <f>IF(VLOOKUP(E$2&amp;Income_Statement[[#This Row],[Aop]],Data[],1)=E$2&amp;Income_Statement[[#This Row],[Aop]],VLOOKUP(E$2&amp;Income_Statement[[#This Row],[Aop]],Data[],E$1)/Jedinica,"")</f>
        <v/>
      </c>
      <c r="F91" s="39" t="str">
        <f>IF(VLOOKUP(F$2&amp;Income_Statement[[#This Row],[Aop]],Data[],1)=F$2&amp;Income_Statement[[#This Row],[Aop]],VLOOKUP(F$2&amp;Income_Statement[[#This Row],[Aop]],Data[],F$1)/Jedinica,"")</f>
        <v/>
      </c>
      <c r="G91" s="39" t="str">
        <f>IF(VLOOKUP(G$2&amp;Income_Statement[[#This Row],[Aop]],Data[],1)=G$2&amp;Income_Statement[[#This Row],[Aop]],VLOOKUP(G$2&amp;Income_Statement[[#This Row],[Aop]],Data[],G$1)/Jedinica,"")</f>
        <v/>
      </c>
      <c r="H91" s="39" t="str">
        <f>IF(VLOOKUP(H$2&amp;Income_Statement[[#This Row],[Aop]],Data[],1)=H$2&amp;Income_Statement[[#This Row],[Aop]],VLOOKUP(H$2&amp;Income_Statement[[#This Row],[Aop]],Data[],H$1)/Jedinica,"")</f>
        <v/>
      </c>
      <c r="I91" s="39" t="str">
        <f>IF(VLOOKUP(I$2&amp;Income_Statement[[#This Row],[Aop]],Data[],1)=I$2&amp;Income_Statement[[#This Row],[Aop]],VLOOKUP(I$2&amp;Income_Statement[[#This Row],[Aop]],Data[],I$1)/Jedinica,"")</f>
        <v/>
      </c>
      <c r="J91" s="39" t="str">
        <f>IF(VLOOKUP(J$2&amp;Income_Statement[[#This Row],[Aop]],Data[],1)=J$2&amp;Income_Statement[[#This Row],[Aop]],VLOOKUP(J$2&amp;Income_Statement[[#This Row],[Aop]],Data[],J$1)/Jedinica,"")</f>
        <v/>
      </c>
      <c r="K91" s="39" t="str">
        <f>IF(VLOOKUP(K$2&amp;Income_Statement[[#This Row],[Aop]],Data[],1)=K$2&amp;Income_Statement[[#This Row],[Aop]],VLOOKUP(K$2&amp;Income_Statement[[#This Row],[Aop]],Data[],K$1)/Jedinica,"")</f>
        <v/>
      </c>
      <c r="L91" s="39" t="str">
        <f>IF(VLOOKUP(L$2&amp;Income_Statement[[#This Row],[Aop]],Data[],1)=L$2&amp;Income_Statement[[#This Row],[Aop]],VLOOKUP(L$2&amp;Income_Statement[[#This Row],[Aop]],Data[],L$1)/Jedinica,"")</f>
        <v/>
      </c>
      <c r="M91" s="39" t="str">
        <f>IF(VLOOKUP(M$2&amp;Income_Statement[[#This Row],[Aop]],Data[],1)=M$2&amp;Income_Statement[[#This Row],[Aop]],VLOOKUP(M$2&amp;Income_Statement[[#This Row],[Aop]],Data[],M$1)/Jedinica,"")</f>
        <v/>
      </c>
      <c r="N91" s="39" t="str">
        <f>IF(VLOOKUP(N$2&amp;Income_Statement[[#This Row],[Aop]],Data[],1)=N$2&amp;Income_Statement[[#This Row],[Aop]],VLOOKUP(N$2&amp;Income_Statement[[#This Row],[Aop]],Data[],N$1)/Jedinica,"")</f>
        <v/>
      </c>
      <c r="O91" s="39" t="str">
        <f>IF(VLOOKUP(O$2&amp;Income_Statement[[#This Row],[Aop]],Data[],1)=O$2&amp;Income_Statement[[#This Row],[Aop]],VLOOKUP(O$2&amp;Income_Statement[[#This Row],[Aop]],Data[],O$1)/Jedinica,"")</f>
        <v/>
      </c>
      <c r="P91" s="39" t="str">
        <f>IF(VLOOKUP(P$2&amp;Income_Statement[[#This Row],[Aop]],Data[],1)=P$2&amp;Income_Statement[[#This Row],[Aop]],VLOOKUP(P$2&amp;Income_Statement[[#This Row],[Aop]],Data[],P$1)/Jedinica,"")</f>
        <v/>
      </c>
      <c r="Q91" s="39" t="str">
        <f>IF(VLOOKUP(Q$2&amp;Income_Statement[[#This Row],[Aop]],Data[],1)=Q$2&amp;Income_Statement[[#This Row],[Aop]],VLOOKUP(Q$2&amp;Income_Statement[[#This Row],[Aop]],Data[],Q$1)/Jedinica,"")</f>
        <v/>
      </c>
      <c r="R91" s="39" t="str">
        <f>IF(VLOOKUP(R$2&amp;Income_Statement[[#This Row],[Aop]],Data[],1)=R$2&amp;Income_Statement[[#This Row],[Aop]],VLOOKUP(R$2&amp;Income_Statement[[#This Row],[Aop]],Data[],R$1)/Jedinica,"")</f>
        <v/>
      </c>
      <c r="S91" s="39" t="str">
        <f>IF(VLOOKUP(S$2&amp;Income_Statement[[#This Row],[Aop]],Data[],1)=S$2&amp;Income_Statement[[#This Row],[Aop]],VLOOKUP(S$2&amp;Income_Statement[[#This Row],[Aop]],Data[],S$1)/Jedinica,"")</f>
        <v/>
      </c>
      <c r="T91" s="39" t="str">
        <f>IF(VLOOKUP(T$2&amp;Income_Statement[[#This Row],[Aop]],Data[],1)=T$2&amp;Income_Statement[[#This Row],[Aop]],VLOOKUP(T$2&amp;Income_Statement[[#This Row],[Aop]],Data[],T$1)/Jedinica,"")</f>
        <v/>
      </c>
    </row>
    <row r="92" spans="1:20" ht="25.5" customHeight="1" x14ac:dyDescent="0.2">
      <c r="A92" s="74">
        <v>192</v>
      </c>
      <c r="B92" s="74">
        <v>3</v>
      </c>
      <c r="C92" s="78" t="str">
        <f>VLOOKUP(Income_Statement[[#This Row],[No]],AOP_Balance,3,0)</f>
        <v>282</v>
      </c>
      <c r="D92" s="52" t="str">
        <f>VLOOKUP(Income_Statement[[#This Row],[No]],AOP_Balance,7,0)</f>
        <v xml:space="preserve">      g) Prihodi od promjene vrijednosti osnovnih sredstava, ulaganja u nekretnine i nematerijalnih ulaganja</v>
      </c>
      <c r="E92" s="39" t="str">
        <f>IF(VLOOKUP(E$2&amp;Income_Statement[[#This Row],[Aop]],Data[],1)=E$2&amp;Income_Statement[[#This Row],[Aop]],VLOOKUP(E$2&amp;Income_Statement[[#This Row],[Aop]],Data[],E$1)/Jedinica,"")</f>
        <v/>
      </c>
      <c r="F92" s="39" t="str">
        <f>IF(VLOOKUP(F$2&amp;Income_Statement[[#This Row],[Aop]],Data[],1)=F$2&amp;Income_Statement[[#This Row],[Aop]],VLOOKUP(F$2&amp;Income_Statement[[#This Row],[Aop]],Data[],F$1)/Jedinica,"")</f>
        <v/>
      </c>
      <c r="G92" s="39" t="str">
        <f>IF(VLOOKUP(G$2&amp;Income_Statement[[#This Row],[Aop]],Data[],1)=G$2&amp;Income_Statement[[#This Row],[Aop]],VLOOKUP(G$2&amp;Income_Statement[[#This Row],[Aop]],Data[],G$1)/Jedinica,"")</f>
        <v/>
      </c>
      <c r="H92" s="39" t="str">
        <f>IF(VLOOKUP(H$2&amp;Income_Statement[[#This Row],[Aop]],Data[],1)=H$2&amp;Income_Statement[[#This Row],[Aop]],VLOOKUP(H$2&amp;Income_Statement[[#This Row],[Aop]],Data[],H$1)/Jedinica,"")</f>
        <v/>
      </c>
      <c r="I92" s="39" t="str">
        <f>IF(VLOOKUP(I$2&amp;Income_Statement[[#This Row],[Aop]],Data[],1)=I$2&amp;Income_Statement[[#This Row],[Aop]],VLOOKUP(I$2&amp;Income_Statement[[#This Row],[Aop]],Data[],I$1)/Jedinica,"")</f>
        <v/>
      </c>
      <c r="J92" s="39" t="str">
        <f>IF(VLOOKUP(J$2&amp;Income_Statement[[#This Row],[Aop]],Data[],1)=J$2&amp;Income_Statement[[#This Row],[Aop]],VLOOKUP(J$2&amp;Income_Statement[[#This Row],[Aop]],Data[],J$1)/Jedinica,"")</f>
        <v/>
      </c>
      <c r="K92" s="39" t="str">
        <f>IF(VLOOKUP(K$2&amp;Income_Statement[[#This Row],[Aop]],Data[],1)=K$2&amp;Income_Statement[[#This Row],[Aop]],VLOOKUP(K$2&amp;Income_Statement[[#This Row],[Aop]],Data[],K$1)/Jedinica,"")</f>
        <v/>
      </c>
      <c r="L92" s="39" t="str">
        <f>IF(VLOOKUP(L$2&amp;Income_Statement[[#This Row],[Aop]],Data[],1)=L$2&amp;Income_Statement[[#This Row],[Aop]],VLOOKUP(L$2&amp;Income_Statement[[#This Row],[Aop]],Data[],L$1)/Jedinica,"")</f>
        <v/>
      </c>
      <c r="M92" s="39" t="str">
        <f>IF(VLOOKUP(M$2&amp;Income_Statement[[#This Row],[Aop]],Data[],1)=M$2&amp;Income_Statement[[#This Row],[Aop]],VLOOKUP(M$2&amp;Income_Statement[[#This Row],[Aop]],Data[],M$1)/Jedinica,"")</f>
        <v/>
      </c>
      <c r="N92" s="39" t="str">
        <f>IF(VLOOKUP(N$2&amp;Income_Statement[[#This Row],[Aop]],Data[],1)=N$2&amp;Income_Statement[[#This Row],[Aop]],VLOOKUP(N$2&amp;Income_Statement[[#This Row],[Aop]],Data[],N$1)/Jedinica,"")</f>
        <v/>
      </c>
      <c r="O92" s="39" t="str">
        <f>IF(VLOOKUP(O$2&amp;Income_Statement[[#This Row],[Aop]],Data[],1)=O$2&amp;Income_Statement[[#This Row],[Aop]],VLOOKUP(O$2&amp;Income_Statement[[#This Row],[Aop]],Data[],O$1)/Jedinica,"")</f>
        <v/>
      </c>
      <c r="P92" s="39" t="str">
        <f>IF(VLOOKUP(P$2&amp;Income_Statement[[#This Row],[Aop]],Data[],1)=P$2&amp;Income_Statement[[#This Row],[Aop]],VLOOKUP(P$2&amp;Income_Statement[[#This Row],[Aop]],Data[],P$1)/Jedinica,"")</f>
        <v/>
      </c>
      <c r="Q92" s="39" t="str">
        <f>IF(VLOOKUP(Q$2&amp;Income_Statement[[#This Row],[Aop]],Data[],1)=Q$2&amp;Income_Statement[[#This Row],[Aop]],VLOOKUP(Q$2&amp;Income_Statement[[#This Row],[Aop]],Data[],Q$1)/Jedinica,"")</f>
        <v/>
      </c>
      <c r="R92" s="39" t="str">
        <f>IF(VLOOKUP(R$2&amp;Income_Statement[[#This Row],[Aop]],Data[],1)=R$2&amp;Income_Statement[[#This Row],[Aop]],VLOOKUP(R$2&amp;Income_Statement[[#This Row],[Aop]],Data[],R$1)/Jedinica,"")</f>
        <v/>
      </c>
      <c r="S92" s="39" t="str">
        <f>IF(VLOOKUP(S$2&amp;Income_Statement[[#This Row],[Aop]],Data[],1)=S$2&amp;Income_Statement[[#This Row],[Aop]],VLOOKUP(S$2&amp;Income_Statement[[#This Row],[Aop]],Data[],S$1)/Jedinica,"")</f>
        <v/>
      </c>
      <c r="T92" s="39" t="str">
        <f>IF(VLOOKUP(T$2&amp;Income_Statement[[#This Row],[Aop]],Data[],1)=T$2&amp;Income_Statement[[#This Row],[Aop]],VLOOKUP(T$2&amp;Income_Statement[[#This Row],[Aop]],Data[],T$1)/Jedinica,"")</f>
        <v/>
      </c>
    </row>
    <row r="93" spans="1:20" ht="12.75" customHeight="1" x14ac:dyDescent="0.2">
      <c r="A93" s="74">
        <v>193</v>
      </c>
      <c r="B93" s="74">
        <v>3</v>
      </c>
      <c r="C93" s="78" t="str">
        <f>VLOOKUP(Income_Statement[[#This Row],[No]],AOP_Balance,3,0)</f>
        <v>283</v>
      </c>
      <c r="D93" s="52" t="str">
        <f>VLOOKUP(Income_Statement[[#This Row],[No]],AOP_Balance,7,0)</f>
        <v xml:space="preserve">      d) Prihodi od pozitivnih kursnih razlika</v>
      </c>
      <c r="E93" s="39">
        <f>IF(VLOOKUP(E$2&amp;Income_Statement[[#This Row],[Aop]],Data[],1)=E$2&amp;Income_Statement[[#This Row],[Aop]],VLOOKUP(E$2&amp;Income_Statement[[#This Row],[Aop]],Data[],E$1)/Jedinica,"")</f>
        <v>339717</v>
      </c>
      <c r="F93" s="39">
        <f>IF(VLOOKUP(F$2&amp;Income_Statement[[#This Row],[Aop]],Data[],1)=F$2&amp;Income_Statement[[#This Row],[Aop]],VLOOKUP(F$2&amp;Income_Statement[[#This Row],[Aop]],Data[],F$1)/Jedinica,"")</f>
        <v>189952</v>
      </c>
      <c r="G93" s="39">
        <f>IF(VLOOKUP(G$2&amp;Income_Statement[[#This Row],[Aop]],Data[],1)=G$2&amp;Income_Statement[[#This Row],[Aop]],VLOOKUP(G$2&amp;Income_Statement[[#This Row],[Aop]],Data[],G$1)/Jedinica,"")</f>
        <v>2673385</v>
      </c>
      <c r="H93" s="39">
        <f>IF(VLOOKUP(H$2&amp;Income_Statement[[#This Row],[Aop]],Data[],1)=H$2&amp;Income_Statement[[#This Row],[Aop]],VLOOKUP(H$2&amp;Income_Statement[[#This Row],[Aop]],Data[],H$1)/Jedinica,"")</f>
        <v>5941467</v>
      </c>
      <c r="I93" s="39">
        <f>IF(VLOOKUP(I$2&amp;Income_Statement[[#This Row],[Aop]],Data[],1)=I$2&amp;Income_Statement[[#This Row],[Aop]],VLOOKUP(I$2&amp;Income_Statement[[#This Row],[Aop]],Data[],I$1)/Jedinica,"")</f>
        <v>177262</v>
      </c>
      <c r="J93" s="39">
        <f>IF(VLOOKUP(J$2&amp;Income_Statement[[#This Row],[Aop]],Data[],1)=J$2&amp;Income_Statement[[#This Row],[Aop]],VLOOKUP(J$2&amp;Income_Statement[[#This Row],[Aop]],Data[],J$1)/Jedinica,"")</f>
        <v>202769</v>
      </c>
      <c r="K93" s="39">
        <f>IF(VLOOKUP(K$2&amp;Income_Statement[[#This Row],[Aop]],Data[],1)=K$2&amp;Income_Statement[[#This Row],[Aop]],VLOOKUP(K$2&amp;Income_Statement[[#This Row],[Aop]],Data[],K$1)/Jedinica,"")</f>
        <v>2741225</v>
      </c>
      <c r="L93" s="39">
        <f>IF(VLOOKUP(L$2&amp;Income_Statement[[#This Row],[Aop]],Data[],1)=L$2&amp;Income_Statement[[#This Row],[Aop]],VLOOKUP(L$2&amp;Income_Statement[[#This Row],[Aop]],Data[],L$1)/Jedinica,"")</f>
        <v>927066</v>
      </c>
      <c r="M93" s="39">
        <f>IF(VLOOKUP(M$2&amp;Income_Statement[[#This Row],[Aop]],Data[],1)=M$2&amp;Income_Statement[[#This Row],[Aop]],VLOOKUP(M$2&amp;Income_Statement[[#This Row],[Aop]],Data[],M$1)/Jedinica,"")</f>
        <v>5281438</v>
      </c>
      <c r="N93" s="39">
        <f>IF(VLOOKUP(N$2&amp;Income_Statement[[#This Row],[Aop]],Data[],1)=N$2&amp;Income_Statement[[#This Row],[Aop]],VLOOKUP(N$2&amp;Income_Statement[[#This Row],[Aop]],Data[],N$1)/Jedinica,"")</f>
        <v>5636864</v>
      </c>
      <c r="O93" s="39">
        <f>IF(VLOOKUP(O$2&amp;Income_Statement[[#This Row],[Aop]],Data[],1)=O$2&amp;Income_Statement[[#This Row],[Aop]],VLOOKUP(O$2&amp;Income_Statement[[#This Row],[Aop]],Data[],O$1)/Jedinica,"")</f>
        <v>2741225</v>
      </c>
      <c r="P93" s="39">
        <f>IF(VLOOKUP(P$2&amp;Income_Statement[[#This Row],[Aop]],Data[],1)=P$2&amp;Income_Statement[[#This Row],[Aop]],VLOOKUP(P$2&amp;Income_Statement[[#This Row],[Aop]],Data[],P$1)/Jedinica,"")</f>
        <v>927066</v>
      </c>
      <c r="Q93" s="39">
        <f>IF(VLOOKUP(Q$2&amp;Income_Statement[[#This Row],[Aop]],Data[],1)=Q$2&amp;Income_Statement[[#This Row],[Aop]],VLOOKUP(Q$2&amp;Income_Statement[[#This Row],[Aop]],Data[],Q$1)/Jedinica,"")</f>
        <v>1340360</v>
      </c>
      <c r="R93" s="39">
        <f>IF(VLOOKUP(R$2&amp;Income_Statement[[#This Row],[Aop]],Data[],1)=R$2&amp;Income_Statement[[#This Row],[Aop]],VLOOKUP(R$2&amp;Income_Statement[[#This Row],[Aop]],Data[],R$1)/Jedinica,"")</f>
        <v>906805</v>
      </c>
      <c r="S93" s="39">
        <f>IF(VLOOKUP(S$2&amp;Income_Statement[[#This Row],[Aop]],Data[],1)=S$2&amp;Income_Statement[[#This Row],[Aop]],VLOOKUP(S$2&amp;Income_Statement[[#This Row],[Aop]],Data[],S$1)/Jedinica,"")</f>
        <v>3105439</v>
      </c>
      <c r="T93" s="39">
        <f>IF(VLOOKUP(T$2&amp;Income_Statement[[#This Row],[Aop]],Data[],1)=T$2&amp;Income_Statement[[#This Row],[Aop]],VLOOKUP(T$2&amp;Income_Statement[[#This Row],[Aop]],Data[],T$1)/Jedinica,"")</f>
        <v>2558924</v>
      </c>
    </row>
    <row r="94" spans="1:20" ht="12.75" customHeight="1" x14ac:dyDescent="0.2">
      <c r="A94" s="74">
        <v>194</v>
      </c>
      <c r="B94" s="74">
        <v>2</v>
      </c>
      <c r="C94" s="78" t="str">
        <f>VLOOKUP(Income_Statement[[#This Row],[No]],AOP_Balance,3,0)</f>
        <v>284</v>
      </c>
      <c r="D94" s="52" t="str">
        <f>VLOOKUP(Income_Statement[[#This Row],[No]],AOP_Balance,7,0)</f>
        <v xml:space="preserve">    2. Rashodi od promjene vrijednosti imovine i obaveza (285 do 289)</v>
      </c>
      <c r="E94" s="39">
        <f>IF(VLOOKUP(E$2&amp;Income_Statement[[#This Row],[Aop]],Data[],1)=E$2&amp;Income_Statement[[#This Row],[Aop]],VLOOKUP(E$2&amp;Income_Statement[[#This Row],[Aop]],Data[],E$1)/Jedinica,"")</f>
        <v>341924</v>
      </c>
      <c r="F94" s="39">
        <f>IF(VLOOKUP(F$2&amp;Income_Statement[[#This Row],[Aop]],Data[],1)=F$2&amp;Income_Statement[[#This Row],[Aop]],VLOOKUP(F$2&amp;Income_Statement[[#This Row],[Aop]],Data[],F$1)/Jedinica,"")</f>
        <v>242360</v>
      </c>
      <c r="G94" s="39">
        <f>IF(VLOOKUP(G$2&amp;Income_Statement[[#This Row],[Aop]],Data[],1)=G$2&amp;Income_Statement[[#This Row],[Aop]],VLOOKUP(G$2&amp;Income_Statement[[#This Row],[Aop]],Data[],G$1)/Jedinica,"")</f>
        <v>3019425</v>
      </c>
      <c r="H94" s="39">
        <f>IF(VLOOKUP(H$2&amp;Income_Statement[[#This Row],[Aop]],Data[],1)=H$2&amp;Income_Statement[[#This Row],[Aop]],VLOOKUP(H$2&amp;Income_Statement[[#This Row],[Aop]],Data[],H$1)/Jedinica,"")</f>
        <v>6533207</v>
      </c>
      <c r="I94" s="39">
        <f>IF(VLOOKUP(I$2&amp;Income_Statement[[#This Row],[Aop]],Data[],1)=I$2&amp;Income_Statement[[#This Row],[Aop]],VLOOKUP(I$2&amp;Income_Statement[[#This Row],[Aop]],Data[],I$1)/Jedinica,"")</f>
        <v>173113</v>
      </c>
      <c r="J94" s="39">
        <f>IF(VLOOKUP(J$2&amp;Income_Statement[[#This Row],[Aop]],Data[],1)=J$2&amp;Income_Statement[[#This Row],[Aop]],VLOOKUP(J$2&amp;Income_Statement[[#This Row],[Aop]],Data[],J$1)/Jedinica,"")</f>
        <v>188249</v>
      </c>
      <c r="K94" s="39">
        <f>IF(VLOOKUP(K$2&amp;Income_Statement[[#This Row],[Aop]],Data[],1)=K$2&amp;Income_Statement[[#This Row],[Aop]],VLOOKUP(K$2&amp;Income_Statement[[#This Row],[Aop]],Data[],K$1)/Jedinica,"")</f>
        <v>2685816</v>
      </c>
      <c r="L94" s="39">
        <f>IF(VLOOKUP(L$2&amp;Income_Statement[[#This Row],[Aop]],Data[],1)=L$2&amp;Income_Statement[[#This Row],[Aop]],VLOOKUP(L$2&amp;Income_Statement[[#This Row],[Aop]],Data[],L$1)/Jedinica,"")</f>
        <v>851958</v>
      </c>
      <c r="M94" s="39">
        <f>IF(VLOOKUP(M$2&amp;Income_Statement[[#This Row],[Aop]],Data[],1)=M$2&amp;Income_Statement[[#This Row],[Aop]],VLOOKUP(M$2&amp;Income_Statement[[#This Row],[Aop]],Data[],M$1)/Jedinica,"")</f>
        <v>4179869</v>
      </c>
      <c r="N94" s="39">
        <f>IF(VLOOKUP(N$2&amp;Income_Statement[[#This Row],[Aop]],Data[],1)=N$2&amp;Income_Statement[[#This Row],[Aop]],VLOOKUP(N$2&amp;Income_Statement[[#This Row],[Aop]],Data[],N$1)/Jedinica,"")</f>
        <v>4061574</v>
      </c>
      <c r="O94" s="39">
        <f>IF(VLOOKUP(O$2&amp;Income_Statement[[#This Row],[Aop]],Data[],1)=O$2&amp;Income_Statement[[#This Row],[Aop]],VLOOKUP(O$2&amp;Income_Statement[[#This Row],[Aop]],Data[],O$1)/Jedinica,"")</f>
        <v>2685816</v>
      </c>
      <c r="P94" s="39">
        <f>IF(VLOOKUP(P$2&amp;Income_Statement[[#This Row],[Aop]],Data[],1)=P$2&amp;Income_Statement[[#This Row],[Aop]],VLOOKUP(P$2&amp;Income_Statement[[#This Row],[Aop]],Data[],P$1)/Jedinica,"")</f>
        <v>851958</v>
      </c>
      <c r="Q94" s="39">
        <f>IF(VLOOKUP(Q$2&amp;Income_Statement[[#This Row],[Aop]],Data[],1)=Q$2&amp;Income_Statement[[#This Row],[Aop]],VLOOKUP(Q$2&amp;Income_Statement[[#This Row],[Aop]],Data[],Q$1)/Jedinica,"")</f>
        <v>1148648</v>
      </c>
      <c r="R94" s="39">
        <f>IF(VLOOKUP(R$2&amp;Income_Statement[[#This Row],[Aop]],Data[],1)=R$2&amp;Income_Statement[[#This Row],[Aop]],VLOOKUP(R$2&amp;Income_Statement[[#This Row],[Aop]],Data[],R$1)/Jedinica,"")</f>
        <v>533114</v>
      </c>
      <c r="S94" s="39">
        <f>IF(VLOOKUP(S$2&amp;Income_Statement[[#This Row],[Aop]],Data[],1)=S$2&amp;Income_Statement[[#This Row],[Aop]],VLOOKUP(S$2&amp;Income_Statement[[#This Row],[Aop]],Data[],S$1)/Jedinica,"")</f>
        <v>2435634</v>
      </c>
      <c r="T94" s="39">
        <f>IF(VLOOKUP(T$2&amp;Income_Statement[[#This Row],[Aop]],Data[],1)=T$2&amp;Income_Statement[[#This Row],[Aop]],VLOOKUP(T$2&amp;Income_Statement[[#This Row],[Aop]],Data[],T$1)/Jedinica,"")</f>
        <v>1613397</v>
      </c>
    </row>
    <row r="95" spans="1:20" ht="12.75" customHeight="1" x14ac:dyDescent="0.2">
      <c r="A95" s="74">
        <v>195</v>
      </c>
      <c r="B95" s="74">
        <v>3</v>
      </c>
      <c r="C95" s="78" t="str">
        <f>VLOOKUP(Income_Statement[[#This Row],[No]],AOP_Balance,3,0)</f>
        <v>285</v>
      </c>
      <c r="D95" s="52" t="str">
        <f>VLOOKUP(Income_Statement[[#This Row],[No]],AOP_Balance,7,0)</f>
        <v xml:space="preserve">      a) Rashodi po osnovu promjene vrijednosti plasmana i potraživanja</v>
      </c>
      <c r="E95" s="39" t="str">
        <f>IF(VLOOKUP(E$2&amp;Income_Statement[[#This Row],[Aop]],Data[],1)=E$2&amp;Income_Statement[[#This Row],[Aop]],VLOOKUP(E$2&amp;Income_Statement[[#This Row],[Aop]],Data[],E$1)/Jedinica,"")</f>
        <v/>
      </c>
      <c r="F95" s="39" t="str">
        <f>IF(VLOOKUP(F$2&amp;Income_Statement[[#This Row],[Aop]],Data[],1)=F$2&amp;Income_Statement[[#This Row],[Aop]],VLOOKUP(F$2&amp;Income_Statement[[#This Row],[Aop]],Data[],F$1)/Jedinica,"")</f>
        <v/>
      </c>
      <c r="G95" s="39" t="str">
        <f>IF(VLOOKUP(G$2&amp;Income_Statement[[#This Row],[Aop]],Data[],1)=G$2&amp;Income_Statement[[#This Row],[Aop]],VLOOKUP(G$2&amp;Income_Statement[[#This Row],[Aop]],Data[],G$1)/Jedinica,"")</f>
        <v/>
      </c>
      <c r="H95" s="39" t="str">
        <f>IF(VLOOKUP(H$2&amp;Income_Statement[[#This Row],[Aop]],Data[],1)=H$2&amp;Income_Statement[[#This Row],[Aop]],VLOOKUP(H$2&amp;Income_Statement[[#This Row],[Aop]],Data[],H$1)/Jedinica,"")</f>
        <v/>
      </c>
      <c r="I95" s="39" t="str">
        <f>IF(VLOOKUP(I$2&amp;Income_Statement[[#This Row],[Aop]],Data[],1)=I$2&amp;Income_Statement[[#This Row],[Aop]],VLOOKUP(I$2&amp;Income_Statement[[#This Row],[Aop]],Data[],I$1)/Jedinica,"")</f>
        <v/>
      </c>
      <c r="J95" s="39" t="str">
        <f>IF(VLOOKUP(J$2&amp;Income_Statement[[#This Row],[Aop]],Data[],1)=J$2&amp;Income_Statement[[#This Row],[Aop]],VLOOKUP(J$2&amp;Income_Statement[[#This Row],[Aop]],Data[],J$1)/Jedinica,"")</f>
        <v/>
      </c>
      <c r="K95" s="39" t="str">
        <f>IF(VLOOKUP(K$2&amp;Income_Statement[[#This Row],[Aop]],Data[],1)=K$2&amp;Income_Statement[[#This Row],[Aop]],VLOOKUP(K$2&amp;Income_Statement[[#This Row],[Aop]],Data[],K$1)/Jedinica,"")</f>
        <v/>
      </c>
      <c r="L95" s="39" t="str">
        <f>IF(VLOOKUP(L$2&amp;Income_Statement[[#This Row],[Aop]],Data[],1)=L$2&amp;Income_Statement[[#This Row],[Aop]],VLOOKUP(L$2&amp;Income_Statement[[#This Row],[Aop]],Data[],L$1)/Jedinica,"")</f>
        <v/>
      </c>
      <c r="M95" s="39" t="str">
        <f>IF(VLOOKUP(M$2&amp;Income_Statement[[#This Row],[Aop]],Data[],1)=M$2&amp;Income_Statement[[#This Row],[Aop]],VLOOKUP(M$2&amp;Income_Statement[[#This Row],[Aop]],Data[],M$1)/Jedinica,"")</f>
        <v/>
      </c>
      <c r="N95" s="39" t="str">
        <f>IF(VLOOKUP(N$2&amp;Income_Statement[[#This Row],[Aop]],Data[],1)=N$2&amp;Income_Statement[[#This Row],[Aop]],VLOOKUP(N$2&amp;Income_Statement[[#This Row],[Aop]],Data[],N$1)/Jedinica,"")</f>
        <v/>
      </c>
      <c r="O95" s="39" t="str">
        <f>IF(VLOOKUP(O$2&amp;Income_Statement[[#This Row],[Aop]],Data[],1)=O$2&amp;Income_Statement[[#This Row],[Aop]],VLOOKUP(O$2&amp;Income_Statement[[#This Row],[Aop]],Data[],O$1)/Jedinica,"")</f>
        <v/>
      </c>
      <c r="P95" s="39" t="str">
        <f>IF(VLOOKUP(P$2&amp;Income_Statement[[#This Row],[Aop]],Data[],1)=P$2&amp;Income_Statement[[#This Row],[Aop]],VLOOKUP(P$2&amp;Income_Statement[[#This Row],[Aop]],Data[],P$1)/Jedinica,"")</f>
        <v/>
      </c>
      <c r="Q95" s="39" t="str">
        <f>IF(VLOOKUP(Q$2&amp;Income_Statement[[#This Row],[Aop]],Data[],1)=Q$2&amp;Income_Statement[[#This Row],[Aop]],VLOOKUP(Q$2&amp;Income_Statement[[#This Row],[Aop]],Data[],Q$1)/Jedinica,"")</f>
        <v/>
      </c>
      <c r="R95" s="39" t="str">
        <f>IF(VLOOKUP(R$2&amp;Income_Statement[[#This Row],[Aop]],Data[],1)=R$2&amp;Income_Statement[[#This Row],[Aop]],VLOOKUP(R$2&amp;Income_Statement[[#This Row],[Aop]],Data[],R$1)/Jedinica,"")</f>
        <v/>
      </c>
      <c r="S95" s="39" t="str">
        <f>IF(VLOOKUP(S$2&amp;Income_Statement[[#This Row],[Aop]],Data[],1)=S$2&amp;Income_Statement[[#This Row],[Aop]],VLOOKUP(S$2&amp;Income_Statement[[#This Row],[Aop]],Data[],S$1)/Jedinica,"")</f>
        <v/>
      </c>
      <c r="T95" s="39" t="str">
        <f>IF(VLOOKUP(T$2&amp;Income_Statement[[#This Row],[Aop]],Data[],1)=T$2&amp;Income_Statement[[#This Row],[Aop]],VLOOKUP(T$2&amp;Income_Statement[[#This Row],[Aop]],Data[],T$1)/Jedinica,"")</f>
        <v/>
      </c>
    </row>
    <row r="96" spans="1:20" ht="12.75" customHeight="1" x14ac:dyDescent="0.2">
      <c r="A96" s="74">
        <v>196</v>
      </c>
      <c r="B96" s="74">
        <v>3</v>
      </c>
      <c r="C96" s="78" t="str">
        <f>VLOOKUP(Income_Statement[[#This Row],[No]],AOP_Balance,3,0)</f>
        <v>286</v>
      </c>
      <c r="D96" s="52" t="str">
        <f>VLOOKUP(Income_Statement[[#This Row],[No]],AOP_Balance,7,0)</f>
        <v xml:space="preserve">      b) Rashodi po osnovu promjene vrijednosti HOV</v>
      </c>
      <c r="E96" s="39">
        <f>IF(VLOOKUP(E$2&amp;Income_Statement[[#This Row],[Aop]],Data[],1)=E$2&amp;Income_Statement[[#This Row],[Aop]],VLOOKUP(E$2&amp;Income_Statement[[#This Row],[Aop]],Data[],E$1)/Jedinica,"")</f>
        <v>0</v>
      </c>
      <c r="F96" s="39">
        <f>IF(VLOOKUP(F$2&amp;Income_Statement[[#This Row],[Aop]],Data[],1)=F$2&amp;Income_Statement[[#This Row],[Aop]],VLOOKUP(F$2&amp;Income_Statement[[#This Row],[Aop]],Data[],F$1)/Jedinica,"")</f>
        <v>15529</v>
      </c>
      <c r="G96" s="39">
        <f>IF(VLOOKUP(G$2&amp;Income_Statement[[#This Row],[Aop]],Data[],1)=G$2&amp;Income_Statement[[#This Row],[Aop]],VLOOKUP(G$2&amp;Income_Statement[[#This Row],[Aop]],Data[],G$1)/Jedinica,"")</f>
        <v>228062</v>
      </c>
      <c r="H96" s="39">
        <f>IF(VLOOKUP(H$2&amp;Income_Statement[[#This Row],[Aop]],Data[],1)=H$2&amp;Income_Statement[[#This Row],[Aop]],VLOOKUP(H$2&amp;Income_Statement[[#This Row],[Aop]],Data[],H$1)/Jedinica,"")</f>
        <v>527998</v>
      </c>
      <c r="I96" s="39" t="str">
        <f>IF(VLOOKUP(I$2&amp;Income_Statement[[#This Row],[Aop]],Data[],1)=I$2&amp;Income_Statement[[#This Row],[Aop]],VLOOKUP(I$2&amp;Income_Statement[[#This Row],[Aop]],Data[],I$1)/Jedinica,"")</f>
        <v/>
      </c>
      <c r="J96" s="39" t="str">
        <f>IF(VLOOKUP(J$2&amp;Income_Statement[[#This Row],[Aop]],Data[],1)=J$2&amp;Income_Statement[[#This Row],[Aop]],VLOOKUP(J$2&amp;Income_Statement[[#This Row],[Aop]],Data[],J$1)/Jedinica,"")</f>
        <v/>
      </c>
      <c r="K96" s="39" t="str">
        <f>IF(VLOOKUP(K$2&amp;Income_Statement[[#This Row],[Aop]],Data[],1)=K$2&amp;Income_Statement[[#This Row],[Aop]],VLOOKUP(K$2&amp;Income_Statement[[#This Row],[Aop]],Data[],K$1)/Jedinica,"")</f>
        <v/>
      </c>
      <c r="L96" s="39" t="str">
        <f>IF(VLOOKUP(L$2&amp;Income_Statement[[#This Row],[Aop]],Data[],1)=L$2&amp;Income_Statement[[#This Row],[Aop]],VLOOKUP(L$2&amp;Income_Statement[[#This Row],[Aop]],Data[],L$1)/Jedinica,"")</f>
        <v/>
      </c>
      <c r="M96" s="39">
        <f>IF(VLOOKUP(M$2&amp;Income_Statement[[#This Row],[Aop]],Data[],1)=M$2&amp;Income_Statement[[#This Row],[Aop]],VLOOKUP(M$2&amp;Income_Statement[[#This Row],[Aop]],Data[],M$1)/Jedinica,"")</f>
        <v>31084</v>
      </c>
      <c r="N96" s="39">
        <f>IF(VLOOKUP(N$2&amp;Income_Statement[[#This Row],[Aop]],Data[],1)=N$2&amp;Income_Statement[[#This Row],[Aop]],VLOOKUP(N$2&amp;Income_Statement[[#This Row],[Aop]],Data[],N$1)/Jedinica,"")</f>
        <v>231095</v>
      </c>
      <c r="O96" s="39" t="str">
        <f>IF(VLOOKUP(O$2&amp;Income_Statement[[#This Row],[Aop]],Data[],1)=O$2&amp;Income_Statement[[#This Row],[Aop]],VLOOKUP(O$2&amp;Income_Statement[[#This Row],[Aop]],Data[],O$1)/Jedinica,"")</f>
        <v/>
      </c>
      <c r="P96" s="39" t="str">
        <f>IF(VLOOKUP(P$2&amp;Income_Statement[[#This Row],[Aop]],Data[],1)=P$2&amp;Income_Statement[[#This Row],[Aop]],VLOOKUP(P$2&amp;Income_Statement[[#This Row],[Aop]],Data[],P$1)/Jedinica,"")</f>
        <v/>
      </c>
      <c r="Q96" s="39">
        <f>IF(VLOOKUP(Q$2&amp;Income_Statement[[#This Row],[Aop]],Data[],1)=Q$2&amp;Income_Statement[[#This Row],[Aop]],VLOOKUP(Q$2&amp;Income_Statement[[#This Row],[Aop]],Data[],Q$1)/Jedinica,"")</f>
        <v>165</v>
      </c>
      <c r="R96" s="39">
        <f>IF(VLOOKUP(R$2&amp;Income_Statement[[#This Row],[Aop]],Data[],1)=R$2&amp;Income_Statement[[#This Row],[Aop]],VLOOKUP(R$2&amp;Income_Statement[[#This Row],[Aop]],Data[],R$1)/Jedinica,"")</f>
        <v>0</v>
      </c>
      <c r="S96" s="39">
        <f>IF(VLOOKUP(S$2&amp;Income_Statement[[#This Row],[Aop]],Data[],1)=S$2&amp;Income_Statement[[#This Row],[Aop]],VLOOKUP(S$2&amp;Income_Statement[[#This Row],[Aop]],Data[],S$1)/Jedinica,"")</f>
        <v>0</v>
      </c>
      <c r="T96" s="39">
        <f>IF(VLOOKUP(T$2&amp;Income_Statement[[#This Row],[Aop]],Data[],1)=T$2&amp;Income_Statement[[#This Row],[Aop]],VLOOKUP(T$2&amp;Income_Statement[[#This Row],[Aop]],Data[],T$1)/Jedinica,"")</f>
        <v>7635</v>
      </c>
    </row>
    <row r="97" spans="1:20" ht="12.75" customHeight="1" x14ac:dyDescent="0.2">
      <c r="A97" s="74">
        <v>197</v>
      </c>
      <c r="B97" s="74">
        <v>3</v>
      </c>
      <c r="C97" s="79" t="str">
        <f>VLOOKUP(Income_Statement[[#This Row],[No]],AOP_Balance,3,0)</f>
        <v>287</v>
      </c>
      <c r="D97" s="52" t="str">
        <f>VLOOKUP(Income_Statement[[#This Row],[No]],AOP_Balance,7,0)</f>
        <v xml:space="preserve">      v) Rashodi po osnovu promjene vrijednosti obaveza</v>
      </c>
      <c r="E97" s="39" t="str">
        <f>IF(VLOOKUP(E$2&amp;Income_Statement[[#This Row],[Aop]],Data[],1)=E$2&amp;Income_Statement[[#This Row],[Aop]],VLOOKUP(E$2&amp;Income_Statement[[#This Row],[Aop]],Data[],E$1)/Jedinica,"")</f>
        <v/>
      </c>
      <c r="F97" s="39" t="str">
        <f>IF(VLOOKUP(F$2&amp;Income_Statement[[#This Row],[Aop]],Data[],1)=F$2&amp;Income_Statement[[#This Row],[Aop]],VLOOKUP(F$2&amp;Income_Statement[[#This Row],[Aop]],Data[],F$1)/Jedinica,"")</f>
        <v/>
      </c>
      <c r="G97" s="39" t="str">
        <f>IF(VLOOKUP(G$2&amp;Income_Statement[[#This Row],[Aop]],Data[],1)=G$2&amp;Income_Statement[[#This Row],[Aop]],VLOOKUP(G$2&amp;Income_Statement[[#This Row],[Aop]],Data[],G$1)/Jedinica,"")</f>
        <v/>
      </c>
      <c r="H97" s="39" t="str">
        <f>IF(VLOOKUP(H$2&amp;Income_Statement[[#This Row],[Aop]],Data[],1)=H$2&amp;Income_Statement[[#This Row],[Aop]],VLOOKUP(H$2&amp;Income_Statement[[#This Row],[Aop]],Data[],H$1)/Jedinica,"")</f>
        <v/>
      </c>
      <c r="I97" s="39" t="str">
        <f>IF(VLOOKUP(I$2&amp;Income_Statement[[#This Row],[Aop]],Data[],1)=I$2&amp;Income_Statement[[#This Row],[Aop]],VLOOKUP(I$2&amp;Income_Statement[[#This Row],[Aop]],Data[],I$1)/Jedinica,"")</f>
        <v/>
      </c>
      <c r="J97" s="39" t="str">
        <f>IF(VLOOKUP(J$2&amp;Income_Statement[[#This Row],[Aop]],Data[],1)=J$2&amp;Income_Statement[[#This Row],[Aop]],VLOOKUP(J$2&amp;Income_Statement[[#This Row],[Aop]],Data[],J$1)/Jedinica,"")</f>
        <v/>
      </c>
      <c r="K97" s="39" t="str">
        <f>IF(VLOOKUP(K$2&amp;Income_Statement[[#This Row],[Aop]],Data[],1)=K$2&amp;Income_Statement[[#This Row],[Aop]],VLOOKUP(K$2&amp;Income_Statement[[#This Row],[Aop]],Data[],K$1)/Jedinica,"")</f>
        <v/>
      </c>
      <c r="L97" s="39" t="str">
        <f>IF(VLOOKUP(L$2&amp;Income_Statement[[#This Row],[Aop]],Data[],1)=L$2&amp;Income_Statement[[#This Row],[Aop]],VLOOKUP(L$2&amp;Income_Statement[[#This Row],[Aop]],Data[],L$1)/Jedinica,"")</f>
        <v/>
      </c>
      <c r="M97" s="39" t="str">
        <f>IF(VLOOKUP(M$2&amp;Income_Statement[[#This Row],[Aop]],Data[],1)=M$2&amp;Income_Statement[[#This Row],[Aop]],VLOOKUP(M$2&amp;Income_Statement[[#This Row],[Aop]],Data[],M$1)/Jedinica,"")</f>
        <v/>
      </c>
      <c r="N97" s="39" t="str">
        <f>IF(VLOOKUP(N$2&amp;Income_Statement[[#This Row],[Aop]],Data[],1)=N$2&amp;Income_Statement[[#This Row],[Aop]],VLOOKUP(N$2&amp;Income_Statement[[#This Row],[Aop]],Data[],N$1)/Jedinica,"")</f>
        <v/>
      </c>
      <c r="O97" s="39" t="str">
        <f>IF(VLOOKUP(O$2&amp;Income_Statement[[#This Row],[Aop]],Data[],1)=O$2&amp;Income_Statement[[#This Row],[Aop]],VLOOKUP(O$2&amp;Income_Statement[[#This Row],[Aop]],Data[],O$1)/Jedinica,"")</f>
        <v/>
      </c>
      <c r="P97" s="39" t="str">
        <f>IF(VLOOKUP(P$2&amp;Income_Statement[[#This Row],[Aop]],Data[],1)=P$2&amp;Income_Statement[[#This Row],[Aop]],VLOOKUP(P$2&amp;Income_Statement[[#This Row],[Aop]],Data[],P$1)/Jedinica,"")</f>
        <v/>
      </c>
      <c r="Q97" s="39" t="str">
        <f>IF(VLOOKUP(Q$2&amp;Income_Statement[[#This Row],[Aop]],Data[],1)=Q$2&amp;Income_Statement[[#This Row],[Aop]],VLOOKUP(Q$2&amp;Income_Statement[[#This Row],[Aop]],Data[],Q$1)/Jedinica,"")</f>
        <v/>
      </c>
      <c r="R97" s="39" t="str">
        <f>IF(VLOOKUP(R$2&amp;Income_Statement[[#This Row],[Aop]],Data[],1)=R$2&amp;Income_Statement[[#This Row],[Aop]],VLOOKUP(R$2&amp;Income_Statement[[#This Row],[Aop]],Data[],R$1)/Jedinica,"")</f>
        <v/>
      </c>
      <c r="S97" s="39" t="str">
        <f>IF(VLOOKUP(S$2&amp;Income_Statement[[#This Row],[Aop]],Data[],1)=S$2&amp;Income_Statement[[#This Row],[Aop]],VLOOKUP(S$2&amp;Income_Statement[[#This Row],[Aop]],Data[],S$1)/Jedinica,"")</f>
        <v/>
      </c>
      <c r="T97" s="39" t="str">
        <f>IF(VLOOKUP(T$2&amp;Income_Statement[[#This Row],[Aop]],Data[],1)=T$2&amp;Income_Statement[[#This Row],[Aop]],VLOOKUP(T$2&amp;Income_Statement[[#This Row],[Aop]],Data[],T$1)/Jedinica,"")</f>
        <v/>
      </c>
    </row>
    <row r="98" spans="1:20" ht="25.5" customHeight="1" x14ac:dyDescent="0.2">
      <c r="A98" s="74">
        <v>198</v>
      </c>
      <c r="B98" s="74">
        <v>3</v>
      </c>
      <c r="C98" s="78" t="str">
        <f>VLOOKUP(Income_Statement[[#This Row],[No]],AOP_Balance,3,0)</f>
        <v>288</v>
      </c>
      <c r="D98" s="52" t="str">
        <f>VLOOKUP(Income_Statement[[#This Row],[No]],AOP_Balance,7,0)</f>
        <v xml:space="preserve">      g) Rashodi po osnovu promjene vrijednosti osnovnih sredstava, ulaganja u nekretnine i nematerijalnih ulaganja</v>
      </c>
      <c r="E98" s="39" t="str">
        <f>IF(VLOOKUP(E$2&amp;Income_Statement[[#This Row],[Aop]],Data[],1)=E$2&amp;Income_Statement[[#This Row],[Aop]],VLOOKUP(E$2&amp;Income_Statement[[#This Row],[Aop]],Data[],E$1)/Jedinica,"")</f>
        <v/>
      </c>
      <c r="F98" s="39" t="str">
        <f>IF(VLOOKUP(F$2&amp;Income_Statement[[#This Row],[Aop]],Data[],1)=F$2&amp;Income_Statement[[#This Row],[Aop]],VLOOKUP(F$2&amp;Income_Statement[[#This Row],[Aop]],Data[],F$1)/Jedinica,"")</f>
        <v/>
      </c>
      <c r="G98" s="39" t="str">
        <f>IF(VLOOKUP(G$2&amp;Income_Statement[[#This Row],[Aop]],Data[],1)=G$2&amp;Income_Statement[[#This Row],[Aop]],VLOOKUP(G$2&amp;Income_Statement[[#This Row],[Aop]],Data[],G$1)/Jedinica,"")</f>
        <v/>
      </c>
      <c r="H98" s="39" t="str">
        <f>IF(VLOOKUP(H$2&amp;Income_Statement[[#This Row],[Aop]],Data[],1)=H$2&amp;Income_Statement[[#This Row],[Aop]],VLOOKUP(H$2&amp;Income_Statement[[#This Row],[Aop]],Data[],H$1)/Jedinica,"")</f>
        <v/>
      </c>
      <c r="I98" s="39" t="str">
        <f>IF(VLOOKUP(I$2&amp;Income_Statement[[#This Row],[Aop]],Data[],1)=I$2&amp;Income_Statement[[#This Row],[Aop]],VLOOKUP(I$2&amp;Income_Statement[[#This Row],[Aop]],Data[],I$1)/Jedinica,"")</f>
        <v/>
      </c>
      <c r="J98" s="39" t="str">
        <f>IF(VLOOKUP(J$2&amp;Income_Statement[[#This Row],[Aop]],Data[],1)=J$2&amp;Income_Statement[[#This Row],[Aop]],VLOOKUP(J$2&amp;Income_Statement[[#This Row],[Aop]],Data[],J$1)/Jedinica,"")</f>
        <v/>
      </c>
      <c r="K98" s="39" t="str">
        <f>IF(VLOOKUP(K$2&amp;Income_Statement[[#This Row],[Aop]],Data[],1)=K$2&amp;Income_Statement[[#This Row],[Aop]],VLOOKUP(K$2&amp;Income_Statement[[#This Row],[Aop]],Data[],K$1)/Jedinica,"")</f>
        <v/>
      </c>
      <c r="L98" s="39" t="str">
        <f>IF(VLOOKUP(L$2&amp;Income_Statement[[#This Row],[Aop]],Data[],1)=L$2&amp;Income_Statement[[#This Row],[Aop]],VLOOKUP(L$2&amp;Income_Statement[[#This Row],[Aop]],Data[],L$1)/Jedinica,"")</f>
        <v/>
      </c>
      <c r="M98" s="39" t="str">
        <f>IF(VLOOKUP(M$2&amp;Income_Statement[[#This Row],[Aop]],Data[],1)=M$2&amp;Income_Statement[[#This Row],[Aop]],VLOOKUP(M$2&amp;Income_Statement[[#This Row],[Aop]],Data[],M$1)/Jedinica,"")</f>
        <v/>
      </c>
      <c r="N98" s="39" t="str">
        <f>IF(VLOOKUP(N$2&amp;Income_Statement[[#This Row],[Aop]],Data[],1)=N$2&amp;Income_Statement[[#This Row],[Aop]],VLOOKUP(N$2&amp;Income_Statement[[#This Row],[Aop]],Data[],N$1)/Jedinica,"")</f>
        <v/>
      </c>
      <c r="O98" s="39" t="str">
        <f>IF(VLOOKUP(O$2&amp;Income_Statement[[#This Row],[Aop]],Data[],1)=O$2&amp;Income_Statement[[#This Row],[Aop]],VLOOKUP(O$2&amp;Income_Statement[[#This Row],[Aop]],Data[],O$1)/Jedinica,"")</f>
        <v/>
      </c>
      <c r="P98" s="39" t="str">
        <f>IF(VLOOKUP(P$2&amp;Income_Statement[[#This Row],[Aop]],Data[],1)=P$2&amp;Income_Statement[[#This Row],[Aop]],VLOOKUP(P$2&amp;Income_Statement[[#This Row],[Aop]],Data[],P$1)/Jedinica,"")</f>
        <v/>
      </c>
      <c r="Q98" s="39" t="str">
        <f>IF(VLOOKUP(Q$2&amp;Income_Statement[[#This Row],[Aop]],Data[],1)=Q$2&amp;Income_Statement[[#This Row],[Aop]],VLOOKUP(Q$2&amp;Income_Statement[[#This Row],[Aop]],Data[],Q$1)/Jedinica,"")</f>
        <v/>
      </c>
      <c r="R98" s="39" t="str">
        <f>IF(VLOOKUP(R$2&amp;Income_Statement[[#This Row],[Aop]],Data[],1)=R$2&amp;Income_Statement[[#This Row],[Aop]],VLOOKUP(R$2&amp;Income_Statement[[#This Row],[Aop]],Data[],R$1)/Jedinica,"")</f>
        <v/>
      </c>
      <c r="S98" s="39" t="str">
        <f>IF(VLOOKUP(S$2&amp;Income_Statement[[#This Row],[Aop]],Data[],1)=S$2&amp;Income_Statement[[#This Row],[Aop]],VLOOKUP(S$2&amp;Income_Statement[[#This Row],[Aop]],Data[],S$1)/Jedinica,"")</f>
        <v/>
      </c>
      <c r="T98" s="39" t="str">
        <f>IF(VLOOKUP(T$2&amp;Income_Statement[[#This Row],[Aop]],Data[],1)=T$2&amp;Income_Statement[[#This Row],[Aop]],VLOOKUP(T$2&amp;Income_Statement[[#This Row],[Aop]],Data[],T$1)/Jedinica,"")</f>
        <v/>
      </c>
    </row>
    <row r="99" spans="1:20" ht="12.75" customHeight="1" x14ac:dyDescent="0.2">
      <c r="A99" s="74">
        <v>199</v>
      </c>
      <c r="B99" s="74">
        <v>3</v>
      </c>
      <c r="C99" s="78" t="str">
        <f>VLOOKUP(Income_Statement[[#This Row],[No]],AOP_Balance,3,0)</f>
        <v>289</v>
      </c>
      <c r="D99" s="52" t="str">
        <f>VLOOKUP(Income_Statement[[#This Row],[No]],AOP_Balance,7,0)</f>
        <v xml:space="preserve">      d) Rashodi po osnovu negativnih kursnih razlika</v>
      </c>
      <c r="E99" s="39">
        <f>IF(VLOOKUP(E$2&amp;Income_Statement[[#This Row],[Aop]],Data[],1)=E$2&amp;Income_Statement[[#This Row],[Aop]],VLOOKUP(E$2&amp;Income_Statement[[#This Row],[Aop]],Data[],E$1)/Jedinica,"")</f>
        <v>341924</v>
      </c>
      <c r="F99" s="39">
        <f>IF(VLOOKUP(F$2&amp;Income_Statement[[#This Row],[Aop]],Data[],1)=F$2&amp;Income_Statement[[#This Row],[Aop]],VLOOKUP(F$2&amp;Income_Statement[[#This Row],[Aop]],Data[],F$1)/Jedinica,"")</f>
        <v>226831</v>
      </c>
      <c r="G99" s="39">
        <f>IF(VLOOKUP(G$2&amp;Income_Statement[[#This Row],[Aop]],Data[],1)=G$2&amp;Income_Statement[[#This Row],[Aop]],VLOOKUP(G$2&amp;Income_Statement[[#This Row],[Aop]],Data[],G$1)/Jedinica,"")</f>
        <v>2791363</v>
      </c>
      <c r="H99" s="39">
        <f>IF(VLOOKUP(H$2&amp;Income_Statement[[#This Row],[Aop]],Data[],1)=H$2&amp;Income_Statement[[#This Row],[Aop]],VLOOKUP(H$2&amp;Income_Statement[[#This Row],[Aop]],Data[],H$1)/Jedinica,"")</f>
        <v>6005209</v>
      </c>
      <c r="I99" s="39">
        <f>IF(VLOOKUP(I$2&amp;Income_Statement[[#This Row],[Aop]],Data[],1)=I$2&amp;Income_Statement[[#This Row],[Aop]],VLOOKUP(I$2&amp;Income_Statement[[#This Row],[Aop]],Data[],I$1)/Jedinica,"")</f>
        <v>173113</v>
      </c>
      <c r="J99" s="39">
        <f>IF(VLOOKUP(J$2&amp;Income_Statement[[#This Row],[Aop]],Data[],1)=J$2&amp;Income_Statement[[#This Row],[Aop]],VLOOKUP(J$2&amp;Income_Statement[[#This Row],[Aop]],Data[],J$1)/Jedinica,"")</f>
        <v>188249</v>
      </c>
      <c r="K99" s="39">
        <f>IF(VLOOKUP(K$2&amp;Income_Statement[[#This Row],[Aop]],Data[],1)=K$2&amp;Income_Statement[[#This Row],[Aop]],VLOOKUP(K$2&amp;Income_Statement[[#This Row],[Aop]],Data[],K$1)/Jedinica,"")</f>
        <v>2685816</v>
      </c>
      <c r="L99" s="39">
        <f>IF(VLOOKUP(L$2&amp;Income_Statement[[#This Row],[Aop]],Data[],1)=L$2&amp;Income_Statement[[#This Row],[Aop]],VLOOKUP(L$2&amp;Income_Statement[[#This Row],[Aop]],Data[],L$1)/Jedinica,"")</f>
        <v>851958</v>
      </c>
      <c r="M99" s="39">
        <f>IF(VLOOKUP(M$2&amp;Income_Statement[[#This Row],[Aop]],Data[],1)=M$2&amp;Income_Statement[[#This Row],[Aop]],VLOOKUP(M$2&amp;Income_Statement[[#This Row],[Aop]],Data[],M$1)/Jedinica,"")</f>
        <v>4148785</v>
      </c>
      <c r="N99" s="39">
        <f>IF(VLOOKUP(N$2&amp;Income_Statement[[#This Row],[Aop]],Data[],1)=N$2&amp;Income_Statement[[#This Row],[Aop]],VLOOKUP(N$2&amp;Income_Statement[[#This Row],[Aop]],Data[],N$1)/Jedinica,"")</f>
        <v>3830479</v>
      </c>
      <c r="O99" s="39">
        <f>IF(VLOOKUP(O$2&amp;Income_Statement[[#This Row],[Aop]],Data[],1)=O$2&amp;Income_Statement[[#This Row],[Aop]],VLOOKUP(O$2&amp;Income_Statement[[#This Row],[Aop]],Data[],O$1)/Jedinica,"")</f>
        <v>2685816</v>
      </c>
      <c r="P99" s="39">
        <f>IF(VLOOKUP(P$2&amp;Income_Statement[[#This Row],[Aop]],Data[],1)=P$2&amp;Income_Statement[[#This Row],[Aop]],VLOOKUP(P$2&amp;Income_Statement[[#This Row],[Aop]],Data[],P$1)/Jedinica,"")</f>
        <v>851958</v>
      </c>
      <c r="Q99" s="39">
        <f>IF(VLOOKUP(Q$2&amp;Income_Statement[[#This Row],[Aop]],Data[],1)=Q$2&amp;Income_Statement[[#This Row],[Aop]],VLOOKUP(Q$2&amp;Income_Statement[[#This Row],[Aop]],Data[],Q$1)/Jedinica,"")</f>
        <v>1148483</v>
      </c>
      <c r="R99" s="39">
        <f>IF(VLOOKUP(R$2&amp;Income_Statement[[#This Row],[Aop]],Data[],1)=R$2&amp;Income_Statement[[#This Row],[Aop]],VLOOKUP(R$2&amp;Income_Statement[[#This Row],[Aop]],Data[],R$1)/Jedinica,"")</f>
        <v>533114</v>
      </c>
      <c r="S99" s="39">
        <f>IF(VLOOKUP(S$2&amp;Income_Statement[[#This Row],[Aop]],Data[],1)=S$2&amp;Income_Statement[[#This Row],[Aop]],VLOOKUP(S$2&amp;Income_Statement[[#This Row],[Aop]],Data[],S$1)/Jedinica,"")</f>
        <v>2435634</v>
      </c>
      <c r="T99" s="39">
        <f>IF(VLOOKUP(T$2&amp;Income_Statement[[#This Row],[Aop]],Data[],1)=T$2&amp;Income_Statement[[#This Row],[Aop]],VLOOKUP(T$2&amp;Income_Statement[[#This Row],[Aop]],Data[],T$1)/Jedinica,"")</f>
        <v>1605762</v>
      </c>
    </row>
    <row r="100" spans="1:20" ht="12.75" customHeight="1" x14ac:dyDescent="0.2">
      <c r="A100" s="74">
        <v>200</v>
      </c>
      <c r="B100" s="74">
        <v>1</v>
      </c>
      <c r="C100" s="78" t="str">
        <f>VLOOKUP(Income_Statement[[#This Row],[No]],AOP_Balance,3,0)</f>
        <v>290</v>
      </c>
      <c r="D100" s="52" t="str">
        <f>VLOOKUP(Income_Statement[[#This Row],[No]],AOP_Balance,7,0)</f>
        <v xml:space="preserve">  E. DOBITAK PO OSNOVU PROMJENE VRIJEDNOSTI IMOVINE I OBAVEZA (278-284)</v>
      </c>
      <c r="E100" s="39" t="str">
        <f>IF(VLOOKUP(E$2&amp;Income_Statement[[#This Row],[Aop]],Data[],1)=E$2&amp;Income_Statement[[#This Row],[Aop]],VLOOKUP(E$2&amp;Income_Statement[[#This Row],[Aop]],Data[],E$1)/Jedinica,"")</f>
        <v/>
      </c>
      <c r="F100" s="39" t="str">
        <f>IF(VLOOKUP(F$2&amp;Income_Statement[[#This Row],[Aop]],Data[],1)=F$2&amp;Income_Statement[[#This Row],[Aop]],VLOOKUP(F$2&amp;Income_Statement[[#This Row],[Aop]],Data[],F$1)/Jedinica,"")</f>
        <v/>
      </c>
      <c r="G100" s="39" t="str">
        <f>IF(VLOOKUP(G$2&amp;Income_Statement[[#This Row],[Aop]],Data[],1)=G$2&amp;Income_Statement[[#This Row],[Aop]],VLOOKUP(G$2&amp;Income_Statement[[#This Row],[Aop]],Data[],G$1)/Jedinica,"")</f>
        <v/>
      </c>
      <c r="H100" s="39" t="str">
        <f>IF(VLOOKUP(H$2&amp;Income_Statement[[#This Row],[Aop]],Data[],1)=H$2&amp;Income_Statement[[#This Row],[Aop]],VLOOKUP(H$2&amp;Income_Statement[[#This Row],[Aop]],Data[],H$1)/Jedinica,"")</f>
        <v/>
      </c>
      <c r="I100" s="39">
        <f>IF(VLOOKUP(I$2&amp;Income_Statement[[#This Row],[Aop]],Data[],1)=I$2&amp;Income_Statement[[#This Row],[Aop]],VLOOKUP(I$2&amp;Income_Statement[[#This Row],[Aop]],Data[],I$1)/Jedinica,"")</f>
        <v>4149</v>
      </c>
      <c r="J100" s="39">
        <f>IF(VLOOKUP(J$2&amp;Income_Statement[[#This Row],[Aop]],Data[],1)=J$2&amp;Income_Statement[[#This Row],[Aop]],VLOOKUP(J$2&amp;Income_Statement[[#This Row],[Aop]],Data[],J$1)/Jedinica,"")</f>
        <v>14520</v>
      </c>
      <c r="K100" s="39">
        <f>IF(VLOOKUP(K$2&amp;Income_Statement[[#This Row],[Aop]],Data[],1)=K$2&amp;Income_Statement[[#This Row],[Aop]],VLOOKUP(K$2&amp;Income_Statement[[#This Row],[Aop]],Data[],K$1)/Jedinica,"")</f>
        <v>55409</v>
      </c>
      <c r="L100" s="39">
        <f>IF(VLOOKUP(L$2&amp;Income_Statement[[#This Row],[Aop]],Data[],1)=L$2&amp;Income_Statement[[#This Row],[Aop]],VLOOKUP(L$2&amp;Income_Statement[[#This Row],[Aop]],Data[],L$1)/Jedinica,"")</f>
        <v>75108</v>
      </c>
      <c r="M100" s="39">
        <f>IF(VLOOKUP(M$2&amp;Income_Statement[[#This Row],[Aop]],Data[],1)=M$2&amp;Income_Statement[[#This Row],[Aop]],VLOOKUP(M$2&amp;Income_Statement[[#This Row],[Aop]],Data[],M$1)/Jedinica,"")</f>
        <v>1894618</v>
      </c>
      <c r="N100" s="39">
        <f>IF(VLOOKUP(N$2&amp;Income_Statement[[#This Row],[Aop]],Data[],1)=N$2&amp;Income_Statement[[#This Row],[Aop]],VLOOKUP(N$2&amp;Income_Statement[[#This Row],[Aop]],Data[],N$1)/Jedinica,"")</f>
        <v>1966262</v>
      </c>
      <c r="O100" s="39">
        <f>IF(VLOOKUP(O$2&amp;Income_Statement[[#This Row],[Aop]],Data[],1)=O$2&amp;Income_Statement[[#This Row],[Aop]],VLOOKUP(O$2&amp;Income_Statement[[#This Row],[Aop]],Data[],O$1)/Jedinica,"")</f>
        <v>55409</v>
      </c>
      <c r="P100" s="39">
        <f>IF(VLOOKUP(P$2&amp;Income_Statement[[#This Row],[Aop]],Data[],1)=P$2&amp;Income_Statement[[#This Row],[Aop]],VLOOKUP(P$2&amp;Income_Statement[[#This Row],[Aop]],Data[],P$1)/Jedinica,"")</f>
        <v>75108</v>
      </c>
      <c r="Q100" s="39">
        <f>IF(VLOOKUP(Q$2&amp;Income_Statement[[#This Row],[Aop]],Data[],1)=Q$2&amp;Income_Statement[[#This Row],[Aop]],VLOOKUP(Q$2&amp;Income_Statement[[#This Row],[Aop]],Data[],Q$1)/Jedinica,"")</f>
        <v>358526</v>
      </c>
      <c r="R100" s="39">
        <f>IF(VLOOKUP(R$2&amp;Income_Statement[[#This Row],[Aop]],Data[],1)=R$2&amp;Income_Statement[[#This Row],[Aop]],VLOOKUP(R$2&amp;Income_Statement[[#This Row],[Aop]],Data[],R$1)/Jedinica,"")</f>
        <v>373691</v>
      </c>
      <c r="S100" s="39">
        <f>IF(VLOOKUP(S$2&amp;Income_Statement[[#This Row],[Aop]],Data[],1)=S$2&amp;Income_Statement[[#This Row],[Aop]],VLOOKUP(S$2&amp;Income_Statement[[#This Row],[Aop]],Data[],S$1)/Jedinica,"")</f>
        <v>669805</v>
      </c>
      <c r="T100" s="39">
        <f>IF(VLOOKUP(T$2&amp;Income_Statement[[#This Row],[Aop]],Data[],1)=T$2&amp;Income_Statement[[#This Row],[Aop]],VLOOKUP(T$2&amp;Income_Statement[[#This Row],[Aop]],Data[],T$1)/Jedinica,"")</f>
        <v>950326</v>
      </c>
    </row>
    <row r="101" spans="1:20" ht="12.75" customHeight="1" x14ac:dyDescent="0.2">
      <c r="A101" s="74">
        <v>201</v>
      </c>
      <c r="B101" s="74">
        <v>1</v>
      </c>
      <c r="C101" s="78" t="str">
        <f>VLOOKUP(Income_Statement[[#This Row],[No]],AOP_Balance,3,0)</f>
        <v>291</v>
      </c>
      <c r="D101" s="52" t="str">
        <f>VLOOKUP(Income_Statement[[#This Row],[No]],AOP_Balance,7,0)</f>
        <v xml:space="preserve">  Ž. GUBITAK PO OSNOVU PROMJENE VRIJEDNOSTI IMOVINE I OBAVEZA (284-278)</v>
      </c>
      <c r="E101" s="39">
        <f>IF(VLOOKUP(E$2&amp;Income_Statement[[#This Row],[Aop]],Data[],1)=E$2&amp;Income_Statement[[#This Row],[Aop]],VLOOKUP(E$2&amp;Income_Statement[[#This Row],[Aop]],Data[],E$1)/Jedinica,"")</f>
        <v>-11691</v>
      </c>
      <c r="F101" s="39">
        <f>IF(VLOOKUP(F$2&amp;Income_Statement[[#This Row],[Aop]],Data[],1)=F$2&amp;Income_Statement[[#This Row],[Aop]],VLOOKUP(F$2&amp;Income_Statement[[#This Row],[Aop]],Data[],F$1)/Jedinica,"")</f>
        <v>52408</v>
      </c>
      <c r="G101" s="39">
        <f>IF(VLOOKUP(G$2&amp;Income_Statement[[#This Row],[Aop]],Data[],1)=G$2&amp;Income_Statement[[#This Row],[Aop]],VLOOKUP(G$2&amp;Income_Statement[[#This Row],[Aop]],Data[],G$1)/Jedinica,"")</f>
        <v>121466</v>
      </c>
      <c r="H101" s="39">
        <f>IF(VLOOKUP(H$2&amp;Income_Statement[[#This Row],[Aop]],Data[],1)=H$2&amp;Income_Statement[[#This Row],[Aop]],VLOOKUP(H$2&amp;Income_Statement[[#This Row],[Aop]],Data[],H$1)/Jedinica,"")</f>
        <v>22805</v>
      </c>
      <c r="I101" s="39" t="str">
        <f>IF(VLOOKUP(I$2&amp;Income_Statement[[#This Row],[Aop]],Data[],1)=I$2&amp;Income_Statement[[#This Row],[Aop]],VLOOKUP(I$2&amp;Income_Statement[[#This Row],[Aop]],Data[],I$1)/Jedinica,"")</f>
        <v/>
      </c>
      <c r="J101" s="39" t="str">
        <f>IF(VLOOKUP(J$2&amp;Income_Statement[[#This Row],[Aop]],Data[],1)=J$2&amp;Income_Statement[[#This Row],[Aop]],VLOOKUP(J$2&amp;Income_Statement[[#This Row],[Aop]],Data[],J$1)/Jedinica,"")</f>
        <v/>
      </c>
      <c r="K101" s="39" t="str">
        <f>IF(VLOOKUP(K$2&amp;Income_Statement[[#This Row],[Aop]],Data[],1)=K$2&amp;Income_Statement[[#This Row],[Aop]],VLOOKUP(K$2&amp;Income_Statement[[#This Row],[Aop]],Data[],K$1)/Jedinica,"")</f>
        <v/>
      </c>
      <c r="L101" s="39" t="str">
        <f>IF(VLOOKUP(L$2&amp;Income_Statement[[#This Row],[Aop]],Data[],1)=L$2&amp;Income_Statement[[#This Row],[Aop]],VLOOKUP(L$2&amp;Income_Statement[[#This Row],[Aop]],Data[],L$1)/Jedinica,"")</f>
        <v/>
      </c>
      <c r="M101" s="39" t="str">
        <f>IF(VLOOKUP(M$2&amp;Income_Statement[[#This Row],[Aop]],Data[],1)=M$2&amp;Income_Statement[[#This Row],[Aop]],VLOOKUP(M$2&amp;Income_Statement[[#This Row],[Aop]],Data[],M$1)/Jedinica,"")</f>
        <v/>
      </c>
      <c r="N101" s="39" t="str">
        <f>IF(VLOOKUP(N$2&amp;Income_Statement[[#This Row],[Aop]],Data[],1)=N$2&amp;Income_Statement[[#This Row],[Aop]],VLOOKUP(N$2&amp;Income_Statement[[#This Row],[Aop]],Data[],N$1)/Jedinica,"")</f>
        <v/>
      </c>
      <c r="O101" s="39" t="str">
        <f>IF(VLOOKUP(O$2&amp;Income_Statement[[#This Row],[Aop]],Data[],1)=O$2&amp;Income_Statement[[#This Row],[Aop]],VLOOKUP(O$2&amp;Income_Statement[[#This Row],[Aop]],Data[],O$1)/Jedinica,"")</f>
        <v/>
      </c>
      <c r="P101" s="39" t="str">
        <f>IF(VLOOKUP(P$2&amp;Income_Statement[[#This Row],[Aop]],Data[],1)=P$2&amp;Income_Statement[[#This Row],[Aop]],VLOOKUP(P$2&amp;Income_Statement[[#This Row],[Aop]],Data[],P$1)/Jedinica,"")</f>
        <v/>
      </c>
      <c r="Q101" s="39" t="str">
        <f>IF(VLOOKUP(Q$2&amp;Income_Statement[[#This Row],[Aop]],Data[],1)=Q$2&amp;Income_Statement[[#This Row],[Aop]],VLOOKUP(Q$2&amp;Income_Statement[[#This Row],[Aop]],Data[],Q$1)/Jedinica,"")</f>
        <v/>
      </c>
      <c r="R101" s="39" t="str">
        <f>IF(VLOOKUP(R$2&amp;Income_Statement[[#This Row],[Aop]],Data[],1)=R$2&amp;Income_Statement[[#This Row],[Aop]],VLOOKUP(R$2&amp;Income_Statement[[#This Row],[Aop]],Data[],R$1)/Jedinica,"")</f>
        <v/>
      </c>
      <c r="S101" s="39" t="str">
        <f>IF(VLOOKUP(S$2&amp;Income_Statement[[#This Row],[Aop]],Data[],1)=S$2&amp;Income_Statement[[#This Row],[Aop]],VLOOKUP(S$2&amp;Income_Statement[[#This Row],[Aop]],Data[],S$1)/Jedinica,"")</f>
        <v/>
      </c>
      <c r="T101" s="39" t="str">
        <f>IF(VLOOKUP(T$2&amp;Income_Statement[[#This Row],[Aop]],Data[],1)=T$2&amp;Income_Statement[[#This Row],[Aop]],VLOOKUP(T$2&amp;Income_Statement[[#This Row],[Aop]],Data[],T$1)/Jedinica,"")</f>
        <v/>
      </c>
    </row>
    <row r="102" spans="1:20" ht="12.75" customHeight="1" x14ac:dyDescent="0.2">
      <c r="A102" s="74">
        <v>202</v>
      </c>
      <c r="B102" s="74">
        <v>1</v>
      </c>
      <c r="C102" s="78" t="str">
        <f>VLOOKUP(Income_Statement[[#This Row],[No]],AOP_Balance,3,0)</f>
        <v/>
      </c>
      <c r="D102" s="52" t="str">
        <f>VLOOKUP(Income_Statement[[#This Row],[No]],AOP_Balance,7,0)</f>
        <v xml:space="preserve">  I. DOBITAK I GUBITAK PRIJE OPOREZIVANJA</v>
      </c>
      <c r="E102" s="39" t="e">
        <f>IF(VLOOKUP(E$2&amp;Income_Statement[[#This Row],[Aop]],Data[],1)=E$2&amp;Income_Statement[[#This Row],[Aop]],VLOOKUP(E$2&amp;Income_Statement[[#This Row],[Aop]],Data[],E$1)/Jedinica,"")</f>
        <v>#N/A</v>
      </c>
      <c r="F102" s="39" t="e">
        <f>IF(VLOOKUP(F$2&amp;Income_Statement[[#This Row],[Aop]],Data[],1)=F$2&amp;Income_Statement[[#This Row],[Aop]],VLOOKUP(F$2&amp;Income_Statement[[#This Row],[Aop]],Data[],F$1)/Jedinica,"")</f>
        <v>#N/A</v>
      </c>
      <c r="G102" s="39" t="str">
        <f>IF(VLOOKUP(G$2&amp;Income_Statement[[#This Row],[Aop]],Data[],1)=G$2&amp;Income_Statement[[#This Row],[Aop]],VLOOKUP(G$2&amp;Income_Statement[[#This Row],[Aop]],Data[],G$1)/Jedinica,"")</f>
        <v/>
      </c>
      <c r="H102" s="39" t="str">
        <f>IF(VLOOKUP(H$2&amp;Income_Statement[[#This Row],[Aop]],Data[],1)=H$2&amp;Income_Statement[[#This Row],[Aop]],VLOOKUP(H$2&amp;Income_Statement[[#This Row],[Aop]],Data[],H$1)/Jedinica,"")</f>
        <v/>
      </c>
      <c r="I102" s="39" t="str">
        <f>IF(VLOOKUP(I$2&amp;Income_Statement[[#This Row],[Aop]],Data[],1)=I$2&amp;Income_Statement[[#This Row],[Aop]],VLOOKUP(I$2&amp;Income_Statement[[#This Row],[Aop]],Data[],I$1)/Jedinica,"")</f>
        <v/>
      </c>
      <c r="J102" s="39" t="str">
        <f>IF(VLOOKUP(J$2&amp;Income_Statement[[#This Row],[Aop]],Data[],1)=J$2&amp;Income_Statement[[#This Row],[Aop]],VLOOKUP(J$2&amp;Income_Statement[[#This Row],[Aop]],Data[],J$1)/Jedinica,"")</f>
        <v/>
      </c>
      <c r="K102" s="39" t="str">
        <f>IF(VLOOKUP(K$2&amp;Income_Statement[[#This Row],[Aop]],Data[],1)=K$2&amp;Income_Statement[[#This Row],[Aop]],VLOOKUP(K$2&amp;Income_Statement[[#This Row],[Aop]],Data[],K$1)/Jedinica,"")</f>
        <v/>
      </c>
      <c r="L102" s="39" t="str">
        <f>IF(VLOOKUP(L$2&amp;Income_Statement[[#This Row],[Aop]],Data[],1)=L$2&amp;Income_Statement[[#This Row],[Aop]],VLOOKUP(L$2&amp;Income_Statement[[#This Row],[Aop]],Data[],L$1)/Jedinica,"")</f>
        <v/>
      </c>
      <c r="M102" s="39" t="str">
        <f>IF(VLOOKUP(M$2&amp;Income_Statement[[#This Row],[Aop]],Data[],1)=M$2&amp;Income_Statement[[#This Row],[Aop]],VLOOKUP(M$2&amp;Income_Statement[[#This Row],[Aop]],Data[],M$1)/Jedinica,"")</f>
        <v/>
      </c>
      <c r="N102" s="39" t="str">
        <f>IF(VLOOKUP(N$2&amp;Income_Statement[[#This Row],[Aop]],Data[],1)=N$2&amp;Income_Statement[[#This Row],[Aop]],VLOOKUP(N$2&amp;Income_Statement[[#This Row],[Aop]],Data[],N$1)/Jedinica,"")</f>
        <v/>
      </c>
      <c r="O102" s="39" t="str">
        <f>IF(VLOOKUP(O$2&amp;Income_Statement[[#This Row],[Aop]],Data[],1)=O$2&amp;Income_Statement[[#This Row],[Aop]],VLOOKUP(O$2&amp;Income_Statement[[#This Row],[Aop]],Data[],O$1)/Jedinica,"")</f>
        <v/>
      </c>
      <c r="P102" s="39" t="str">
        <f>IF(VLOOKUP(P$2&amp;Income_Statement[[#This Row],[Aop]],Data[],1)=P$2&amp;Income_Statement[[#This Row],[Aop]],VLOOKUP(P$2&amp;Income_Statement[[#This Row],[Aop]],Data[],P$1)/Jedinica,"")</f>
        <v/>
      </c>
      <c r="Q102" s="39" t="str">
        <f>IF(VLOOKUP(Q$2&amp;Income_Statement[[#This Row],[Aop]],Data[],1)=Q$2&amp;Income_Statement[[#This Row],[Aop]],VLOOKUP(Q$2&amp;Income_Statement[[#This Row],[Aop]],Data[],Q$1)/Jedinica,"")</f>
        <v/>
      </c>
      <c r="R102" s="39" t="str">
        <f>IF(VLOOKUP(R$2&amp;Income_Statement[[#This Row],[Aop]],Data[],1)=R$2&amp;Income_Statement[[#This Row],[Aop]],VLOOKUP(R$2&amp;Income_Statement[[#This Row],[Aop]],Data[],R$1)/Jedinica,"")</f>
        <v/>
      </c>
      <c r="S102" s="39" t="str">
        <f>IF(VLOOKUP(S$2&amp;Income_Statement[[#This Row],[Aop]],Data[],1)=S$2&amp;Income_Statement[[#This Row],[Aop]],VLOOKUP(S$2&amp;Income_Statement[[#This Row],[Aop]],Data[],S$1)/Jedinica,"")</f>
        <v/>
      </c>
      <c r="T102" s="39" t="str">
        <f>IF(VLOOKUP(T$2&amp;Income_Statement[[#This Row],[Aop]],Data[],1)=T$2&amp;Income_Statement[[#This Row],[Aop]],VLOOKUP(T$2&amp;Income_Statement[[#This Row],[Aop]],Data[],T$1)/Jedinica,"")</f>
        <v/>
      </c>
    </row>
    <row r="103" spans="1:20" ht="12.75" customHeight="1" x14ac:dyDescent="0.2">
      <c r="A103" s="74">
        <v>203</v>
      </c>
      <c r="B103" s="74">
        <v>2</v>
      </c>
      <c r="C103" s="78" t="str">
        <f>VLOOKUP(Income_Statement[[#This Row],[No]],AOP_Balance,3,0)</f>
        <v>292</v>
      </c>
      <c r="D103" s="52" t="str">
        <f>VLOOKUP(Income_Statement[[#This Row],[No]],AOP_Balance,7,0)</f>
        <v xml:space="preserve">    1. Dobitak prije oporezivanja (276+290–277–291)</v>
      </c>
      <c r="E103" s="39">
        <f>IF(VLOOKUP(E$2&amp;Income_Statement[[#This Row],[Aop]],Data[],1)=E$2&amp;Income_Statement[[#This Row],[Aop]],VLOOKUP(E$2&amp;Income_Statement[[#This Row],[Aop]],Data[],E$1)/Jedinica,"")</f>
        <v>316134</v>
      </c>
      <c r="F103" s="39">
        <f>IF(VLOOKUP(F$2&amp;Income_Statement[[#This Row],[Aop]],Data[],1)=F$2&amp;Income_Statement[[#This Row],[Aop]],VLOOKUP(F$2&amp;Income_Statement[[#This Row],[Aop]],Data[],F$1)/Jedinica,"")</f>
        <v>756966</v>
      </c>
      <c r="G103" s="39">
        <f>IF(VLOOKUP(G$2&amp;Income_Statement[[#This Row],[Aop]],Data[],1)=G$2&amp;Income_Statement[[#This Row],[Aop]],VLOOKUP(G$2&amp;Income_Statement[[#This Row],[Aop]],Data[],G$1)/Jedinica,"")</f>
        <v>0</v>
      </c>
      <c r="H103" s="39">
        <f>IF(VLOOKUP(H$2&amp;Income_Statement[[#This Row],[Aop]],Data[],1)=H$2&amp;Income_Statement[[#This Row],[Aop]],VLOOKUP(H$2&amp;Income_Statement[[#This Row],[Aop]],Data[],H$1)/Jedinica,"")</f>
        <v>649707</v>
      </c>
      <c r="I103" s="39">
        <f>IF(VLOOKUP(I$2&amp;Income_Statement[[#This Row],[Aop]],Data[],1)=I$2&amp;Income_Statement[[#This Row],[Aop]],VLOOKUP(I$2&amp;Income_Statement[[#This Row],[Aop]],Data[],I$1)/Jedinica,"")</f>
        <v>142492</v>
      </c>
      <c r="J103" s="39">
        <f>IF(VLOOKUP(J$2&amp;Income_Statement[[#This Row],[Aop]],Data[],1)=J$2&amp;Income_Statement[[#This Row],[Aop]],VLOOKUP(J$2&amp;Income_Statement[[#This Row],[Aop]],Data[],J$1)/Jedinica,"")</f>
        <v>93297</v>
      </c>
      <c r="K103" s="39">
        <f>IF(VLOOKUP(K$2&amp;Income_Statement[[#This Row],[Aop]],Data[],1)=K$2&amp;Income_Statement[[#This Row],[Aop]],VLOOKUP(K$2&amp;Income_Statement[[#This Row],[Aop]],Data[],K$1)/Jedinica,"")</f>
        <v>669182</v>
      </c>
      <c r="L103" s="39">
        <f>IF(VLOOKUP(L$2&amp;Income_Statement[[#This Row],[Aop]],Data[],1)=L$2&amp;Income_Statement[[#This Row],[Aop]],VLOOKUP(L$2&amp;Income_Statement[[#This Row],[Aop]],Data[],L$1)/Jedinica,"")</f>
        <v>1323770</v>
      </c>
      <c r="M103" s="39">
        <f>IF(VLOOKUP(M$2&amp;Income_Statement[[#This Row],[Aop]],Data[],1)=M$2&amp;Income_Statement[[#This Row],[Aop]],VLOOKUP(M$2&amp;Income_Statement[[#This Row],[Aop]],Data[],M$1)/Jedinica,"")</f>
        <v>5880218</v>
      </c>
      <c r="N103" s="39">
        <f>IF(VLOOKUP(N$2&amp;Income_Statement[[#This Row],[Aop]],Data[],1)=N$2&amp;Income_Statement[[#This Row],[Aop]],VLOOKUP(N$2&amp;Income_Statement[[#This Row],[Aop]],Data[],N$1)/Jedinica,"")</f>
        <v>6723201</v>
      </c>
      <c r="O103" s="39">
        <f>IF(VLOOKUP(O$2&amp;Income_Statement[[#This Row],[Aop]],Data[],1)=O$2&amp;Income_Statement[[#This Row],[Aop]],VLOOKUP(O$2&amp;Income_Statement[[#This Row],[Aop]],Data[],O$1)/Jedinica,"")</f>
        <v>669182</v>
      </c>
      <c r="P103" s="39">
        <f>IF(VLOOKUP(P$2&amp;Income_Statement[[#This Row],[Aop]],Data[],1)=P$2&amp;Income_Statement[[#This Row],[Aop]],VLOOKUP(P$2&amp;Income_Statement[[#This Row],[Aop]],Data[],P$1)/Jedinica,"")</f>
        <v>1323770</v>
      </c>
      <c r="Q103" s="39">
        <f>IF(VLOOKUP(Q$2&amp;Income_Statement[[#This Row],[Aop]],Data[],1)=Q$2&amp;Income_Statement[[#This Row],[Aop]],VLOOKUP(Q$2&amp;Income_Statement[[#This Row],[Aop]],Data[],Q$1)/Jedinica,"")</f>
        <v>249948</v>
      </c>
      <c r="R103" s="39">
        <f>IF(VLOOKUP(R$2&amp;Income_Statement[[#This Row],[Aop]],Data[],1)=R$2&amp;Income_Statement[[#This Row],[Aop]],VLOOKUP(R$2&amp;Income_Statement[[#This Row],[Aop]],Data[],R$1)/Jedinica,"")</f>
        <v>155144</v>
      </c>
      <c r="S103" s="39">
        <f>IF(VLOOKUP(S$2&amp;Income_Statement[[#This Row],[Aop]],Data[],1)=S$2&amp;Income_Statement[[#This Row],[Aop]],VLOOKUP(S$2&amp;Income_Statement[[#This Row],[Aop]],Data[],S$1)/Jedinica,"")</f>
        <v>7648323</v>
      </c>
      <c r="T103" s="39">
        <f>IF(VLOOKUP(T$2&amp;Income_Statement[[#This Row],[Aop]],Data[],1)=T$2&amp;Income_Statement[[#This Row],[Aop]],VLOOKUP(T$2&amp;Income_Statement[[#This Row],[Aop]],Data[],T$1)/Jedinica,"")</f>
        <v>6820705</v>
      </c>
    </row>
    <row r="104" spans="1:20" ht="12.75" customHeight="1" x14ac:dyDescent="0.2">
      <c r="A104" s="74">
        <v>204</v>
      </c>
      <c r="B104" s="74">
        <v>2</v>
      </c>
      <c r="C104" s="78" t="str">
        <f>VLOOKUP(Income_Statement[[#This Row],[No]],AOP_Balance,3,0)</f>
        <v>293</v>
      </c>
      <c r="D104" s="52" t="str">
        <f>VLOOKUP(Income_Statement[[#This Row],[No]],AOP_Balance,7,0)</f>
        <v xml:space="preserve">    2. Gubitak prije oporezivanja (277+291–276–290)</v>
      </c>
      <c r="E104" s="39" t="str">
        <f>IF(VLOOKUP(E$2&amp;Income_Statement[[#This Row],[Aop]],Data[],1)=E$2&amp;Income_Statement[[#This Row],[Aop]],VLOOKUP(E$2&amp;Income_Statement[[#This Row],[Aop]],Data[],E$1)/Jedinica,"")</f>
        <v/>
      </c>
      <c r="F104" s="39" t="str">
        <f>IF(VLOOKUP(F$2&amp;Income_Statement[[#This Row],[Aop]],Data[],1)=F$2&amp;Income_Statement[[#This Row],[Aop]],VLOOKUP(F$2&amp;Income_Statement[[#This Row],[Aop]],Data[],F$1)/Jedinica,"")</f>
        <v/>
      </c>
      <c r="G104" s="39">
        <f>IF(VLOOKUP(G$2&amp;Income_Statement[[#This Row],[Aop]],Data[],1)=G$2&amp;Income_Statement[[#This Row],[Aop]],VLOOKUP(G$2&amp;Income_Statement[[#This Row],[Aop]],Data[],G$1)/Jedinica,"")</f>
        <v>394595</v>
      </c>
      <c r="H104" s="39">
        <f>IF(VLOOKUP(H$2&amp;Income_Statement[[#This Row],[Aop]],Data[],1)=H$2&amp;Income_Statement[[#This Row],[Aop]],VLOOKUP(H$2&amp;Income_Statement[[#This Row],[Aop]],Data[],H$1)/Jedinica,"")</f>
        <v>0</v>
      </c>
      <c r="I104" s="39" t="str">
        <f>IF(VLOOKUP(I$2&amp;Income_Statement[[#This Row],[Aop]],Data[],1)=I$2&amp;Income_Statement[[#This Row],[Aop]],VLOOKUP(I$2&amp;Income_Statement[[#This Row],[Aop]],Data[],I$1)/Jedinica,"")</f>
        <v/>
      </c>
      <c r="J104" s="39" t="str">
        <f>IF(VLOOKUP(J$2&amp;Income_Statement[[#This Row],[Aop]],Data[],1)=J$2&amp;Income_Statement[[#This Row],[Aop]],VLOOKUP(J$2&amp;Income_Statement[[#This Row],[Aop]],Data[],J$1)/Jedinica,"")</f>
        <v/>
      </c>
      <c r="K104" s="39" t="str">
        <f>IF(VLOOKUP(K$2&amp;Income_Statement[[#This Row],[Aop]],Data[],1)=K$2&amp;Income_Statement[[#This Row],[Aop]],VLOOKUP(K$2&amp;Income_Statement[[#This Row],[Aop]],Data[],K$1)/Jedinica,"")</f>
        <v/>
      </c>
      <c r="L104" s="39" t="str">
        <f>IF(VLOOKUP(L$2&amp;Income_Statement[[#This Row],[Aop]],Data[],1)=L$2&amp;Income_Statement[[#This Row],[Aop]],VLOOKUP(L$2&amp;Income_Statement[[#This Row],[Aop]],Data[],L$1)/Jedinica,"")</f>
        <v/>
      </c>
      <c r="M104" s="39" t="str">
        <f>IF(VLOOKUP(M$2&amp;Income_Statement[[#This Row],[Aop]],Data[],1)=M$2&amp;Income_Statement[[#This Row],[Aop]],VLOOKUP(M$2&amp;Income_Statement[[#This Row],[Aop]],Data[],M$1)/Jedinica,"")</f>
        <v/>
      </c>
      <c r="N104" s="39" t="str">
        <f>IF(VLOOKUP(N$2&amp;Income_Statement[[#This Row],[Aop]],Data[],1)=N$2&amp;Income_Statement[[#This Row],[Aop]],VLOOKUP(N$2&amp;Income_Statement[[#This Row],[Aop]],Data[],N$1)/Jedinica,"")</f>
        <v/>
      </c>
      <c r="O104" s="39" t="str">
        <f>IF(VLOOKUP(O$2&amp;Income_Statement[[#This Row],[Aop]],Data[],1)=O$2&amp;Income_Statement[[#This Row],[Aop]],VLOOKUP(O$2&amp;Income_Statement[[#This Row],[Aop]],Data[],O$1)/Jedinica,"")</f>
        <v/>
      </c>
      <c r="P104" s="39" t="str">
        <f>IF(VLOOKUP(P$2&amp;Income_Statement[[#This Row],[Aop]],Data[],1)=P$2&amp;Income_Statement[[#This Row],[Aop]],VLOOKUP(P$2&amp;Income_Statement[[#This Row],[Aop]],Data[],P$1)/Jedinica,"")</f>
        <v/>
      </c>
      <c r="Q104" s="39" t="str">
        <f>IF(VLOOKUP(Q$2&amp;Income_Statement[[#This Row],[Aop]],Data[],1)=Q$2&amp;Income_Statement[[#This Row],[Aop]],VLOOKUP(Q$2&amp;Income_Statement[[#This Row],[Aop]],Data[],Q$1)/Jedinica,"")</f>
        <v/>
      </c>
      <c r="R104" s="39" t="str">
        <f>IF(VLOOKUP(R$2&amp;Income_Statement[[#This Row],[Aop]],Data[],1)=R$2&amp;Income_Statement[[#This Row],[Aop]],VLOOKUP(R$2&amp;Income_Statement[[#This Row],[Aop]],Data[],R$1)/Jedinica,"")</f>
        <v/>
      </c>
      <c r="S104" s="39" t="str">
        <f>IF(VLOOKUP(S$2&amp;Income_Statement[[#This Row],[Aop]],Data[],1)=S$2&amp;Income_Statement[[#This Row],[Aop]],VLOOKUP(S$2&amp;Income_Statement[[#This Row],[Aop]],Data[],S$1)/Jedinica,"")</f>
        <v/>
      </c>
      <c r="T104" s="39" t="str">
        <f>IF(VLOOKUP(T$2&amp;Income_Statement[[#This Row],[Aop]],Data[],1)=T$2&amp;Income_Statement[[#This Row],[Aop]],VLOOKUP(T$2&amp;Income_Statement[[#This Row],[Aop]],Data[],T$1)/Jedinica,"")</f>
        <v/>
      </c>
    </row>
    <row r="105" spans="1:20" ht="12.75" customHeight="1" x14ac:dyDescent="0.2">
      <c r="A105" s="74">
        <v>205</v>
      </c>
      <c r="B105" s="74">
        <v>1</v>
      </c>
      <c r="C105" s="78" t="str">
        <f>VLOOKUP(Income_Statement[[#This Row],[No]],AOP_Balance,3,0)</f>
        <v/>
      </c>
      <c r="D105" s="52" t="str">
        <f>VLOOKUP(Income_Statement[[#This Row],[No]],AOP_Balance,7,0)</f>
        <v xml:space="preserve">  J. TEKUĆI I ODLOŽENI POREZ NA DOBIT</v>
      </c>
      <c r="E105" s="39" t="e">
        <f>IF(VLOOKUP(E$2&amp;Income_Statement[[#This Row],[Aop]],Data[],1)=E$2&amp;Income_Statement[[#This Row],[Aop]],VLOOKUP(E$2&amp;Income_Statement[[#This Row],[Aop]],Data[],E$1)/Jedinica,"")</f>
        <v>#N/A</v>
      </c>
      <c r="F105" s="39" t="e">
        <f>IF(VLOOKUP(F$2&amp;Income_Statement[[#This Row],[Aop]],Data[],1)=F$2&amp;Income_Statement[[#This Row],[Aop]],VLOOKUP(F$2&amp;Income_Statement[[#This Row],[Aop]],Data[],F$1)/Jedinica,"")</f>
        <v>#N/A</v>
      </c>
      <c r="G105" s="39" t="str">
        <f>IF(VLOOKUP(G$2&amp;Income_Statement[[#This Row],[Aop]],Data[],1)=G$2&amp;Income_Statement[[#This Row],[Aop]],VLOOKUP(G$2&amp;Income_Statement[[#This Row],[Aop]],Data[],G$1)/Jedinica,"")</f>
        <v/>
      </c>
      <c r="H105" s="39" t="str">
        <f>IF(VLOOKUP(H$2&amp;Income_Statement[[#This Row],[Aop]],Data[],1)=H$2&amp;Income_Statement[[#This Row],[Aop]],VLOOKUP(H$2&amp;Income_Statement[[#This Row],[Aop]],Data[],H$1)/Jedinica,"")</f>
        <v/>
      </c>
      <c r="I105" s="39" t="str">
        <f>IF(VLOOKUP(I$2&amp;Income_Statement[[#This Row],[Aop]],Data[],1)=I$2&amp;Income_Statement[[#This Row],[Aop]],VLOOKUP(I$2&amp;Income_Statement[[#This Row],[Aop]],Data[],I$1)/Jedinica,"")</f>
        <v/>
      </c>
      <c r="J105" s="39" t="str">
        <f>IF(VLOOKUP(J$2&amp;Income_Statement[[#This Row],[Aop]],Data[],1)=J$2&amp;Income_Statement[[#This Row],[Aop]],VLOOKUP(J$2&amp;Income_Statement[[#This Row],[Aop]],Data[],J$1)/Jedinica,"")</f>
        <v/>
      </c>
      <c r="K105" s="39" t="str">
        <f>IF(VLOOKUP(K$2&amp;Income_Statement[[#This Row],[Aop]],Data[],1)=K$2&amp;Income_Statement[[#This Row],[Aop]],VLOOKUP(K$2&amp;Income_Statement[[#This Row],[Aop]],Data[],K$1)/Jedinica,"")</f>
        <v/>
      </c>
      <c r="L105" s="39" t="str">
        <f>IF(VLOOKUP(L$2&amp;Income_Statement[[#This Row],[Aop]],Data[],1)=L$2&amp;Income_Statement[[#This Row],[Aop]],VLOOKUP(L$2&amp;Income_Statement[[#This Row],[Aop]],Data[],L$1)/Jedinica,"")</f>
        <v/>
      </c>
      <c r="M105" s="39" t="str">
        <f>IF(VLOOKUP(M$2&amp;Income_Statement[[#This Row],[Aop]],Data[],1)=M$2&amp;Income_Statement[[#This Row],[Aop]],VLOOKUP(M$2&amp;Income_Statement[[#This Row],[Aop]],Data[],M$1)/Jedinica,"")</f>
        <v/>
      </c>
      <c r="N105" s="39" t="str">
        <f>IF(VLOOKUP(N$2&amp;Income_Statement[[#This Row],[Aop]],Data[],1)=N$2&amp;Income_Statement[[#This Row],[Aop]],VLOOKUP(N$2&amp;Income_Statement[[#This Row],[Aop]],Data[],N$1)/Jedinica,"")</f>
        <v/>
      </c>
      <c r="O105" s="39" t="str">
        <f>IF(VLOOKUP(O$2&amp;Income_Statement[[#This Row],[Aop]],Data[],1)=O$2&amp;Income_Statement[[#This Row],[Aop]],VLOOKUP(O$2&amp;Income_Statement[[#This Row],[Aop]],Data[],O$1)/Jedinica,"")</f>
        <v/>
      </c>
      <c r="P105" s="39" t="str">
        <f>IF(VLOOKUP(P$2&amp;Income_Statement[[#This Row],[Aop]],Data[],1)=P$2&amp;Income_Statement[[#This Row],[Aop]],VLOOKUP(P$2&amp;Income_Statement[[#This Row],[Aop]],Data[],P$1)/Jedinica,"")</f>
        <v/>
      </c>
      <c r="Q105" s="39" t="str">
        <f>IF(VLOOKUP(Q$2&amp;Income_Statement[[#This Row],[Aop]],Data[],1)=Q$2&amp;Income_Statement[[#This Row],[Aop]],VLOOKUP(Q$2&amp;Income_Statement[[#This Row],[Aop]],Data[],Q$1)/Jedinica,"")</f>
        <v/>
      </c>
      <c r="R105" s="39" t="str">
        <f>IF(VLOOKUP(R$2&amp;Income_Statement[[#This Row],[Aop]],Data[],1)=R$2&amp;Income_Statement[[#This Row],[Aop]],VLOOKUP(R$2&amp;Income_Statement[[#This Row],[Aop]],Data[],R$1)/Jedinica,"")</f>
        <v/>
      </c>
      <c r="S105" s="39" t="str">
        <f>IF(VLOOKUP(S$2&amp;Income_Statement[[#This Row],[Aop]],Data[],1)=S$2&amp;Income_Statement[[#This Row],[Aop]],VLOOKUP(S$2&amp;Income_Statement[[#This Row],[Aop]],Data[],S$1)/Jedinica,"")</f>
        <v/>
      </c>
      <c r="T105" s="39" t="str">
        <f>IF(VLOOKUP(T$2&amp;Income_Statement[[#This Row],[Aop]],Data[],1)=T$2&amp;Income_Statement[[#This Row],[Aop]],VLOOKUP(T$2&amp;Income_Statement[[#This Row],[Aop]],Data[],T$1)/Jedinica,"")</f>
        <v/>
      </c>
    </row>
    <row r="106" spans="1:20" ht="12.75" customHeight="1" x14ac:dyDescent="0.2">
      <c r="A106" s="74">
        <v>206</v>
      </c>
      <c r="B106" s="74">
        <v>2</v>
      </c>
      <c r="C106" s="78" t="str">
        <f>VLOOKUP(Income_Statement[[#This Row],[No]],AOP_Balance,3,0)</f>
        <v>294</v>
      </c>
      <c r="D106" s="52" t="str">
        <f>VLOOKUP(Income_Statement[[#This Row],[No]],AOP_Balance,7,0)</f>
        <v xml:space="preserve">    1. Porez na dobit</v>
      </c>
      <c r="E106" s="39">
        <f>IF(VLOOKUP(E$2&amp;Income_Statement[[#This Row],[Aop]],Data[],1)=E$2&amp;Income_Statement[[#This Row],[Aop]],VLOOKUP(E$2&amp;Income_Statement[[#This Row],[Aop]],Data[],E$1)/Jedinica,"")</f>
        <v>147263</v>
      </c>
      <c r="F106" s="39">
        <f>IF(VLOOKUP(F$2&amp;Income_Statement[[#This Row],[Aop]],Data[],1)=F$2&amp;Income_Statement[[#This Row],[Aop]],VLOOKUP(F$2&amp;Income_Statement[[#This Row],[Aop]],Data[],F$1)/Jedinica,"")</f>
        <v>207525</v>
      </c>
      <c r="G106" s="39" t="str">
        <f>IF(VLOOKUP(G$2&amp;Income_Statement[[#This Row],[Aop]],Data[],1)=G$2&amp;Income_Statement[[#This Row],[Aop]],VLOOKUP(G$2&amp;Income_Statement[[#This Row],[Aop]],Data[],G$1)/Jedinica,"")</f>
        <v/>
      </c>
      <c r="H106" s="39" t="str">
        <f>IF(VLOOKUP(H$2&amp;Income_Statement[[#This Row],[Aop]],Data[],1)=H$2&amp;Income_Statement[[#This Row],[Aop]],VLOOKUP(H$2&amp;Income_Statement[[#This Row],[Aop]],Data[],H$1)/Jedinica,"")</f>
        <v/>
      </c>
      <c r="I106" s="39" t="str">
        <f>IF(VLOOKUP(I$2&amp;Income_Statement[[#This Row],[Aop]],Data[],1)=I$2&amp;Income_Statement[[#This Row],[Aop]],VLOOKUP(I$2&amp;Income_Statement[[#This Row],[Aop]],Data[],I$1)/Jedinica,"")</f>
        <v/>
      </c>
      <c r="J106" s="39" t="str">
        <f>IF(VLOOKUP(J$2&amp;Income_Statement[[#This Row],[Aop]],Data[],1)=J$2&amp;Income_Statement[[#This Row],[Aop]],VLOOKUP(J$2&amp;Income_Statement[[#This Row],[Aop]],Data[],J$1)/Jedinica,"")</f>
        <v/>
      </c>
      <c r="K106" s="39" t="str">
        <f>IF(VLOOKUP(K$2&amp;Income_Statement[[#This Row],[Aop]],Data[],1)=K$2&amp;Income_Statement[[#This Row],[Aop]],VLOOKUP(K$2&amp;Income_Statement[[#This Row],[Aop]],Data[],K$1)/Jedinica,"")</f>
        <v/>
      </c>
      <c r="L106" s="39" t="str">
        <f>IF(VLOOKUP(L$2&amp;Income_Statement[[#This Row],[Aop]],Data[],1)=L$2&amp;Income_Statement[[#This Row],[Aop]],VLOOKUP(L$2&amp;Income_Statement[[#This Row],[Aop]],Data[],L$1)/Jedinica,"")</f>
        <v/>
      </c>
      <c r="M106" s="39">
        <f>IF(VLOOKUP(M$2&amp;Income_Statement[[#This Row],[Aop]],Data[],1)=M$2&amp;Income_Statement[[#This Row],[Aop]],VLOOKUP(M$2&amp;Income_Statement[[#This Row],[Aop]],Data[],M$1)/Jedinica,"")</f>
        <v>824694</v>
      </c>
      <c r="N106" s="39">
        <f>IF(VLOOKUP(N$2&amp;Income_Statement[[#This Row],[Aop]],Data[],1)=N$2&amp;Income_Statement[[#This Row],[Aop]],VLOOKUP(N$2&amp;Income_Statement[[#This Row],[Aop]],Data[],N$1)/Jedinica,"")</f>
        <v>656207</v>
      </c>
      <c r="O106" s="39" t="str">
        <f>IF(VLOOKUP(O$2&amp;Income_Statement[[#This Row],[Aop]],Data[],1)=O$2&amp;Income_Statement[[#This Row],[Aop]],VLOOKUP(O$2&amp;Income_Statement[[#This Row],[Aop]],Data[],O$1)/Jedinica,"")</f>
        <v/>
      </c>
      <c r="P106" s="39" t="str">
        <f>IF(VLOOKUP(P$2&amp;Income_Statement[[#This Row],[Aop]],Data[],1)=P$2&amp;Income_Statement[[#This Row],[Aop]],VLOOKUP(P$2&amp;Income_Statement[[#This Row],[Aop]],Data[],P$1)/Jedinica,"")</f>
        <v/>
      </c>
      <c r="Q106" s="39">
        <f>IF(VLOOKUP(Q$2&amp;Income_Statement[[#This Row],[Aop]],Data[],1)=Q$2&amp;Income_Statement[[#This Row],[Aop]],VLOOKUP(Q$2&amp;Income_Statement[[#This Row],[Aop]],Data[],Q$1)/Jedinica,"")</f>
        <v>79427</v>
      </c>
      <c r="R106" s="39">
        <f>IF(VLOOKUP(R$2&amp;Income_Statement[[#This Row],[Aop]],Data[],1)=R$2&amp;Income_Statement[[#This Row],[Aop]],VLOOKUP(R$2&amp;Income_Statement[[#This Row],[Aop]],Data[],R$1)/Jedinica,"")</f>
        <v>0</v>
      </c>
      <c r="S106" s="39">
        <f>IF(VLOOKUP(S$2&amp;Income_Statement[[#This Row],[Aop]],Data[],1)=S$2&amp;Income_Statement[[#This Row],[Aop]],VLOOKUP(S$2&amp;Income_Statement[[#This Row],[Aop]],Data[],S$1)/Jedinica,"")</f>
        <v>764832</v>
      </c>
      <c r="T106" s="39">
        <f>IF(VLOOKUP(T$2&amp;Income_Statement[[#This Row],[Aop]],Data[],1)=T$2&amp;Income_Statement[[#This Row],[Aop]],VLOOKUP(T$2&amp;Income_Statement[[#This Row],[Aop]],Data[],T$1)/Jedinica,"")</f>
        <v>682070</v>
      </c>
    </row>
    <row r="107" spans="1:20" ht="25.5" customHeight="1" x14ac:dyDescent="0.2">
      <c r="A107" s="74">
        <v>207</v>
      </c>
      <c r="B107" s="74">
        <v>2</v>
      </c>
      <c r="C107" s="79" t="str">
        <f>VLOOKUP(Income_Statement[[#This Row],[No]],AOP_Balance,3,0)</f>
        <v>295</v>
      </c>
      <c r="D107" s="52" t="str">
        <f>VLOOKUP(Income_Statement[[#This Row],[No]],AOP_Balance,7,0)</f>
        <v xml:space="preserve">    2. Dobitak po osnovu povećanja odloženih poreskih sredstava i smanjenja odloženih poreskih obaveza</v>
      </c>
      <c r="E107" s="39" t="str">
        <f>IF(VLOOKUP(E$2&amp;Income_Statement[[#This Row],[Aop]],Data[],1)=E$2&amp;Income_Statement[[#This Row],[Aop]],VLOOKUP(E$2&amp;Income_Statement[[#This Row],[Aop]],Data[],E$1)/Jedinica,"")</f>
        <v/>
      </c>
      <c r="F107" s="39" t="str">
        <f>IF(VLOOKUP(F$2&amp;Income_Statement[[#This Row],[Aop]],Data[],1)=F$2&amp;Income_Statement[[#This Row],[Aop]],VLOOKUP(F$2&amp;Income_Statement[[#This Row],[Aop]],Data[],F$1)/Jedinica,"")</f>
        <v/>
      </c>
      <c r="G107" s="39" t="str">
        <f>IF(VLOOKUP(G$2&amp;Income_Statement[[#This Row],[Aop]],Data[],1)=G$2&amp;Income_Statement[[#This Row],[Aop]],VLOOKUP(G$2&amp;Income_Statement[[#This Row],[Aop]],Data[],G$1)/Jedinica,"")</f>
        <v/>
      </c>
      <c r="H107" s="39" t="str">
        <f>IF(VLOOKUP(H$2&amp;Income_Statement[[#This Row],[Aop]],Data[],1)=H$2&amp;Income_Statement[[#This Row],[Aop]],VLOOKUP(H$2&amp;Income_Statement[[#This Row],[Aop]],Data[],H$1)/Jedinica,"")</f>
        <v/>
      </c>
      <c r="I107" s="39" t="str">
        <f>IF(VLOOKUP(I$2&amp;Income_Statement[[#This Row],[Aop]],Data[],1)=I$2&amp;Income_Statement[[#This Row],[Aop]],VLOOKUP(I$2&amp;Income_Statement[[#This Row],[Aop]],Data[],I$1)/Jedinica,"")</f>
        <v/>
      </c>
      <c r="J107" s="39" t="str">
        <f>IF(VLOOKUP(J$2&amp;Income_Statement[[#This Row],[Aop]],Data[],1)=J$2&amp;Income_Statement[[#This Row],[Aop]],VLOOKUP(J$2&amp;Income_Statement[[#This Row],[Aop]],Data[],J$1)/Jedinica,"")</f>
        <v/>
      </c>
      <c r="K107" s="39" t="str">
        <f>IF(VLOOKUP(K$2&amp;Income_Statement[[#This Row],[Aop]],Data[],1)=K$2&amp;Income_Statement[[#This Row],[Aop]],VLOOKUP(K$2&amp;Income_Statement[[#This Row],[Aop]],Data[],K$1)/Jedinica,"")</f>
        <v/>
      </c>
      <c r="L107" s="39" t="str">
        <f>IF(VLOOKUP(L$2&amp;Income_Statement[[#This Row],[Aop]],Data[],1)=L$2&amp;Income_Statement[[#This Row],[Aop]],VLOOKUP(L$2&amp;Income_Statement[[#This Row],[Aop]],Data[],L$1)/Jedinica,"")</f>
        <v/>
      </c>
      <c r="M107" s="39" t="str">
        <f>IF(VLOOKUP(M$2&amp;Income_Statement[[#This Row],[Aop]],Data[],1)=M$2&amp;Income_Statement[[#This Row],[Aop]],VLOOKUP(M$2&amp;Income_Statement[[#This Row],[Aop]],Data[],M$1)/Jedinica,"")</f>
        <v/>
      </c>
      <c r="N107" s="39" t="str">
        <f>IF(VLOOKUP(N$2&amp;Income_Statement[[#This Row],[Aop]],Data[],1)=N$2&amp;Income_Statement[[#This Row],[Aop]],VLOOKUP(N$2&amp;Income_Statement[[#This Row],[Aop]],Data[],N$1)/Jedinica,"")</f>
        <v/>
      </c>
      <c r="O107" s="39" t="str">
        <f>IF(VLOOKUP(O$2&amp;Income_Statement[[#This Row],[Aop]],Data[],1)=O$2&amp;Income_Statement[[#This Row],[Aop]],VLOOKUP(O$2&amp;Income_Statement[[#This Row],[Aop]],Data[],O$1)/Jedinica,"")</f>
        <v/>
      </c>
      <c r="P107" s="39" t="str">
        <f>IF(VLOOKUP(P$2&amp;Income_Statement[[#This Row],[Aop]],Data[],1)=P$2&amp;Income_Statement[[#This Row],[Aop]],VLOOKUP(P$2&amp;Income_Statement[[#This Row],[Aop]],Data[],P$1)/Jedinica,"")</f>
        <v/>
      </c>
      <c r="Q107" s="39" t="str">
        <f>IF(VLOOKUP(Q$2&amp;Income_Statement[[#This Row],[Aop]],Data[],1)=Q$2&amp;Income_Statement[[#This Row],[Aop]],VLOOKUP(Q$2&amp;Income_Statement[[#This Row],[Aop]],Data[],Q$1)/Jedinica,"")</f>
        <v/>
      </c>
      <c r="R107" s="39" t="str">
        <f>IF(VLOOKUP(R$2&amp;Income_Statement[[#This Row],[Aop]],Data[],1)=R$2&amp;Income_Statement[[#This Row],[Aop]],VLOOKUP(R$2&amp;Income_Statement[[#This Row],[Aop]],Data[],R$1)/Jedinica,"")</f>
        <v/>
      </c>
      <c r="S107" s="39">
        <f>IF(VLOOKUP(S$2&amp;Income_Statement[[#This Row],[Aop]],Data[],1)=S$2&amp;Income_Statement[[#This Row],[Aop]],VLOOKUP(S$2&amp;Income_Statement[[#This Row],[Aop]],Data[],S$1)/Jedinica,"")</f>
        <v>53573</v>
      </c>
      <c r="T107" s="39">
        <f>IF(VLOOKUP(T$2&amp;Income_Statement[[#This Row],[Aop]],Data[],1)=T$2&amp;Income_Statement[[#This Row],[Aop]],VLOOKUP(T$2&amp;Income_Statement[[#This Row],[Aop]],Data[],T$1)/Jedinica,"")</f>
        <v>37041</v>
      </c>
    </row>
    <row r="108" spans="1:20" ht="25.5" customHeight="1" x14ac:dyDescent="0.2">
      <c r="A108" s="74">
        <v>208</v>
      </c>
      <c r="B108" s="74">
        <v>2</v>
      </c>
      <c r="C108" s="78" t="str">
        <f>VLOOKUP(Income_Statement[[#This Row],[No]],AOP_Balance,3,0)</f>
        <v>296</v>
      </c>
      <c r="D108" s="52" t="str">
        <f>VLOOKUP(Income_Statement[[#This Row],[No]],AOP_Balance,7,0)</f>
        <v xml:space="preserve">    3. Gubitak po osnovu smanjenja odloženih poreskih sredstava i povećanja odloženih poreskih obaveza</v>
      </c>
      <c r="E108" s="39" t="str">
        <f>IF(VLOOKUP(E$2&amp;Income_Statement[[#This Row],[Aop]],Data[],1)=E$2&amp;Income_Statement[[#This Row],[Aop]],VLOOKUP(E$2&amp;Income_Statement[[#This Row],[Aop]],Data[],E$1)/Jedinica,"")</f>
        <v/>
      </c>
      <c r="F108" s="39" t="str">
        <f>IF(VLOOKUP(F$2&amp;Income_Statement[[#This Row],[Aop]],Data[],1)=F$2&amp;Income_Statement[[#This Row],[Aop]],VLOOKUP(F$2&amp;Income_Statement[[#This Row],[Aop]],Data[],F$1)/Jedinica,"")</f>
        <v/>
      </c>
      <c r="G108" s="39" t="str">
        <f>IF(VLOOKUP(G$2&amp;Income_Statement[[#This Row],[Aop]],Data[],1)=G$2&amp;Income_Statement[[#This Row],[Aop]],VLOOKUP(G$2&amp;Income_Statement[[#This Row],[Aop]],Data[],G$1)/Jedinica,"")</f>
        <v/>
      </c>
      <c r="H108" s="39" t="str">
        <f>IF(VLOOKUP(H$2&amp;Income_Statement[[#This Row],[Aop]],Data[],1)=H$2&amp;Income_Statement[[#This Row],[Aop]],VLOOKUP(H$2&amp;Income_Statement[[#This Row],[Aop]],Data[],H$1)/Jedinica,"")</f>
        <v/>
      </c>
      <c r="I108" s="39" t="str">
        <f>IF(VLOOKUP(I$2&amp;Income_Statement[[#This Row],[Aop]],Data[],1)=I$2&amp;Income_Statement[[#This Row],[Aop]],VLOOKUP(I$2&amp;Income_Statement[[#This Row],[Aop]],Data[],I$1)/Jedinica,"")</f>
        <v/>
      </c>
      <c r="J108" s="39" t="str">
        <f>IF(VLOOKUP(J$2&amp;Income_Statement[[#This Row],[Aop]],Data[],1)=J$2&amp;Income_Statement[[#This Row],[Aop]],VLOOKUP(J$2&amp;Income_Statement[[#This Row],[Aop]],Data[],J$1)/Jedinica,"")</f>
        <v/>
      </c>
      <c r="K108" s="39" t="str">
        <f>IF(VLOOKUP(K$2&amp;Income_Statement[[#This Row],[Aop]],Data[],1)=K$2&amp;Income_Statement[[#This Row],[Aop]],VLOOKUP(K$2&amp;Income_Statement[[#This Row],[Aop]],Data[],K$1)/Jedinica,"")</f>
        <v/>
      </c>
      <c r="L108" s="39" t="str">
        <f>IF(VLOOKUP(L$2&amp;Income_Statement[[#This Row],[Aop]],Data[],1)=L$2&amp;Income_Statement[[#This Row],[Aop]],VLOOKUP(L$2&amp;Income_Statement[[#This Row],[Aop]],Data[],L$1)/Jedinica,"")</f>
        <v/>
      </c>
      <c r="M108" s="39" t="str">
        <f>IF(VLOOKUP(M$2&amp;Income_Statement[[#This Row],[Aop]],Data[],1)=M$2&amp;Income_Statement[[#This Row],[Aop]],VLOOKUP(M$2&amp;Income_Statement[[#This Row],[Aop]],Data[],M$1)/Jedinica,"")</f>
        <v/>
      </c>
      <c r="N108" s="39" t="str">
        <f>IF(VLOOKUP(N$2&amp;Income_Statement[[#This Row],[Aop]],Data[],1)=N$2&amp;Income_Statement[[#This Row],[Aop]],VLOOKUP(N$2&amp;Income_Statement[[#This Row],[Aop]],Data[],N$1)/Jedinica,"")</f>
        <v/>
      </c>
      <c r="O108" s="39" t="str">
        <f>IF(VLOOKUP(O$2&amp;Income_Statement[[#This Row],[Aop]],Data[],1)=O$2&amp;Income_Statement[[#This Row],[Aop]],VLOOKUP(O$2&amp;Income_Statement[[#This Row],[Aop]],Data[],O$1)/Jedinica,"")</f>
        <v/>
      </c>
      <c r="P108" s="39" t="str">
        <f>IF(VLOOKUP(P$2&amp;Income_Statement[[#This Row],[Aop]],Data[],1)=P$2&amp;Income_Statement[[#This Row],[Aop]],VLOOKUP(P$2&amp;Income_Statement[[#This Row],[Aop]],Data[],P$1)/Jedinica,"")</f>
        <v/>
      </c>
      <c r="Q108" s="39" t="str">
        <f>IF(VLOOKUP(Q$2&amp;Income_Statement[[#This Row],[Aop]],Data[],1)=Q$2&amp;Income_Statement[[#This Row],[Aop]],VLOOKUP(Q$2&amp;Income_Statement[[#This Row],[Aop]],Data[],Q$1)/Jedinica,"")</f>
        <v/>
      </c>
      <c r="R108" s="39" t="str">
        <f>IF(VLOOKUP(R$2&amp;Income_Statement[[#This Row],[Aop]],Data[],1)=R$2&amp;Income_Statement[[#This Row],[Aop]],VLOOKUP(R$2&amp;Income_Statement[[#This Row],[Aop]],Data[],R$1)/Jedinica,"")</f>
        <v/>
      </c>
      <c r="S108" s="39">
        <f>IF(VLOOKUP(S$2&amp;Income_Statement[[#This Row],[Aop]],Data[],1)=S$2&amp;Income_Statement[[#This Row],[Aop]],VLOOKUP(S$2&amp;Income_Statement[[#This Row],[Aop]],Data[],S$1)/Jedinica,"")</f>
        <v>29414</v>
      </c>
      <c r="T108" s="39">
        <f>IF(VLOOKUP(T$2&amp;Income_Statement[[#This Row],[Aop]],Data[],1)=T$2&amp;Income_Statement[[#This Row],[Aop]],VLOOKUP(T$2&amp;Income_Statement[[#This Row],[Aop]],Data[],T$1)/Jedinica,"")</f>
        <v>14736</v>
      </c>
    </row>
    <row r="109" spans="1:20" ht="12.75" customHeight="1" x14ac:dyDescent="0.2">
      <c r="A109" s="74">
        <v>209</v>
      </c>
      <c r="B109" s="74">
        <v>1</v>
      </c>
      <c r="C109" s="78" t="str">
        <f>VLOOKUP(Income_Statement[[#This Row],[No]],AOP_Balance,3,0)</f>
        <v/>
      </c>
      <c r="D109" s="52" t="str">
        <f>VLOOKUP(Income_Statement[[#This Row],[No]],AOP_Balance,7,0)</f>
        <v xml:space="preserve">  K. NETO DOBITAK I GUBITAK</v>
      </c>
      <c r="E109" s="39" t="e">
        <f>IF(VLOOKUP(E$2&amp;Income_Statement[[#This Row],[Aop]],Data[],1)=E$2&amp;Income_Statement[[#This Row],[Aop]],VLOOKUP(E$2&amp;Income_Statement[[#This Row],[Aop]],Data[],E$1)/Jedinica,"")</f>
        <v>#N/A</v>
      </c>
      <c r="F109" s="39" t="e">
        <f>IF(VLOOKUP(F$2&amp;Income_Statement[[#This Row],[Aop]],Data[],1)=F$2&amp;Income_Statement[[#This Row],[Aop]],VLOOKUP(F$2&amp;Income_Statement[[#This Row],[Aop]],Data[],F$1)/Jedinica,"")</f>
        <v>#N/A</v>
      </c>
      <c r="G109" s="39" t="str">
        <f>IF(VLOOKUP(G$2&amp;Income_Statement[[#This Row],[Aop]],Data[],1)=G$2&amp;Income_Statement[[#This Row],[Aop]],VLOOKUP(G$2&amp;Income_Statement[[#This Row],[Aop]],Data[],G$1)/Jedinica,"")</f>
        <v/>
      </c>
      <c r="H109" s="39" t="str">
        <f>IF(VLOOKUP(H$2&amp;Income_Statement[[#This Row],[Aop]],Data[],1)=H$2&amp;Income_Statement[[#This Row],[Aop]],VLOOKUP(H$2&amp;Income_Statement[[#This Row],[Aop]],Data[],H$1)/Jedinica,"")</f>
        <v/>
      </c>
      <c r="I109" s="39" t="str">
        <f>IF(VLOOKUP(I$2&amp;Income_Statement[[#This Row],[Aop]],Data[],1)=I$2&amp;Income_Statement[[#This Row],[Aop]],VLOOKUP(I$2&amp;Income_Statement[[#This Row],[Aop]],Data[],I$1)/Jedinica,"")</f>
        <v/>
      </c>
      <c r="J109" s="39" t="str">
        <f>IF(VLOOKUP(J$2&amp;Income_Statement[[#This Row],[Aop]],Data[],1)=J$2&amp;Income_Statement[[#This Row],[Aop]],VLOOKUP(J$2&amp;Income_Statement[[#This Row],[Aop]],Data[],J$1)/Jedinica,"")</f>
        <v/>
      </c>
      <c r="K109" s="39" t="str">
        <f>IF(VLOOKUP(K$2&amp;Income_Statement[[#This Row],[Aop]],Data[],1)=K$2&amp;Income_Statement[[#This Row],[Aop]],VLOOKUP(K$2&amp;Income_Statement[[#This Row],[Aop]],Data[],K$1)/Jedinica,"")</f>
        <v/>
      </c>
      <c r="L109" s="39" t="str">
        <f>IF(VLOOKUP(L$2&amp;Income_Statement[[#This Row],[Aop]],Data[],1)=L$2&amp;Income_Statement[[#This Row],[Aop]],VLOOKUP(L$2&amp;Income_Statement[[#This Row],[Aop]],Data[],L$1)/Jedinica,"")</f>
        <v/>
      </c>
      <c r="M109" s="39" t="str">
        <f>IF(VLOOKUP(M$2&amp;Income_Statement[[#This Row],[Aop]],Data[],1)=M$2&amp;Income_Statement[[#This Row],[Aop]],VLOOKUP(M$2&amp;Income_Statement[[#This Row],[Aop]],Data[],M$1)/Jedinica,"")</f>
        <v/>
      </c>
      <c r="N109" s="39" t="str">
        <f>IF(VLOOKUP(N$2&amp;Income_Statement[[#This Row],[Aop]],Data[],1)=N$2&amp;Income_Statement[[#This Row],[Aop]],VLOOKUP(N$2&amp;Income_Statement[[#This Row],[Aop]],Data[],N$1)/Jedinica,"")</f>
        <v/>
      </c>
      <c r="O109" s="39" t="str">
        <f>IF(VLOOKUP(O$2&amp;Income_Statement[[#This Row],[Aop]],Data[],1)=O$2&amp;Income_Statement[[#This Row],[Aop]],VLOOKUP(O$2&amp;Income_Statement[[#This Row],[Aop]],Data[],O$1)/Jedinica,"")</f>
        <v/>
      </c>
      <c r="P109" s="39" t="str">
        <f>IF(VLOOKUP(P$2&amp;Income_Statement[[#This Row],[Aop]],Data[],1)=P$2&amp;Income_Statement[[#This Row],[Aop]],VLOOKUP(P$2&amp;Income_Statement[[#This Row],[Aop]],Data[],P$1)/Jedinica,"")</f>
        <v/>
      </c>
      <c r="Q109" s="39" t="str">
        <f>IF(VLOOKUP(Q$2&amp;Income_Statement[[#This Row],[Aop]],Data[],1)=Q$2&amp;Income_Statement[[#This Row],[Aop]],VLOOKUP(Q$2&amp;Income_Statement[[#This Row],[Aop]],Data[],Q$1)/Jedinica,"")</f>
        <v/>
      </c>
      <c r="R109" s="39" t="str">
        <f>IF(VLOOKUP(R$2&amp;Income_Statement[[#This Row],[Aop]],Data[],1)=R$2&amp;Income_Statement[[#This Row],[Aop]],VLOOKUP(R$2&amp;Income_Statement[[#This Row],[Aop]],Data[],R$1)/Jedinica,"")</f>
        <v/>
      </c>
      <c r="S109" s="39" t="str">
        <f>IF(VLOOKUP(S$2&amp;Income_Statement[[#This Row],[Aop]],Data[],1)=S$2&amp;Income_Statement[[#This Row],[Aop]],VLOOKUP(S$2&amp;Income_Statement[[#This Row],[Aop]],Data[],S$1)/Jedinica,"")</f>
        <v/>
      </c>
      <c r="T109" s="39" t="str">
        <f>IF(VLOOKUP(T$2&amp;Income_Statement[[#This Row],[Aop]],Data[],1)=T$2&amp;Income_Statement[[#This Row],[Aop]],VLOOKUP(T$2&amp;Income_Statement[[#This Row],[Aop]],Data[],T$1)/Jedinica,"")</f>
        <v/>
      </c>
    </row>
    <row r="110" spans="1:20" ht="12.75" customHeight="1" x14ac:dyDescent="0.2">
      <c r="A110" s="74">
        <v>210</v>
      </c>
      <c r="B110" s="74">
        <v>2</v>
      </c>
      <c r="C110" s="78" t="str">
        <f>VLOOKUP(Income_Statement[[#This Row],[No]],AOP_Balance,3,0)</f>
        <v>297</v>
      </c>
      <c r="D110" s="52" t="str">
        <f>VLOOKUP(Income_Statement[[#This Row],[No]],AOP_Balance,7,0)</f>
        <v xml:space="preserve">    1. Neto dobitak tekuće godine (292+295–294–296) ili (295–293–294–296)</v>
      </c>
      <c r="E110" s="39">
        <f>IF(VLOOKUP(E$2&amp;Income_Statement[[#This Row],[Aop]],Data[],1)=E$2&amp;Income_Statement[[#This Row],[Aop]],VLOOKUP(E$2&amp;Income_Statement[[#This Row],[Aop]],Data[],E$1)/Jedinica,"")</f>
        <v>168871</v>
      </c>
      <c r="F110" s="39">
        <f>IF(VLOOKUP(F$2&amp;Income_Statement[[#This Row],[Aop]],Data[],1)=F$2&amp;Income_Statement[[#This Row],[Aop]],VLOOKUP(F$2&amp;Income_Statement[[#This Row],[Aop]],Data[],F$1)/Jedinica,"")</f>
        <v>549441</v>
      </c>
      <c r="G110" s="39">
        <f>IF(VLOOKUP(G$2&amp;Income_Statement[[#This Row],[Aop]],Data[],1)=G$2&amp;Income_Statement[[#This Row],[Aop]],VLOOKUP(G$2&amp;Income_Statement[[#This Row],[Aop]],Data[],G$1)/Jedinica,"")</f>
        <v>0</v>
      </c>
      <c r="H110" s="39">
        <f>IF(VLOOKUP(H$2&amp;Income_Statement[[#This Row],[Aop]],Data[],1)=H$2&amp;Income_Statement[[#This Row],[Aop]],VLOOKUP(H$2&amp;Income_Statement[[#This Row],[Aop]],Data[],H$1)/Jedinica,"")</f>
        <v>649707</v>
      </c>
      <c r="I110" s="39">
        <f>IF(VLOOKUP(I$2&amp;Income_Statement[[#This Row],[Aop]],Data[],1)=I$2&amp;Income_Statement[[#This Row],[Aop]],VLOOKUP(I$2&amp;Income_Statement[[#This Row],[Aop]],Data[],I$1)/Jedinica,"")</f>
        <v>142492</v>
      </c>
      <c r="J110" s="39">
        <f>IF(VLOOKUP(J$2&amp;Income_Statement[[#This Row],[Aop]],Data[],1)=J$2&amp;Income_Statement[[#This Row],[Aop]],VLOOKUP(J$2&amp;Income_Statement[[#This Row],[Aop]],Data[],J$1)/Jedinica,"")</f>
        <v>93297</v>
      </c>
      <c r="K110" s="39">
        <f>IF(VLOOKUP(K$2&amp;Income_Statement[[#This Row],[Aop]],Data[],1)=K$2&amp;Income_Statement[[#This Row],[Aop]],VLOOKUP(K$2&amp;Income_Statement[[#This Row],[Aop]],Data[],K$1)/Jedinica,"")</f>
        <v>669182</v>
      </c>
      <c r="L110" s="39">
        <f>IF(VLOOKUP(L$2&amp;Income_Statement[[#This Row],[Aop]],Data[],1)=L$2&amp;Income_Statement[[#This Row],[Aop]],VLOOKUP(L$2&amp;Income_Statement[[#This Row],[Aop]],Data[],L$1)/Jedinica,"")</f>
        <v>1323770</v>
      </c>
      <c r="M110" s="39">
        <f>IF(VLOOKUP(M$2&amp;Income_Statement[[#This Row],[Aop]],Data[],1)=M$2&amp;Income_Statement[[#This Row],[Aop]],VLOOKUP(M$2&amp;Income_Statement[[#This Row],[Aop]],Data[],M$1)/Jedinica,"")</f>
        <v>5055524</v>
      </c>
      <c r="N110" s="39">
        <f>IF(VLOOKUP(N$2&amp;Income_Statement[[#This Row],[Aop]],Data[],1)=N$2&amp;Income_Statement[[#This Row],[Aop]],VLOOKUP(N$2&amp;Income_Statement[[#This Row],[Aop]],Data[],N$1)/Jedinica,"")</f>
        <v>6066994</v>
      </c>
      <c r="O110" s="39">
        <f>IF(VLOOKUP(O$2&amp;Income_Statement[[#This Row],[Aop]],Data[],1)=O$2&amp;Income_Statement[[#This Row],[Aop]],VLOOKUP(O$2&amp;Income_Statement[[#This Row],[Aop]],Data[],O$1)/Jedinica,"")</f>
        <v>669182</v>
      </c>
      <c r="P110" s="39">
        <f>IF(VLOOKUP(P$2&amp;Income_Statement[[#This Row],[Aop]],Data[],1)=P$2&amp;Income_Statement[[#This Row],[Aop]],VLOOKUP(P$2&amp;Income_Statement[[#This Row],[Aop]],Data[],P$1)/Jedinica,"")</f>
        <v>1323770</v>
      </c>
      <c r="Q110" s="39">
        <f>IF(VLOOKUP(Q$2&amp;Income_Statement[[#This Row],[Aop]],Data[],1)=Q$2&amp;Income_Statement[[#This Row],[Aop]],VLOOKUP(Q$2&amp;Income_Statement[[#This Row],[Aop]],Data[],Q$1)/Jedinica,"")</f>
        <v>170521</v>
      </c>
      <c r="R110" s="39">
        <f>IF(VLOOKUP(R$2&amp;Income_Statement[[#This Row],[Aop]],Data[],1)=R$2&amp;Income_Statement[[#This Row],[Aop]],VLOOKUP(R$2&amp;Income_Statement[[#This Row],[Aop]],Data[],R$1)/Jedinica,"")</f>
        <v>155144</v>
      </c>
      <c r="S110" s="39">
        <f>IF(VLOOKUP(S$2&amp;Income_Statement[[#This Row],[Aop]],Data[],1)=S$2&amp;Income_Statement[[#This Row],[Aop]],VLOOKUP(S$2&amp;Income_Statement[[#This Row],[Aop]],Data[],S$1)/Jedinica,"")</f>
        <v>6907650</v>
      </c>
      <c r="T110" s="39">
        <f>IF(VLOOKUP(T$2&amp;Income_Statement[[#This Row],[Aop]],Data[],1)=T$2&amp;Income_Statement[[#This Row],[Aop]],VLOOKUP(T$2&amp;Income_Statement[[#This Row],[Aop]],Data[],T$1)/Jedinica,"")</f>
        <v>6160940</v>
      </c>
    </row>
    <row r="111" spans="1:20" ht="12.75" customHeight="1" x14ac:dyDescent="0.2">
      <c r="A111" s="74">
        <v>211</v>
      </c>
      <c r="B111" s="74">
        <v>2</v>
      </c>
      <c r="C111" s="78" t="str">
        <f>VLOOKUP(Income_Statement[[#This Row],[No]],AOP_Balance,3,0)</f>
        <v>298</v>
      </c>
      <c r="D111" s="52" t="str">
        <f>VLOOKUP(Income_Statement[[#This Row],[No]],AOP_Balance,7,0)</f>
        <v xml:space="preserve">    2. Neto gubitak tekuće godine (293+294+296–295) ili (294+296–292–295)</v>
      </c>
      <c r="E111" s="39" t="str">
        <f>IF(VLOOKUP(E$2&amp;Income_Statement[[#This Row],[Aop]],Data[],1)=E$2&amp;Income_Statement[[#This Row],[Aop]],VLOOKUP(E$2&amp;Income_Statement[[#This Row],[Aop]],Data[],E$1)/Jedinica,"")</f>
        <v/>
      </c>
      <c r="F111" s="39" t="str">
        <f>IF(VLOOKUP(F$2&amp;Income_Statement[[#This Row],[Aop]],Data[],1)=F$2&amp;Income_Statement[[#This Row],[Aop]],VLOOKUP(F$2&amp;Income_Statement[[#This Row],[Aop]],Data[],F$1)/Jedinica,"")</f>
        <v/>
      </c>
      <c r="G111" s="39">
        <f>IF(VLOOKUP(G$2&amp;Income_Statement[[#This Row],[Aop]],Data[],1)=G$2&amp;Income_Statement[[#This Row],[Aop]],VLOOKUP(G$2&amp;Income_Statement[[#This Row],[Aop]],Data[],G$1)/Jedinica,"")</f>
        <v>394595</v>
      </c>
      <c r="H111" s="39">
        <f>IF(VLOOKUP(H$2&amp;Income_Statement[[#This Row],[Aop]],Data[],1)=H$2&amp;Income_Statement[[#This Row],[Aop]],VLOOKUP(H$2&amp;Income_Statement[[#This Row],[Aop]],Data[],H$1)/Jedinica,"")</f>
        <v>0</v>
      </c>
      <c r="I111" s="39" t="str">
        <f>IF(VLOOKUP(I$2&amp;Income_Statement[[#This Row],[Aop]],Data[],1)=I$2&amp;Income_Statement[[#This Row],[Aop]],VLOOKUP(I$2&amp;Income_Statement[[#This Row],[Aop]],Data[],I$1)/Jedinica,"")</f>
        <v/>
      </c>
      <c r="J111" s="39" t="str">
        <f>IF(VLOOKUP(J$2&amp;Income_Statement[[#This Row],[Aop]],Data[],1)=J$2&amp;Income_Statement[[#This Row],[Aop]],VLOOKUP(J$2&amp;Income_Statement[[#This Row],[Aop]],Data[],J$1)/Jedinica,"")</f>
        <v/>
      </c>
      <c r="K111" s="39" t="str">
        <f>IF(VLOOKUP(K$2&amp;Income_Statement[[#This Row],[Aop]],Data[],1)=K$2&amp;Income_Statement[[#This Row],[Aop]],VLOOKUP(K$2&amp;Income_Statement[[#This Row],[Aop]],Data[],K$1)/Jedinica,"")</f>
        <v/>
      </c>
      <c r="L111" s="39" t="str">
        <f>IF(VLOOKUP(L$2&amp;Income_Statement[[#This Row],[Aop]],Data[],1)=L$2&amp;Income_Statement[[#This Row],[Aop]],VLOOKUP(L$2&amp;Income_Statement[[#This Row],[Aop]],Data[],L$1)/Jedinica,"")</f>
        <v/>
      </c>
      <c r="M111" s="39" t="str">
        <f>IF(VLOOKUP(M$2&amp;Income_Statement[[#This Row],[Aop]],Data[],1)=M$2&amp;Income_Statement[[#This Row],[Aop]],VLOOKUP(M$2&amp;Income_Statement[[#This Row],[Aop]],Data[],M$1)/Jedinica,"")</f>
        <v/>
      </c>
      <c r="N111" s="39" t="str">
        <f>IF(VLOOKUP(N$2&amp;Income_Statement[[#This Row],[Aop]],Data[],1)=N$2&amp;Income_Statement[[#This Row],[Aop]],VLOOKUP(N$2&amp;Income_Statement[[#This Row],[Aop]],Data[],N$1)/Jedinica,"")</f>
        <v/>
      </c>
      <c r="O111" s="39" t="str">
        <f>IF(VLOOKUP(O$2&amp;Income_Statement[[#This Row],[Aop]],Data[],1)=O$2&amp;Income_Statement[[#This Row],[Aop]],VLOOKUP(O$2&amp;Income_Statement[[#This Row],[Aop]],Data[],O$1)/Jedinica,"")</f>
        <v/>
      </c>
      <c r="P111" s="39" t="str">
        <f>IF(VLOOKUP(P$2&amp;Income_Statement[[#This Row],[Aop]],Data[],1)=P$2&amp;Income_Statement[[#This Row],[Aop]],VLOOKUP(P$2&amp;Income_Statement[[#This Row],[Aop]],Data[],P$1)/Jedinica,"")</f>
        <v/>
      </c>
      <c r="Q111" s="39" t="str">
        <f>IF(VLOOKUP(Q$2&amp;Income_Statement[[#This Row],[Aop]],Data[],1)=Q$2&amp;Income_Statement[[#This Row],[Aop]],VLOOKUP(Q$2&amp;Income_Statement[[#This Row],[Aop]],Data[],Q$1)/Jedinica,"")</f>
        <v/>
      </c>
      <c r="R111" s="39" t="str">
        <f>IF(VLOOKUP(R$2&amp;Income_Statement[[#This Row],[Aop]],Data[],1)=R$2&amp;Income_Statement[[#This Row],[Aop]],VLOOKUP(R$2&amp;Income_Statement[[#This Row],[Aop]],Data[],R$1)/Jedinica,"")</f>
        <v/>
      </c>
      <c r="S111" s="39" t="str">
        <f>IF(VLOOKUP(S$2&amp;Income_Statement[[#This Row],[Aop]],Data[],1)=S$2&amp;Income_Statement[[#This Row],[Aop]],VLOOKUP(S$2&amp;Income_Statement[[#This Row],[Aop]],Data[],S$1)/Jedinica,"")</f>
        <v/>
      </c>
      <c r="T111" s="39" t="str">
        <f>IF(VLOOKUP(T$2&amp;Income_Statement[[#This Row],[Aop]],Data[],1)=T$2&amp;Income_Statement[[#This Row],[Aop]],VLOOKUP(T$2&amp;Income_Statement[[#This Row],[Aop]],Data[],T$1)/Jedinica,"")</f>
        <v/>
      </c>
    </row>
    <row r="112" spans="1:20" ht="12.75" customHeight="1" x14ac:dyDescent="0.2">
      <c r="A112" s="74">
        <v>212</v>
      </c>
      <c r="B112" s="74">
        <v>1</v>
      </c>
      <c r="C112" s="78" t="str">
        <f>VLOOKUP(Income_Statement[[#This Row],[No]],AOP_Balance,3,0)</f>
        <v/>
      </c>
      <c r="D112" s="52" t="str">
        <f>VLOOKUP(Income_Statement[[#This Row],[No]],AOP_Balance,7,0)</f>
        <v xml:space="preserve">  L. OSTALI DOBICI I GUBICI U PERIODU</v>
      </c>
      <c r="E112" s="39" t="e">
        <f>IF(VLOOKUP(E$2&amp;Income_Statement[[#This Row],[Aop]],Data[],1)=E$2&amp;Income_Statement[[#This Row],[Aop]],VLOOKUP(E$2&amp;Income_Statement[[#This Row],[Aop]],Data[],E$1)/Jedinica,"")</f>
        <v>#N/A</v>
      </c>
      <c r="F112" s="39" t="e">
        <f>IF(VLOOKUP(F$2&amp;Income_Statement[[#This Row],[Aop]],Data[],1)=F$2&amp;Income_Statement[[#This Row],[Aop]],VLOOKUP(F$2&amp;Income_Statement[[#This Row],[Aop]],Data[],F$1)/Jedinica,"")</f>
        <v>#N/A</v>
      </c>
      <c r="G112" s="39" t="str">
        <f>IF(VLOOKUP(G$2&amp;Income_Statement[[#This Row],[Aop]],Data[],1)=G$2&amp;Income_Statement[[#This Row],[Aop]],VLOOKUP(G$2&amp;Income_Statement[[#This Row],[Aop]],Data[],G$1)/Jedinica,"")</f>
        <v/>
      </c>
      <c r="H112" s="39" t="str">
        <f>IF(VLOOKUP(H$2&amp;Income_Statement[[#This Row],[Aop]],Data[],1)=H$2&amp;Income_Statement[[#This Row],[Aop]],VLOOKUP(H$2&amp;Income_Statement[[#This Row],[Aop]],Data[],H$1)/Jedinica,"")</f>
        <v/>
      </c>
      <c r="I112" s="39" t="str">
        <f>IF(VLOOKUP(I$2&amp;Income_Statement[[#This Row],[Aop]],Data[],1)=I$2&amp;Income_Statement[[#This Row],[Aop]],VLOOKUP(I$2&amp;Income_Statement[[#This Row],[Aop]],Data[],I$1)/Jedinica,"")</f>
        <v/>
      </c>
      <c r="J112" s="39" t="str">
        <f>IF(VLOOKUP(J$2&amp;Income_Statement[[#This Row],[Aop]],Data[],1)=J$2&amp;Income_Statement[[#This Row],[Aop]],VLOOKUP(J$2&amp;Income_Statement[[#This Row],[Aop]],Data[],J$1)/Jedinica,"")</f>
        <v/>
      </c>
      <c r="K112" s="39" t="str">
        <f>IF(VLOOKUP(K$2&amp;Income_Statement[[#This Row],[Aop]],Data[],1)=K$2&amp;Income_Statement[[#This Row],[Aop]],VLOOKUP(K$2&amp;Income_Statement[[#This Row],[Aop]],Data[],K$1)/Jedinica,"")</f>
        <v/>
      </c>
      <c r="L112" s="39" t="str">
        <f>IF(VLOOKUP(L$2&amp;Income_Statement[[#This Row],[Aop]],Data[],1)=L$2&amp;Income_Statement[[#This Row],[Aop]],VLOOKUP(L$2&amp;Income_Statement[[#This Row],[Aop]],Data[],L$1)/Jedinica,"")</f>
        <v/>
      </c>
      <c r="M112" s="39" t="str">
        <f>IF(VLOOKUP(M$2&amp;Income_Statement[[#This Row],[Aop]],Data[],1)=M$2&amp;Income_Statement[[#This Row],[Aop]],VLOOKUP(M$2&amp;Income_Statement[[#This Row],[Aop]],Data[],M$1)/Jedinica,"")</f>
        <v/>
      </c>
      <c r="N112" s="39" t="str">
        <f>IF(VLOOKUP(N$2&amp;Income_Statement[[#This Row],[Aop]],Data[],1)=N$2&amp;Income_Statement[[#This Row],[Aop]],VLOOKUP(N$2&amp;Income_Statement[[#This Row],[Aop]],Data[],N$1)/Jedinica,"")</f>
        <v/>
      </c>
      <c r="O112" s="39" t="str">
        <f>IF(VLOOKUP(O$2&amp;Income_Statement[[#This Row],[Aop]],Data[],1)=O$2&amp;Income_Statement[[#This Row],[Aop]],VLOOKUP(O$2&amp;Income_Statement[[#This Row],[Aop]],Data[],O$1)/Jedinica,"")</f>
        <v/>
      </c>
      <c r="P112" s="39" t="str">
        <f>IF(VLOOKUP(P$2&amp;Income_Statement[[#This Row],[Aop]],Data[],1)=P$2&amp;Income_Statement[[#This Row],[Aop]],VLOOKUP(P$2&amp;Income_Statement[[#This Row],[Aop]],Data[],P$1)/Jedinica,"")</f>
        <v/>
      </c>
      <c r="Q112" s="39" t="str">
        <f>IF(VLOOKUP(Q$2&amp;Income_Statement[[#This Row],[Aop]],Data[],1)=Q$2&amp;Income_Statement[[#This Row],[Aop]],VLOOKUP(Q$2&amp;Income_Statement[[#This Row],[Aop]],Data[],Q$1)/Jedinica,"")</f>
        <v/>
      </c>
      <c r="R112" s="39" t="str">
        <f>IF(VLOOKUP(R$2&amp;Income_Statement[[#This Row],[Aop]],Data[],1)=R$2&amp;Income_Statement[[#This Row],[Aop]],VLOOKUP(R$2&amp;Income_Statement[[#This Row],[Aop]],Data[],R$1)/Jedinica,"")</f>
        <v/>
      </c>
      <c r="S112" s="39" t="str">
        <f>IF(VLOOKUP(S$2&amp;Income_Statement[[#This Row],[Aop]],Data[],1)=S$2&amp;Income_Statement[[#This Row],[Aop]],VLOOKUP(S$2&amp;Income_Statement[[#This Row],[Aop]],Data[],S$1)/Jedinica,"")</f>
        <v/>
      </c>
      <c r="T112" s="39" t="str">
        <f>IF(VLOOKUP(T$2&amp;Income_Statement[[#This Row],[Aop]],Data[],1)=T$2&amp;Income_Statement[[#This Row],[Aop]],VLOOKUP(T$2&amp;Income_Statement[[#This Row],[Aop]],Data[],T$1)/Jedinica,"")</f>
        <v/>
      </c>
    </row>
    <row r="113" spans="1:20" ht="12.75" customHeight="1" x14ac:dyDescent="0.2">
      <c r="A113" s="74">
        <v>213</v>
      </c>
      <c r="B113" s="74">
        <v>2</v>
      </c>
      <c r="C113" s="78" t="str">
        <f>VLOOKUP(Income_Statement[[#This Row],[No]],AOP_Balance,3,0)</f>
        <v>299</v>
      </c>
      <c r="D113" s="52" t="str">
        <f>VLOOKUP(Income_Statement[[#This Row],[No]],AOP_Balance,7,0)</f>
        <v xml:space="preserve">    1. Dobici utvrđeni direktno u kapitalu (300 do 305)</v>
      </c>
      <c r="E113" s="39" t="str">
        <f>IF(VLOOKUP(E$2&amp;Income_Statement[[#This Row],[Aop]],Data[],1)=E$2&amp;Income_Statement[[#This Row],[Aop]],VLOOKUP(E$2&amp;Income_Statement[[#This Row],[Aop]],Data[],E$1)/Jedinica,"")</f>
        <v/>
      </c>
      <c r="F113" s="39" t="str">
        <f>IF(VLOOKUP(F$2&amp;Income_Statement[[#This Row],[Aop]],Data[],1)=F$2&amp;Income_Statement[[#This Row],[Aop]],VLOOKUP(F$2&amp;Income_Statement[[#This Row],[Aop]],Data[],F$1)/Jedinica,"")</f>
        <v/>
      </c>
      <c r="G113" s="39" t="str">
        <f>IF(VLOOKUP(G$2&amp;Income_Statement[[#This Row],[Aop]],Data[],1)=G$2&amp;Income_Statement[[#This Row],[Aop]],VLOOKUP(G$2&amp;Income_Statement[[#This Row],[Aop]],Data[],G$1)/Jedinica,"")</f>
        <v/>
      </c>
      <c r="H113" s="39" t="str">
        <f>IF(VLOOKUP(H$2&amp;Income_Statement[[#This Row],[Aop]],Data[],1)=H$2&amp;Income_Statement[[#This Row],[Aop]],VLOOKUP(H$2&amp;Income_Statement[[#This Row],[Aop]],Data[],H$1)/Jedinica,"")</f>
        <v/>
      </c>
      <c r="I113" s="39" t="str">
        <f>IF(VLOOKUP(I$2&amp;Income_Statement[[#This Row],[Aop]],Data[],1)=I$2&amp;Income_Statement[[#This Row],[Aop]],VLOOKUP(I$2&amp;Income_Statement[[#This Row],[Aop]],Data[],I$1)/Jedinica,"")</f>
        <v/>
      </c>
      <c r="J113" s="39" t="str">
        <f>IF(VLOOKUP(J$2&amp;Income_Statement[[#This Row],[Aop]],Data[],1)=J$2&amp;Income_Statement[[#This Row],[Aop]],VLOOKUP(J$2&amp;Income_Statement[[#This Row],[Aop]],Data[],J$1)/Jedinica,"")</f>
        <v/>
      </c>
      <c r="K113" s="39" t="str">
        <f>IF(VLOOKUP(K$2&amp;Income_Statement[[#This Row],[Aop]],Data[],1)=K$2&amp;Income_Statement[[#This Row],[Aop]],VLOOKUP(K$2&amp;Income_Statement[[#This Row],[Aop]],Data[],K$1)/Jedinica,"")</f>
        <v/>
      </c>
      <c r="L113" s="39" t="str">
        <f>IF(VLOOKUP(L$2&amp;Income_Statement[[#This Row],[Aop]],Data[],1)=L$2&amp;Income_Statement[[#This Row],[Aop]],VLOOKUP(L$2&amp;Income_Statement[[#This Row],[Aop]],Data[],L$1)/Jedinica,"")</f>
        <v/>
      </c>
      <c r="M113" s="39" t="str">
        <f>IF(VLOOKUP(M$2&amp;Income_Statement[[#This Row],[Aop]],Data[],1)=M$2&amp;Income_Statement[[#This Row],[Aop]],VLOOKUP(M$2&amp;Income_Statement[[#This Row],[Aop]],Data[],M$1)/Jedinica,"")</f>
        <v/>
      </c>
      <c r="N113" s="39" t="str">
        <f>IF(VLOOKUP(N$2&amp;Income_Statement[[#This Row],[Aop]],Data[],1)=N$2&amp;Income_Statement[[#This Row],[Aop]],VLOOKUP(N$2&amp;Income_Statement[[#This Row],[Aop]],Data[],N$1)/Jedinica,"")</f>
        <v/>
      </c>
      <c r="O113" s="39" t="str">
        <f>IF(VLOOKUP(O$2&amp;Income_Statement[[#This Row],[Aop]],Data[],1)=O$2&amp;Income_Statement[[#This Row],[Aop]],VLOOKUP(O$2&amp;Income_Statement[[#This Row],[Aop]],Data[],O$1)/Jedinica,"")</f>
        <v/>
      </c>
      <c r="P113" s="39" t="str">
        <f>IF(VLOOKUP(P$2&amp;Income_Statement[[#This Row],[Aop]],Data[],1)=P$2&amp;Income_Statement[[#This Row],[Aop]],VLOOKUP(P$2&amp;Income_Statement[[#This Row],[Aop]],Data[],P$1)/Jedinica,"")</f>
        <v/>
      </c>
      <c r="Q113" s="39" t="str">
        <f>IF(VLOOKUP(Q$2&amp;Income_Statement[[#This Row],[Aop]],Data[],1)=Q$2&amp;Income_Statement[[#This Row],[Aop]],VLOOKUP(Q$2&amp;Income_Statement[[#This Row],[Aop]],Data[],Q$1)/Jedinica,"")</f>
        <v/>
      </c>
      <c r="R113" s="39" t="str">
        <f>IF(VLOOKUP(R$2&amp;Income_Statement[[#This Row],[Aop]],Data[],1)=R$2&amp;Income_Statement[[#This Row],[Aop]],VLOOKUP(R$2&amp;Income_Statement[[#This Row],[Aop]],Data[],R$1)/Jedinica,"")</f>
        <v/>
      </c>
      <c r="S113" s="39">
        <f>IF(VLOOKUP(S$2&amp;Income_Statement[[#This Row],[Aop]],Data[],1)=S$2&amp;Income_Statement[[#This Row],[Aop]],VLOOKUP(S$2&amp;Income_Statement[[#This Row],[Aop]],Data[],S$1)/Jedinica,"")</f>
        <v>645891</v>
      </c>
      <c r="T113" s="39">
        <f>IF(VLOOKUP(T$2&amp;Income_Statement[[#This Row],[Aop]],Data[],1)=T$2&amp;Income_Statement[[#This Row],[Aop]],VLOOKUP(T$2&amp;Income_Statement[[#This Row],[Aop]],Data[],T$1)/Jedinica,"")</f>
        <v>634555</v>
      </c>
    </row>
    <row r="114" spans="1:20" ht="25.5" customHeight="1" x14ac:dyDescent="0.2">
      <c r="A114" s="74">
        <v>214</v>
      </c>
      <c r="B114" s="74">
        <v>3</v>
      </c>
      <c r="C114" s="78" t="str">
        <f>VLOOKUP(Income_Statement[[#This Row],[No]],AOP_Balance,3,0)</f>
        <v>300</v>
      </c>
      <c r="D114" s="52" t="str">
        <f>VLOOKUP(Income_Statement[[#This Row],[No]],AOP_Balance,7,0)</f>
        <v xml:space="preserve">      a) Dobici po osnovu smanjenja revalorizacionih rezervi na osnovnim sredstvima i nematerijalnim ulaganjima</v>
      </c>
      <c r="E114" s="39" t="str">
        <f>IF(VLOOKUP(E$2&amp;Income_Statement[[#This Row],[Aop]],Data[],1)=E$2&amp;Income_Statement[[#This Row],[Aop]],VLOOKUP(E$2&amp;Income_Statement[[#This Row],[Aop]],Data[],E$1)/Jedinica,"")</f>
        <v/>
      </c>
      <c r="F114" s="39" t="str">
        <f>IF(VLOOKUP(F$2&amp;Income_Statement[[#This Row],[Aop]],Data[],1)=F$2&amp;Income_Statement[[#This Row],[Aop]],VLOOKUP(F$2&amp;Income_Statement[[#This Row],[Aop]],Data[],F$1)/Jedinica,"")</f>
        <v/>
      </c>
      <c r="G114" s="39" t="str">
        <f>IF(VLOOKUP(G$2&amp;Income_Statement[[#This Row],[Aop]],Data[],1)=G$2&amp;Income_Statement[[#This Row],[Aop]],VLOOKUP(G$2&amp;Income_Statement[[#This Row],[Aop]],Data[],G$1)/Jedinica,"")</f>
        <v/>
      </c>
      <c r="H114" s="39" t="str">
        <f>IF(VLOOKUP(H$2&amp;Income_Statement[[#This Row],[Aop]],Data[],1)=H$2&amp;Income_Statement[[#This Row],[Aop]],VLOOKUP(H$2&amp;Income_Statement[[#This Row],[Aop]],Data[],H$1)/Jedinica,"")</f>
        <v/>
      </c>
      <c r="I114" s="39" t="str">
        <f>IF(VLOOKUP(I$2&amp;Income_Statement[[#This Row],[Aop]],Data[],1)=I$2&amp;Income_Statement[[#This Row],[Aop]],VLOOKUP(I$2&amp;Income_Statement[[#This Row],[Aop]],Data[],I$1)/Jedinica,"")</f>
        <v/>
      </c>
      <c r="J114" s="39" t="str">
        <f>IF(VLOOKUP(J$2&amp;Income_Statement[[#This Row],[Aop]],Data[],1)=J$2&amp;Income_Statement[[#This Row],[Aop]],VLOOKUP(J$2&amp;Income_Statement[[#This Row],[Aop]],Data[],J$1)/Jedinica,"")</f>
        <v/>
      </c>
      <c r="K114" s="39" t="str">
        <f>IF(VLOOKUP(K$2&amp;Income_Statement[[#This Row],[Aop]],Data[],1)=K$2&amp;Income_Statement[[#This Row],[Aop]],VLOOKUP(K$2&amp;Income_Statement[[#This Row],[Aop]],Data[],K$1)/Jedinica,"")</f>
        <v/>
      </c>
      <c r="L114" s="39" t="str">
        <f>IF(VLOOKUP(L$2&amp;Income_Statement[[#This Row],[Aop]],Data[],1)=L$2&amp;Income_Statement[[#This Row],[Aop]],VLOOKUP(L$2&amp;Income_Statement[[#This Row],[Aop]],Data[],L$1)/Jedinica,"")</f>
        <v/>
      </c>
      <c r="M114" s="39" t="str">
        <f>IF(VLOOKUP(M$2&amp;Income_Statement[[#This Row],[Aop]],Data[],1)=M$2&amp;Income_Statement[[#This Row],[Aop]],VLOOKUP(M$2&amp;Income_Statement[[#This Row],[Aop]],Data[],M$1)/Jedinica,"")</f>
        <v/>
      </c>
      <c r="N114" s="39" t="str">
        <f>IF(VLOOKUP(N$2&amp;Income_Statement[[#This Row],[Aop]],Data[],1)=N$2&amp;Income_Statement[[#This Row],[Aop]],VLOOKUP(N$2&amp;Income_Statement[[#This Row],[Aop]],Data[],N$1)/Jedinica,"")</f>
        <v/>
      </c>
      <c r="O114" s="39" t="str">
        <f>IF(VLOOKUP(O$2&amp;Income_Statement[[#This Row],[Aop]],Data[],1)=O$2&amp;Income_Statement[[#This Row],[Aop]],VLOOKUP(O$2&amp;Income_Statement[[#This Row],[Aop]],Data[],O$1)/Jedinica,"")</f>
        <v/>
      </c>
      <c r="P114" s="39" t="str">
        <f>IF(VLOOKUP(P$2&amp;Income_Statement[[#This Row],[Aop]],Data[],1)=P$2&amp;Income_Statement[[#This Row],[Aop]],VLOOKUP(P$2&amp;Income_Statement[[#This Row],[Aop]],Data[],P$1)/Jedinica,"")</f>
        <v/>
      </c>
      <c r="Q114" s="39" t="str">
        <f>IF(VLOOKUP(Q$2&amp;Income_Statement[[#This Row],[Aop]],Data[],1)=Q$2&amp;Income_Statement[[#This Row],[Aop]],VLOOKUP(Q$2&amp;Income_Statement[[#This Row],[Aop]],Data[],Q$1)/Jedinica,"")</f>
        <v/>
      </c>
      <c r="R114" s="39" t="str">
        <f>IF(VLOOKUP(R$2&amp;Income_Statement[[#This Row],[Aop]],Data[],1)=R$2&amp;Income_Statement[[#This Row],[Aop]],VLOOKUP(R$2&amp;Income_Statement[[#This Row],[Aop]],Data[],R$1)/Jedinica,"")</f>
        <v/>
      </c>
      <c r="S114" s="39">
        <f>IF(VLOOKUP(S$2&amp;Income_Statement[[#This Row],[Aop]],Data[],1)=S$2&amp;Income_Statement[[#This Row],[Aop]],VLOOKUP(S$2&amp;Income_Statement[[#This Row],[Aop]],Data[],S$1)/Jedinica,"")</f>
        <v>3069</v>
      </c>
      <c r="T114" s="39">
        <f>IF(VLOOKUP(T$2&amp;Income_Statement[[#This Row],[Aop]],Data[],1)=T$2&amp;Income_Statement[[#This Row],[Aop]],VLOOKUP(T$2&amp;Income_Statement[[#This Row],[Aop]],Data[],T$1)/Jedinica,"")</f>
        <v>5387</v>
      </c>
    </row>
    <row r="115" spans="1:20" ht="12.75" customHeight="1" x14ac:dyDescent="0.2">
      <c r="A115" s="74">
        <v>215</v>
      </c>
      <c r="B115" s="74">
        <v>3</v>
      </c>
      <c r="C115" s="78" t="str">
        <f>VLOOKUP(Income_Statement[[#This Row],[No]],AOP_Balance,3,0)</f>
        <v>301</v>
      </c>
      <c r="D115" s="52" t="str">
        <f>VLOOKUP(Income_Statement[[#This Row],[No]],AOP_Balance,7,0)</f>
        <v xml:space="preserve">      b) Dobici po osnovu promjene fer vrijednosti HOV raspoloživih za prodaju</v>
      </c>
      <c r="E115" s="39" t="str">
        <f>IF(VLOOKUP(E$2&amp;Income_Statement[[#This Row],[Aop]],Data[],1)=E$2&amp;Income_Statement[[#This Row],[Aop]],VLOOKUP(E$2&amp;Income_Statement[[#This Row],[Aop]],Data[],E$1)/Jedinica,"")</f>
        <v/>
      </c>
      <c r="F115" s="39" t="str">
        <f>IF(VLOOKUP(F$2&amp;Income_Statement[[#This Row],[Aop]],Data[],1)=F$2&amp;Income_Statement[[#This Row],[Aop]],VLOOKUP(F$2&amp;Income_Statement[[#This Row],[Aop]],Data[],F$1)/Jedinica,"")</f>
        <v/>
      </c>
      <c r="G115" s="39" t="str">
        <f>IF(VLOOKUP(G$2&amp;Income_Statement[[#This Row],[Aop]],Data[],1)=G$2&amp;Income_Statement[[#This Row],[Aop]],VLOOKUP(G$2&amp;Income_Statement[[#This Row],[Aop]],Data[],G$1)/Jedinica,"")</f>
        <v/>
      </c>
      <c r="H115" s="39" t="str">
        <f>IF(VLOOKUP(H$2&amp;Income_Statement[[#This Row],[Aop]],Data[],1)=H$2&amp;Income_Statement[[#This Row],[Aop]],VLOOKUP(H$2&amp;Income_Statement[[#This Row],[Aop]],Data[],H$1)/Jedinica,"")</f>
        <v/>
      </c>
      <c r="I115" s="39" t="str">
        <f>IF(VLOOKUP(I$2&amp;Income_Statement[[#This Row],[Aop]],Data[],1)=I$2&amp;Income_Statement[[#This Row],[Aop]],VLOOKUP(I$2&amp;Income_Statement[[#This Row],[Aop]],Data[],I$1)/Jedinica,"")</f>
        <v/>
      </c>
      <c r="J115" s="39" t="str">
        <f>IF(VLOOKUP(J$2&amp;Income_Statement[[#This Row],[Aop]],Data[],1)=J$2&amp;Income_Statement[[#This Row],[Aop]],VLOOKUP(J$2&amp;Income_Statement[[#This Row],[Aop]],Data[],J$1)/Jedinica,"")</f>
        <v/>
      </c>
      <c r="K115" s="39" t="str">
        <f>IF(VLOOKUP(K$2&amp;Income_Statement[[#This Row],[Aop]],Data[],1)=K$2&amp;Income_Statement[[#This Row],[Aop]],VLOOKUP(K$2&amp;Income_Statement[[#This Row],[Aop]],Data[],K$1)/Jedinica,"")</f>
        <v/>
      </c>
      <c r="L115" s="39" t="str">
        <f>IF(VLOOKUP(L$2&amp;Income_Statement[[#This Row],[Aop]],Data[],1)=L$2&amp;Income_Statement[[#This Row],[Aop]],VLOOKUP(L$2&amp;Income_Statement[[#This Row],[Aop]],Data[],L$1)/Jedinica,"")</f>
        <v/>
      </c>
      <c r="M115" s="39" t="str">
        <f>IF(VLOOKUP(M$2&amp;Income_Statement[[#This Row],[Aop]],Data[],1)=M$2&amp;Income_Statement[[#This Row],[Aop]],VLOOKUP(M$2&amp;Income_Statement[[#This Row],[Aop]],Data[],M$1)/Jedinica,"")</f>
        <v/>
      </c>
      <c r="N115" s="39" t="str">
        <f>IF(VLOOKUP(N$2&amp;Income_Statement[[#This Row],[Aop]],Data[],1)=N$2&amp;Income_Statement[[#This Row],[Aop]],VLOOKUP(N$2&amp;Income_Statement[[#This Row],[Aop]],Data[],N$1)/Jedinica,"")</f>
        <v/>
      </c>
      <c r="O115" s="39" t="str">
        <f>IF(VLOOKUP(O$2&amp;Income_Statement[[#This Row],[Aop]],Data[],1)=O$2&amp;Income_Statement[[#This Row],[Aop]],VLOOKUP(O$2&amp;Income_Statement[[#This Row],[Aop]],Data[],O$1)/Jedinica,"")</f>
        <v/>
      </c>
      <c r="P115" s="39" t="str">
        <f>IF(VLOOKUP(P$2&amp;Income_Statement[[#This Row],[Aop]],Data[],1)=P$2&amp;Income_Statement[[#This Row],[Aop]],VLOOKUP(P$2&amp;Income_Statement[[#This Row],[Aop]],Data[],P$1)/Jedinica,"")</f>
        <v/>
      </c>
      <c r="Q115" s="39" t="str">
        <f>IF(VLOOKUP(Q$2&amp;Income_Statement[[#This Row],[Aop]],Data[],1)=Q$2&amp;Income_Statement[[#This Row],[Aop]],VLOOKUP(Q$2&amp;Income_Statement[[#This Row],[Aop]],Data[],Q$1)/Jedinica,"")</f>
        <v/>
      </c>
      <c r="R115" s="39" t="str">
        <f>IF(VLOOKUP(R$2&amp;Income_Statement[[#This Row],[Aop]],Data[],1)=R$2&amp;Income_Statement[[#This Row],[Aop]],VLOOKUP(R$2&amp;Income_Statement[[#This Row],[Aop]],Data[],R$1)/Jedinica,"")</f>
        <v/>
      </c>
      <c r="S115" s="39">
        <f>IF(VLOOKUP(S$2&amp;Income_Statement[[#This Row],[Aop]],Data[],1)=S$2&amp;Income_Statement[[#This Row],[Aop]],VLOOKUP(S$2&amp;Income_Statement[[#This Row],[Aop]],Data[],S$1)/Jedinica,"")</f>
        <v>642822</v>
      </c>
      <c r="T115" s="39">
        <f>IF(VLOOKUP(T$2&amp;Income_Statement[[#This Row],[Aop]],Data[],1)=T$2&amp;Income_Statement[[#This Row],[Aop]],VLOOKUP(T$2&amp;Income_Statement[[#This Row],[Aop]],Data[],T$1)/Jedinica,"")</f>
        <v>629168</v>
      </c>
    </row>
    <row r="116" spans="1:20" ht="12.75" customHeight="1" x14ac:dyDescent="0.2">
      <c r="A116" s="74">
        <v>216</v>
      </c>
      <c r="B116" s="74">
        <v>3</v>
      </c>
      <c r="C116" s="79" t="str">
        <f>VLOOKUP(Income_Statement[[#This Row],[No]],AOP_Balance,3,0)</f>
        <v>302</v>
      </c>
      <c r="D116" s="52" t="str">
        <f>VLOOKUP(Income_Statement[[#This Row],[No]],AOP_Balance,7,0)</f>
        <v xml:space="preserve">      v) Dobici po osnovu prevođenja finansijskih izvještaja inostranog poslovanja</v>
      </c>
      <c r="E116" s="39" t="str">
        <f>IF(VLOOKUP(E$2&amp;Income_Statement[[#This Row],[Aop]],Data[],1)=E$2&amp;Income_Statement[[#This Row],[Aop]],VLOOKUP(E$2&amp;Income_Statement[[#This Row],[Aop]],Data[],E$1)/Jedinica,"")</f>
        <v/>
      </c>
      <c r="F116" s="39" t="str">
        <f>IF(VLOOKUP(F$2&amp;Income_Statement[[#This Row],[Aop]],Data[],1)=F$2&amp;Income_Statement[[#This Row],[Aop]],VLOOKUP(F$2&amp;Income_Statement[[#This Row],[Aop]],Data[],F$1)/Jedinica,"")</f>
        <v/>
      </c>
      <c r="G116" s="39" t="str">
        <f>IF(VLOOKUP(G$2&amp;Income_Statement[[#This Row],[Aop]],Data[],1)=G$2&amp;Income_Statement[[#This Row],[Aop]],VLOOKUP(G$2&amp;Income_Statement[[#This Row],[Aop]],Data[],G$1)/Jedinica,"")</f>
        <v/>
      </c>
      <c r="H116" s="39" t="str">
        <f>IF(VLOOKUP(H$2&amp;Income_Statement[[#This Row],[Aop]],Data[],1)=H$2&amp;Income_Statement[[#This Row],[Aop]],VLOOKUP(H$2&amp;Income_Statement[[#This Row],[Aop]],Data[],H$1)/Jedinica,"")</f>
        <v/>
      </c>
      <c r="I116" s="39" t="str">
        <f>IF(VLOOKUP(I$2&amp;Income_Statement[[#This Row],[Aop]],Data[],1)=I$2&amp;Income_Statement[[#This Row],[Aop]],VLOOKUP(I$2&amp;Income_Statement[[#This Row],[Aop]],Data[],I$1)/Jedinica,"")</f>
        <v/>
      </c>
      <c r="J116" s="39" t="str">
        <f>IF(VLOOKUP(J$2&amp;Income_Statement[[#This Row],[Aop]],Data[],1)=J$2&amp;Income_Statement[[#This Row],[Aop]],VLOOKUP(J$2&amp;Income_Statement[[#This Row],[Aop]],Data[],J$1)/Jedinica,"")</f>
        <v/>
      </c>
      <c r="K116" s="39" t="str">
        <f>IF(VLOOKUP(K$2&amp;Income_Statement[[#This Row],[Aop]],Data[],1)=K$2&amp;Income_Statement[[#This Row],[Aop]],VLOOKUP(K$2&amp;Income_Statement[[#This Row],[Aop]],Data[],K$1)/Jedinica,"")</f>
        <v/>
      </c>
      <c r="L116" s="39" t="str">
        <f>IF(VLOOKUP(L$2&amp;Income_Statement[[#This Row],[Aop]],Data[],1)=L$2&amp;Income_Statement[[#This Row],[Aop]],VLOOKUP(L$2&amp;Income_Statement[[#This Row],[Aop]],Data[],L$1)/Jedinica,"")</f>
        <v/>
      </c>
      <c r="M116" s="39" t="str">
        <f>IF(VLOOKUP(M$2&amp;Income_Statement[[#This Row],[Aop]],Data[],1)=M$2&amp;Income_Statement[[#This Row],[Aop]],VLOOKUP(M$2&amp;Income_Statement[[#This Row],[Aop]],Data[],M$1)/Jedinica,"")</f>
        <v/>
      </c>
      <c r="N116" s="39" t="str">
        <f>IF(VLOOKUP(N$2&amp;Income_Statement[[#This Row],[Aop]],Data[],1)=N$2&amp;Income_Statement[[#This Row],[Aop]],VLOOKUP(N$2&amp;Income_Statement[[#This Row],[Aop]],Data[],N$1)/Jedinica,"")</f>
        <v/>
      </c>
      <c r="O116" s="39" t="str">
        <f>IF(VLOOKUP(O$2&amp;Income_Statement[[#This Row],[Aop]],Data[],1)=O$2&amp;Income_Statement[[#This Row],[Aop]],VLOOKUP(O$2&amp;Income_Statement[[#This Row],[Aop]],Data[],O$1)/Jedinica,"")</f>
        <v/>
      </c>
      <c r="P116" s="39" t="str">
        <f>IF(VLOOKUP(P$2&amp;Income_Statement[[#This Row],[Aop]],Data[],1)=P$2&amp;Income_Statement[[#This Row],[Aop]],VLOOKUP(P$2&amp;Income_Statement[[#This Row],[Aop]],Data[],P$1)/Jedinica,"")</f>
        <v/>
      </c>
      <c r="Q116" s="39" t="str">
        <f>IF(VLOOKUP(Q$2&amp;Income_Statement[[#This Row],[Aop]],Data[],1)=Q$2&amp;Income_Statement[[#This Row],[Aop]],VLOOKUP(Q$2&amp;Income_Statement[[#This Row],[Aop]],Data[],Q$1)/Jedinica,"")</f>
        <v/>
      </c>
      <c r="R116" s="39" t="str">
        <f>IF(VLOOKUP(R$2&amp;Income_Statement[[#This Row],[Aop]],Data[],1)=R$2&amp;Income_Statement[[#This Row],[Aop]],VLOOKUP(R$2&amp;Income_Statement[[#This Row],[Aop]],Data[],R$1)/Jedinica,"")</f>
        <v/>
      </c>
      <c r="S116" s="39" t="str">
        <f>IF(VLOOKUP(S$2&amp;Income_Statement[[#This Row],[Aop]],Data[],1)=S$2&amp;Income_Statement[[#This Row],[Aop]],VLOOKUP(S$2&amp;Income_Statement[[#This Row],[Aop]],Data[],S$1)/Jedinica,"")</f>
        <v/>
      </c>
      <c r="T116" s="39" t="str">
        <f>IF(VLOOKUP(T$2&amp;Income_Statement[[#This Row],[Aop]],Data[],1)=T$2&amp;Income_Statement[[#This Row],[Aop]],VLOOKUP(T$2&amp;Income_Statement[[#This Row],[Aop]],Data[],T$1)/Jedinica,"")</f>
        <v/>
      </c>
    </row>
    <row r="117" spans="1:20" ht="12.75" customHeight="1" x14ac:dyDescent="0.2">
      <c r="A117" s="74">
        <v>217</v>
      </c>
      <c r="B117" s="74">
        <v>3</v>
      </c>
      <c r="C117" s="78" t="str">
        <f>VLOOKUP(Income_Statement[[#This Row],[No]],AOP_Balance,3,0)</f>
        <v>303</v>
      </c>
      <c r="D117" s="52" t="str">
        <f>VLOOKUP(Income_Statement[[#This Row],[No]],AOP_Balance,7,0)</f>
        <v xml:space="preserve">      g) Aktuarski dobici od planova definisanih primanja</v>
      </c>
      <c r="E117" s="39" t="str">
        <f>IF(VLOOKUP(E$2&amp;Income_Statement[[#This Row],[Aop]],Data[],1)=E$2&amp;Income_Statement[[#This Row],[Aop]],VLOOKUP(E$2&amp;Income_Statement[[#This Row],[Aop]],Data[],E$1)/Jedinica,"")</f>
        <v/>
      </c>
      <c r="F117" s="39" t="str">
        <f>IF(VLOOKUP(F$2&amp;Income_Statement[[#This Row],[Aop]],Data[],1)=F$2&amp;Income_Statement[[#This Row],[Aop]],VLOOKUP(F$2&amp;Income_Statement[[#This Row],[Aop]],Data[],F$1)/Jedinica,"")</f>
        <v/>
      </c>
      <c r="G117" s="39" t="str">
        <f>IF(VLOOKUP(G$2&amp;Income_Statement[[#This Row],[Aop]],Data[],1)=G$2&amp;Income_Statement[[#This Row],[Aop]],VLOOKUP(G$2&amp;Income_Statement[[#This Row],[Aop]],Data[],G$1)/Jedinica,"")</f>
        <v/>
      </c>
      <c r="H117" s="39" t="str">
        <f>IF(VLOOKUP(H$2&amp;Income_Statement[[#This Row],[Aop]],Data[],1)=H$2&amp;Income_Statement[[#This Row],[Aop]],VLOOKUP(H$2&amp;Income_Statement[[#This Row],[Aop]],Data[],H$1)/Jedinica,"")</f>
        <v/>
      </c>
      <c r="I117" s="39" t="str">
        <f>IF(VLOOKUP(I$2&amp;Income_Statement[[#This Row],[Aop]],Data[],1)=I$2&amp;Income_Statement[[#This Row],[Aop]],VLOOKUP(I$2&amp;Income_Statement[[#This Row],[Aop]],Data[],I$1)/Jedinica,"")</f>
        <v/>
      </c>
      <c r="J117" s="39" t="str">
        <f>IF(VLOOKUP(J$2&amp;Income_Statement[[#This Row],[Aop]],Data[],1)=J$2&amp;Income_Statement[[#This Row],[Aop]],VLOOKUP(J$2&amp;Income_Statement[[#This Row],[Aop]],Data[],J$1)/Jedinica,"")</f>
        <v/>
      </c>
      <c r="K117" s="39" t="str">
        <f>IF(VLOOKUP(K$2&amp;Income_Statement[[#This Row],[Aop]],Data[],1)=K$2&amp;Income_Statement[[#This Row],[Aop]],VLOOKUP(K$2&amp;Income_Statement[[#This Row],[Aop]],Data[],K$1)/Jedinica,"")</f>
        <v/>
      </c>
      <c r="L117" s="39" t="str">
        <f>IF(VLOOKUP(L$2&amp;Income_Statement[[#This Row],[Aop]],Data[],1)=L$2&amp;Income_Statement[[#This Row],[Aop]],VLOOKUP(L$2&amp;Income_Statement[[#This Row],[Aop]],Data[],L$1)/Jedinica,"")</f>
        <v/>
      </c>
      <c r="M117" s="39" t="str">
        <f>IF(VLOOKUP(M$2&amp;Income_Statement[[#This Row],[Aop]],Data[],1)=M$2&amp;Income_Statement[[#This Row],[Aop]],VLOOKUP(M$2&amp;Income_Statement[[#This Row],[Aop]],Data[],M$1)/Jedinica,"")</f>
        <v/>
      </c>
      <c r="N117" s="39" t="str">
        <f>IF(VLOOKUP(N$2&amp;Income_Statement[[#This Row],[Aop]],Data[],1)=N$2&amp;Income_Statement[[#This Row],[Aop]],VLOOKUP(N$2&amp;Income_Statement[[#This Row],[Aop]],Data[],N$1)/Jedinica,"")</f>
        <v/>
      </c>
      <c r="O117" s="39" t="str">
        <f>IF(VLOOKUP(O$2&amp;Income_Statement[[#This Row],[Aop]],Data[],1)=O$2&amp;Income_Statement[[#This Row],[Aop]],VLOOKUP(O$2&amp;Income_Statement[[#This Row],[Aop]],Data[],O$1)/Jedinica,"")</f>
        <v/>
      </c>
      <c r="P117" s="39" t="str">
        <f>IF(VLOOKUP(P$2&amp;Income_Statement[[#This Row],[Aop]],Data[],1)=P$2&amp;Income_Statement[[#This Row],[Aop]],VLOOKUP(P$2&amp;Income_Statement[[#This Row],[Aop]],Data[],P$1)/Jedinica,"")</f>
        <v/>
      </c>
      <c r="Q117" s="39" t="str">
        <f>IF(VLOOKUP(Q$2&amp;Income_Statement[[#This Row],[Aop]],Data[],1)=Q$2&amp;Income_Statement[[#This Row],[Aop]],VLOOKUP(Q$2&amp;Income_Statement[[#This Row],[Aop]],Data[],Q$1)/Jedinica,"")</f>
        <v/>
      </c>
      <c r="R117" s="39" t="str">
        <f>IF(VLOOKUP(R$2&amp;Income_Statement[[#This Row],[Aop]],Data[],1)=R$2&amp;Income_Statement[[#This Row],[Aop]],VLOOKUP(R$2&amp;Income_Statement[[#This Row],[Aop]],Data[],R$1)/Jedinica,"")</f>
        <v/>
      </c>
      <c r="S117" s="39" t="str">
        <f>IF(VLOOKUP(S$2&amp;Income_Statement[[#This Row],[Aop]],Data[],1)=S$2&amp;Income_Statement[[#This Row],[Aop]],VLOOKUP(S$2&amp;Income_Statement[[#This Row],[Aop]],Data[],S$1)/Jedinica,"")</f>
        <v/>
      </c>
      <c r="T117" s="39" t="str">
        <f>IF(VLOOKUP(T$2&amp;Income_Statement[[#This Row],[Aop]],Data[],1)=T$2&amp;Income_Statement[[#This Row],[Aop]],VLOOKUP(T$2&amp;Income_Statement[[#This Row],[Aop]],Data[],T$1)/Jedinica,"")</f>
        <v/>
      </c>
    </row>
    <row r="118" spans="1:20" ht="12.75" customHeight="1" x14ac:dyDescent="0.2">
      <c r="A118" s="74">
        <v>218</v>
      </c>
      <c r="B118" s="74">
        <v>3</v>
      </c>
      <c r="C118" s="78" t="str">
        <f>VLOOKUP(Income_Statement[[#This Row],[No]],AOP_Balance,3,0)</f>
        <v>304</v>
      </c>
      <c r="D118" s="52" t="str">
        <f>VLOOKUP(Income_Statement[[#This Row],[No]],AOP_Balance,7,0)</f>
        <v xml:space="preserve">      d) Efektivni dio dobitaka po osnovu zaštite od rizika gotovinskih tokova</v>
      </c>
      <c r="E118" s="39" t="str">
        <f>IF(VLOOKUP(E$2&amp;Income_Statement[[#This Row],[Aop]],Data[],1)=E$2&amp;Income_Statement[[#This Row],[Aop]],VLOOKUP(E$2&amp;Income_Statement[[#This Row],[Aop]],Data[],E$1)/Jedinica,"")</f>
        <v/>
      </c>
      <c r="F118" s="39" t="str">
        <f>IF(VLOOKUP(F$2&amp;Income_Statement[[#This Row],[Aop]],Data[],1)=F$2&amp;Income_Statement[[#This Row],[Aop]],VLOOKUP(F$2&amp;Income_Statement[[#This Row],[Aop]],Data[],F$1)/Jedinica,"")</f>
        <v/>
      </c>
      <c r="G118" s="39" t="str">
        <f>IF(VLOOKUP(G$2&amp;Income_Statement[[#This Row],[Aop]],Data[],1)=G$2&amp;Income_Statement[[#This Row],[Aop]],VLOOKUP(G$2&amp;Income_Statement[[#This Row],[Aop]],Data[],G$1)/Jedinica,"")</f>
        <v/>
      </c>
      <c r="H118" s="39" t="str">
        <f>IF(VLOOKUP(H$2&amp;Income_Statement[[#This Row],[Aop]],Data[],1)=H$2&amp;Income_Statement[[#This Row],[Aop]],VLOOKUP(H$2&amp;Income_Statement[[#This Row],[Aop]],Data[],H$1)/Jedinica,"")</f>
        <v/>
      </c>
      <c r="I118" s="39" t="str">
        <f>IF(VLOOKUP(I$2&amp;Income_Statement[[#This Row],[Aop]],Data[],1)=I$2&amp;Income_Statement[[#This Row],[Aop]],VLOOKUP(I$2&amp;Income_Statement[[#This Row],[Aop]],Data[],I$1)/Jedinica,"")</f>
        <v/>
      </c>
      <c r="J118" s="39" t="str">
        <f>IF(VLOOKUP(J$2&amp;Income_Statement[[#This Row],[Aop]],Data[],1)=J$2&amp;Income_Statement[[#This Row],[Aop]],VLOOKUP(J$2&amp;Income_Statement[[#This Row],[Aop]],Data[],J$1)/Jedinica,"")</f>
        <v/>
      </c>
      <c r="K118" s="39" t="str">
        <f>IF(VLOOKUP(K$2&amp;Income_Statement[[#This Row],[Aop]],Data[],1)=K$2&amp;Income_Statement[[#This Row],[Aop]],VLOOKUP(K$2&amp;Income_Statement[[#This Row],[Aop]],Data[],K$1)/Jedinica,"")</f>
        <v/>
      </c>
      <c r="L118" s="39" t="str">
        <f>IF(VLOOKUP(L$2&amp;Income_Statement[[#This Row],[Aop]],Data[],1)=L$2&amp;Income_Statement[[#This Row],[Aop]],VLOOKUP(L$2&amp;Income_Statement[[#This Row],[Aop]],Data[],L$1)/Jedinica,"")</f>
        <v/>
      </c>
      <c r="M118" s="39" t="str">
        <f>IF(VLOOKUP(M$2&amp;Income_Statement[[#This Row],[Aop]],Data[],1)=M$2&amp;Income_Statement[[#This Row],[Aop]],VLOOKUP(M$2&amp;Income_Statement[[#This Row],[Aop]],Data[],M$1)/Jedinica,"")</f>
        <v/>
      </c>
      <c r="N118" s="39" t="str">
        <f>IF(VLOOKUP(N$2&amp;Income_Statement[[#This Row],[Aop]],Data[],1)=N$2&amp;Income_Statement[[#This Row],[Aop]],VLOOKUP(N$2&amp;Income_Statement[[#This Row],[Aop]],Data[],N$1)/Jedinica,"")</f>
        <v/>
      </c>
      <c r="O118" s="39" t="str">
        <f>IF(VLOOKUP(O$2&amp;Income_Statement[[#This Row],[Aop]],Data[],1)=O$2&amp;Income_Statement[[#This Row],[Aop]],VLOOKUP(O$2&amp;Income_Statement[[#This Row],[Aop]],Data[],O$1)/Jedinica,"")</f>
        <v/>
      </c>
      <c r="P118" s="39" t="str">
        <f>IF(VLOOKUP(P$2&amp;Income_Statement[[#This Row],[Aop]],Data[],1)=P$2&amp;Income_Statement[[#This Row],[Aop]],VLOOKUP(P$2&amp;Income_Statement[[#This Row],[Aop]],Data[],P$1)/Jedinica,"")</f>
        <v/>
      </c>
      <c r="Q118" s="39" t="str">
        <f>IF(VLOOKUP(Q$2&amp;Income_Statement[[#This Row],[Aop]],Data[],1)=Q$2&amp;Income_Statement[[#This Row],[Aop]],VLOOKUP(Q$2&amp;Income_Statement[[#This Row],[Aop]],Data[],Q$1)/Jedinica,"")</f>
        <v/>
      </c>
      <c r="R118" s="39" t="str">
        <f>IF(VLOOKUP(R$2&amp;Income_Statement[[#This Row],[Aop]],Data[],1)=R$2&amp;Income_Statement[[#This Row],[Aop]],VLOOKUP(R$2&amp;Income_Statement[[#This Row],[Aop]],Data[],R$1)/Jedinica,"")</f>
        <v/>
      </c>
      <c r="S118" s="39" t="str">
        <f>IF(VLOOKUP(S$2&amp;Income_Statement[[#This Row],[Aop]],Data[],1)=S$2&amp;Income_Statement[[#This Row],[Aop]],VLOOKUP(S$2&amp;Income_Statement[[#This Row],[Aop]],Data[],S$1)/Jedinica,"")</f>
        <v/>
      </c>
      <c r="T118" s="39" t="str">
        <f>IF(VLOOKUP(T$2&amp;Income_Statement[[#This Row],[Aop]],Data[],1)=T$2&amp;Income_Statement[[#This Row],[Aop]],VLOOKUP(T$2&amp;Income_Statement[[#This Row],[Aop]],Data[],T$1)/Jedinica,"")</f>
        <v/>
      </c>
    </row>
    <row r="119" spans="1:20" ht="12.75" customHeight="1" x14ac:dyDescent="0.2">
      <c r="A119" s="74">
        <v>219</v>
      </c>
      <c r="B119" s="74">
        <v>3</v>
      </c>
      <c r="C119" s="78" t="str">
        <f>VLOOKUP(Income_Statement[[#This Row],[No]],AOP_Balance,3,0)</f>
        <v>305</v>
      </c>
      <c r="D119" s="52" t="str">
        <f>VLOOKUP(Income_Statement[[#This Row],[No]],AOP_Balance,7,0)</f>
        <v xml:space="preserve">      đ) Ostali dobici utvrđeni direktno u kapitalu</v>
      </c>
      <c r="E119" s="39" t="str">
        <f>IF(VLOOKUP(E$2&amp;Income_Statement[[#This Row],[Aop]],Data[],1)=E$2&amp;Income_Statement[[#This Row],[Aop]],VLOOKUP(E$2&amp;Income_Statement[[#This Row],[Aop]],Data[],E$1)/Jedinica,"")</f>
        <v/>
      </c>
      <c r="F119" s="39" t="str">
        <f>IF(VLOOKUP(F$2&amp;Income_Statement[[#This Row],[Aop]],Data[],1)=F$2&amp;Income_Statement[[#This Row],[Aop]],VLOOKUP(F$2&amp;Income_Statement[[#This Row],[Aop]],Data[],F$1)/Jedinica,"")</f>
        <v/>
      </c>
      <c r="G119" s="39" t="str">
        <f>IF(VLOOKUP(G$2&amp;Income_Statement[[#This Row],[Aop]],Data[],1)=G$2&amp;Income_Statement[[#This Row],[Aop]],VLOOKUP(G$2&amp;Income_Statement[[#This Row],[Aop]],Data[],G$1)/Jedinica,"")</f>
        <v/>
      </c>
      <c r="H119" s="39" t="str">
        <f>IF(VLOOKUP(H$2&amp;Income_Statement[[#This Row],[Aop]],Data[],1)=H$2&amp;Income_Statement[[#This Row],[Aop]],VLOOKUP(H$2&amp;Income_Statement[[#This Row],[Aop]],Data[],H$1)/Jedinica,"")</f>
        <v/>
      </c>
      <c r="I119" s="39" t="str">
        <f>IF(VLOOKUP(I$2&amp;Income_Statement[[#This Row],[Aop]],Data[],1)=I$2&amp;Income_Statement[[#This Row],[Aop]],VLOOKUP(I$2&amp;Income_Statement[[#This Row],[Aop]],Data[],I$1)/Jedinica,"")</f>
        <v/>
      </c>
      <c r="J119" s="39" t="str">
        <f>IF(VLOOKUP(J$2&amp;Income_Statement[[#This Row],[Aop]],Data[],1)=J$2&amp;Income_Statement[[#This Row],[Aop]],VLOOKUP(J$2&amp;Income_Statement[[#This Row],[Aop]],Data[],J$1)/Jedinica,"")</f>
        <v/>
      </c>
      <c r="K119" s="39" t="str">
        <f>IF(VLOOKUP(K$2&amp;Income_Statement[[#This Row],[Aop]],Data[],1)=K$2&amp;Income_Statement[[#This Row],[Aop]],VLOOKUP(K$2&amp;Income_Statement[[#This Row],[Aop]],Data[],K$1)/Jedinica,"")</f>
        <v/>
      </c>
      <c r="L119" s="39" t="str">
        <f>IF(VLOOKUP(L$2&amp;Income_Statement[[#This Row],[Aop]],Data[],1)=L$2&amp;Income_Statement[[#This Row],[Aop]],VLOOKUP(L$2&amp;Income_Statement[[#This Row],[Aop]],Data[],L$1)/Jedinica,"")</f>
        <v/>
      </c>
      <c r="M119" s="39" t="str">
        <f>IF(VLOOKUP(M$2&amp;Income_Statement[[#This Row],[Aop]],Data[],1)=M$2&amp;Income_Statement[[#This Row],[Aop]],VLOOKUP(M$2&amp;Income_Statement[[#This Row],[Aop]],Data[],M$1)/Jedinica,"")</f>
        <v/>
      </c>
      <c r="N119" s="39" t="str">
        <f>IF(VLOOKUP(N$2&amp;Income_Statement[[#This Row],[Aop]],Data[],1)=N$2&amp;Income_Statement[[#This Row],[Aop]],VLOOKUP(N$2&amp;Income_Statement[[#This Row],[Aop]],Data[],N$1)/Jedinica,"")</f>
        <v/>
      </c>
      <c r="O119" s="39" t="str">
        <f>IF(VLOOKUP(O$2&amp;Income_Statement[[#This Row],[Aop]],Data[],1)=O$2&amp;Income_Statement[[#This Row],[Aop]],VLOOKUP(O$2&amp;Income_Statement[[#This Row],[Aop]],Data[],O$1)/Jedinica,"")</f>
        <v/>
      </c>
      <c r="P119" s="39" t="str">
        <f>IF(VLOOKUP(P$2&amp;Income_Statement[[#This Row],[Aop]],Data[],1)=P$2&amp;Income_Statement[[#This Row],[Aop]],VLOOKUP(P$2&amp;Income_Statement[[#This Row],[Aop]],Data[],P$1)/Jedinica,"")</f>
        <v/>
      </c>
      <c r="Q119" s="39" t="str">
        <f>IF(VLOOKUP(Q$2&amp;Income_Statement[[#This Row],[Aop]],Data[],1)=Q$2&amp;Income_Statement[[#This Row],[Aop]],VLOOKUP(Q$2&amp;Income_Statement[[#This Row],[Aop]],Data[],Q$1)/Jedinica,"")</f>
        <v/>
      </c>
      <c r="R119" s="39" t="str">
        <f>IF(VLOOKUP(R$2&amp;Income_Statement[[#This Row],[Aop]],Data[],1)=R$2&amp;Income_Statement[[#This Row],[Aop]],VLOOKUP(R$2&amp;Income_Statement[[#This Row],[Aop]],Data[],R$1)/Jedinica,"")</f>
        <v/>
      </c>
      <c r="S119" s="39" t="str">
        <f>IF(VLOOKUP(S$2&amp;Income_Statement[[#This Row],[Aop]],Data[],1)=S$2&amp;Income_Statement[[#This Row],[Aop]],VLOOKUP(S$2&amp;Income_Statement[[#This Row],[Aop]],Data[],S$1)/Jedinica,"")</f>
        <v/>
      </c>
      <c r="T119" s="39" t="str">
        <f>IF(VLOOKUP(T$2&amp;Income_Statement[[#This Row],[Aop]],Data[],1)=T$2&amp;Income_Statement[[#This Row],[Aop]],VLOOKUP(T$2&amp;Income_Statement[[#This Row],[Aop]],Data[],T$1)/Jedinica,"")</f>
        <v/>
      </c>
    </row>
    <row r="120" spans="1:20" ht="12.75" customHeight="1" x14ac:dyDescent="0.2">
      <c r="A120" s="74">
        <v>220</v>
      </c>
      <c r="B120" s="74">
        <v>2</v>
      </c>
      <c r="C120" s="78" t="str">
        <f>VLOOKUP(Income_Statement[[#This Row],[No]],AOP_Balance,3,0)</f>
        <v>306</v>
      </c>
      <c r="D120" s="52" t="str">
        <f>VLOOKUP(Income_Statement[[#This Row],[No]],AOP_Balance,7,0)</f>
        <v xml:space="preserve">    2. Gubici utvrđeni direktno u kapitalu (307 do 311)</v>
      </c>
      <c r="E120" s="39" t="str">
        <f>IF(VLOOKUP(E$2&amp;Income_Statement[[#This Row],[Aop]],Data[],1)=E$2&amp;Income_Statement[[#This Row],[Aop]],VLOOKUP(E$2&amp;Income_Statement[[#This Row],[Aop]],Data[],E$1)/Jedinica,"")</f>
        <v/>
      </c>
      <c r="F120" s="39" t="str">
        <f>IF(VLOOKUP(F$2&amp;Income_Statement[[#This Row],[Aop]],Data[],1)=F$2&amp;Income_Statement[[#This Row],[Aop]],VLOOKUP(F$2&amp;Income_Statement[[#This Row],[Aop]],Data[],F$1)/Jedinica,"")</f>
        <v/>
      </c>
      <c r="G120" s="39" t="str">
        <f>IF(VLOOKUP(G$2&amp;Income_Statement[[#This Row],[Aop]],Data[],1)=G$2&amp;Income_Statement[[#This Row],[Aop]],VLOOKUP(G$2&amp;Income_Statement[[#This Row],[Aop]],Data[],G$1)/Jedinica,"")</f>
        <v/>
      </c>
      <c r="H120" s="39" t="str">
        <f>IF(VLOOKUP(H$2&amp;Income_Statement[[#This Row],[Aop]],Data[],1)=H$2&amp;Income_Statement[[#This Row],[Aop]],VLOOKUP(H$2&amp;Income_Statement[[#This Row],[Aop]],Data[],H$1)/Jedinica,"")</f>
        <v/>
      </c>
      <c r="I120" s="39" t="str">
        <f>IF(VLOOKUP(I$2&amp;Income_Statement[[#This Row],[Aop]],Data[],1)=I$2&amp;Income_Statement[[#This Row],[Aop]],VLOOKUP(I$2&amp;Income_Statement[[#This Row],[Aop]],Data[],I$1)/Jedinica,"")</f>
        <v/>
      </c>
      <c r="J120" s="39" t="str">
        <f>IF(VLOOKUP(J$2&amp;Income_Statement[[#This Row],[Aop]],Data[],1)=J$2&amp;Income_Statement[[#This Row],[Aop]],VLOOKUP(J$2&amp;Income_Statement[[#This Row],[Aop]],Data[],J$1)/Jedinica,"")</f>
        <v/>
      </c>
      <c r="K120" s="39" t="str">
        <f>IF(VLOOKUP(K$2&amp;Income_Statement[[#This Row],[Aop]],Data[],1)=K$2&amp;Income_Statement[[#This Row],[Aop]],VLOOKUP(K$2&amp;Income_Statement[[#This Row],[Aop]],Data[],K$1)/Jedinica,"")</f>
        <v/>
      </c>
      <c r="L120" s="39" t="str">
        <f>IF(VLOOKUP(L$2&amp;Income_Statement[[#This Row],[Aop]],Data[],1)=L$2&amp;Income_Statement[[#This Row],[Aop]],VLOOKUP(L$2&amp;Income_Statement[[#This Row],[Aop]],Data[],L$1)/Jedinica,"")</f>
        <v/>
      </c>
      <c r="M120" s="39" t="str">
        <f>IF(VLOOKUP(M$2&amp;Income_Statement[[#This Row],[Aop]],Data[],1)=M$2&amp;Income_Statement[[#This Row],[Aop]],VLOOKUP(M$2&amp;Income_Statement[[#This Row],[Aop]],Data[],M$1)/Jedinica,"")</f>
        <v/>
      </c>
      <c r="N120" s="39" t="str">
        <f>IF(VLOOKUP(N$2&amp;Income_Statement[[#This Row],[Aop]],Data[],1)=N$2&amp;Income_Statement[[#This Row],[Aop]],VLOOKUP(N$2&amp;Income_Statement[[#This Row],[Aop]],Data[],N$1)/Jedinica,"")</f>
        <v/>
      </c>
      <c r="O120" s="39" t="str">
        <f>IF(VLOOKUP(O$2&amp;Income_Statement[[#This Row],[Aop]],Data[],1)=O$2&amp;Income_Statement[[#This Row],[Aop]],VLOOKUP(O$2&amp;Income_Statement[[#This Row],[Aop]],Data[],O$1)/Jedinica,"")</f>
        <v/>
      </c>
      <c r="P120" s="39" t="str">
        <f>IF(VLOOKUP(P$2&amp;Income_Statement[[#This Row],[Aop]],Data[],1)=P$2&amp;Income_Statement[[#This Row],[Aop]],VLOOKUP(P$2&amp;Income_Statement[[#This Row],[Aop]],Data[],P$1)/Jedinica,"")</f>
        <v/>
      </c>
      <c r="Q120" s="39" t="str">
        <f>IF(VLOOKUP(Q$2&amp;Income_Statement[[#This Row],[Aop]],Data[],1)=Q$2&amp;Income_Statement[[#This Row],[Aop]],VLOOKUP(Q$2&amp;Income_Statement[[#This Row],[Aop]],Data[],Q$1)/Jedinica,"")</f>
        <v/>
      </c>
      <c r="R120" s="39" t="str">
        <f>IF(VLOOKUP(R$2&amp;Income_Statement[[#This Row],[Aop]],Data[],1)=R$2&amp;Income_Statement[[#This Row],[Aop]],VLOOKUP(R$2&amp;Income_Statement[[#This Row],[Aop]],Data[],R$1)/Jedinica,"")</f>
        <v/>
      </c>
      <c r="S120" s="39">
        <f>IF(VLOOKUP(S$2&amp;Income_Statement[[#This Row],[Aop]],Data[],1)=S$2&amp;Income_Statement[[#This Row],[Aop]],VLOOKUP(S$2&amp;Income_Statement[[#This Row],[Aop]],Data[],S$1)/Jedinica,"")</f>
        <v>3069</v>
      </c>
      <c r="T120" s="39">
        <f>IF(VLOOKUP(T$2&amp;Income_Statement[[#This Row],[Aop]],Data[],1)=T$2&amp;Income_Statement[[#This Row],[Aop]],VLOOKUP(T$2&amp;Income_Statement[[#This Row],[Aop]],Data[],T$1)/Jedinica,"")</f>
        <v>5387</v>
      </c>
    </row>
    <row r="121" spans="1:20" ht="12.75" customHeight="1" x14ac:dyDescent="0.2">
      <c r="A121" s="74">
        <v>221</v>
      </c>
      <c r="B121" s="74">
        <v>3</v>
      </c>
      <c r="C121" s="78" t="str">
        <f>VLOOKUP(Income_Statement[[#This Row],[No]],AOP_Balance,3,0)</f>
        <v>307</v>
      </c>
      <c r="D121" s="52" t="str">
        <f>VLOOKUP(Income_Statement[[#This Row],[No]],AOP_Balance,7,0)</f>
        <v xml:space="preserve">      a) Gubici po osnovu promjene fer vrijednosti HOV raspoloživih za prodaju</v>
      </c>
      <c r="E121" s="39" t="str">
        <f>IF(VLOOKUP(E$2&amp;Income_Statement[[#This Row],[Aop]],Data[],1)=E$2&amp;Income_Statement[[#This Row],[Aop]],VLOOKUP(E$2&amp;Income_Statement[[#This Row],[Aop]],Data[],E$1)/Jedinica,"")</f>
        <v/>
      </c>
      <c r="F121" s="39" t="str">
        <f>IF(VLOOKUP(F$2&amp;Income_Statement[[#This Row],[Aop]],Data[],1)=F$2&amp;Income_Statement[[#This Row],[Aop]],VLOOKUP(F$2&amp;Income_Statement[[#This Row],[Aop]],Data[],F$1)/Jedinica,"")</f>
        <v/>
      </c>
      <c r="G121" s="39" t="str">
        <f>IF(VLOOKUP(G$2&amp;Income_Statement[[#This Row],[Aop]],Data[],1)=G$2&amp;Income_Statement[[#This Row],[Aop]],VLOOKUP(G$2&amp;Income_Statement[[#This Row],[Aop]],Data[],G$1)/Jedinica,"")</f>
        <v/>
      </c>
      <c r="H121" s="39" t="str">
        <f>IF(VLOOKUP(H$2&amp;Income_Statement[[#This Row],[Aop]],Data[],1)=H$2&amp;Income_Statement[[#This Row],[Aop]],VLOOKUP(H$2&amp;Income_Statement[[#This Row],[Aop]],Data[],H$1)/Jedinica,"")</f>
        <v/>
      </c>
      <c r="I121" s="39" t="str">
        <f>IF(VLOOKUP(I$2&amp;Income_Statement[[#This Row],[Aop]],Data[],1)=I$2&amp;Income_Statement[[#This Row],[Aop]],VLOOKUP(I$2&amp;Income_Statement[[#This Row],[Aop]],Data[],I$1)/Jedinica,"")</f>
        <v/>
      </c>
      <c r="J121" s="39" t="str">
        <f>IF(VLOOKUP(J$2&amp;Income_Statement[[#This Row],[Aop]],Data[],1)=J$2&amp;Income_Statement[[#This Row],[Aop]],VLOOKUP(J$2&amp;Income_Statement[[#This Row],[Aop]],Data[],J$1)/Jedinica,"")</f>
        <v/>
      </c>
      <c r="K121" s="39" t="str">
        <f>IF(VLOOKUP(K$2&amp;Income_Statement[[#This Row],[Aop]],Data[],1)=K$2&amp;Income_Statement[[#This Row],[Aop]],VLOOKUP(K$2&amp;Income_Statement[[#This Row],[Aop]],Data[],K$1)/Jedinica,"")</f>
        <v/>
      </c>
      <c r="L121" s="39" t="str">
        <f>IF(VLOOKUP(L$2&amp;Income_Statement[[#This Row],[Aop]],Data[],1)=L$2&amp;Income_Statement[[#This Row],[Aop]],VLOOKUP(L$2&amp;Income_Statement[[#This Row],[Aop]],Data[],L$1)/Jedinica,"")</f>
        <v/>
      </c>
      <c r="M121" s="39" t="str">
        <f>IF(VLOOKUP(M$2&amp;Income_Statement[[#This Row],[Aop]],Data[],1)=M$2&amp;Income_Statement[[#This Row],[Aop]],VLOOKUP(M$2&amp;Income_Statement[[#This Row],[Aop]],Data[],M$1)/Jedinica,"")</f>
        <v/>
      </c>
      <c r="N121" s="39" t="str">
        <f>IF(VLOOKUP(N$2&amp;Income_Statement[[#This Row],[Aop]],Data[],1)=N$2&amp;Income_Statement[[#This Row],[Aop]],VLOOKUP(N$2&amp;Income_Statement[[#This Row],[Aop]],Data[],N$1)/Jedinica,"")</f>
        <v/>
      </c>
      <c r="O121" s="39" t="str">
        <f>IF(VLOOKUP(O$2&amp;Income_Statement[[#This Row],[Aop]],Data[],1)=O$2&amp;Income_Statement[[#This Row],[Aop]],VLOOKUP(O$2&amp;Income_Statement[[#This Row],[Aop]],Data[],O$1)/Jedinica,"")</f>
        <v/>
      </c>
      <c r="P121" s="39" t="str">
        <f>IF(VLOOKUP(P$2&amp;Income_Statement[[#This Row],[Aop]],Data[],1)=P$2&amp;Income_Statement[[#This Row],[Aop]],VLOOKUP(P$2&amp;Income_Statement[[#This Row],[Aop]],Data[],P$1)/Jedinica,"")</f>
        <v/>
      </c>
      <c r="Q121" s="39" t="str">
        <f>IF(VLOOKUP(Q$2&amp;Income_Statement[[#This Row],[Aop]],Data[],1)=Q$2&amp;Income_Statement[[#This Row],[Aop]],VLOOKUP(Q$2&amp;Income_Statement[[#This Row],[Aop]],Data[],Q$1)/Jedinica,"")</f>
        <v/>
      </c>
      <c r="R121" s="39" t="str">
        <f>IF(VLOOKUP(R$2&amp;Income_Statement[[#This Row],[Aop]],Data[],1)=R$2&amp;Income_Statement[[#This Row],[Aop]],VLOOKUP(R$2&amp;Income_Statement[[#This Row],[Aop]],Data[],R$1)/Jedinica,"")</f>
        <v/>
      </c>
      <c r="S121" s="39" t="str">
        <f>IF(VLOOKUP(S$2&amp;Income_Statement[[#This Row],[Aop]],Data[],1)=S$2&amp;Income_Statement[[#This Row],[Aop]],VLOOKUP(S$2&amp;Income_Statement[[#This Row],[Aop]],Data[],S$1)/Jedinica,"")</f>
        <v/>
      </c>
      <c r="T121" s="39" t="str">
        <f>IF(VLOOKUP(T$2&amp;Income_Statement[[#This Row],[Aop]],Data[],1)=T$2&amp;Income_Statement[[#This Row],[Aop]],VLOOKUP(T$2&amp;Income_Statement[[#This Row],[Aop]],Data[],T$1)/Jedinica,"")</f>
        <v/>
      </c>
    </row>
    <row r="122" spans="1:20" ht="12.75" customHeight="1" x14ac:dyDescent="0.2">
      <c r="A122" s="74">
        <v>222</v>
      </c>
      <c r="B122" s="74">
        <v>3</v>
      </c>
      <c r="C122" s="78" t="str">
        <f>VLOOKUP(Income_Statement[[#This Row],[No]],AOP_Balance,3,0)</f>
        <v>308</v>
      </c>
      <c r="D122" s="52" t="str">
        <f>VLOOKUP(Income_Statement[[#This Row],[No]],AOP_Balance,7,0)</f>
        <v xml:space="preserve">      b) Gubici po osnovu prevođenja finansijskih izvještaja inostranog poslovanja</v>
      </c>
      <c r="E122" s="39" t="str">
        <f>IF(VLOOKUP(E$2&amp;Income_Statement[[#This Row],[Aop]],Data[],1)=E$2&amp;Income_Statement[[#This Row],[Aop]],VLOOKUP(E$2&amp;Income_Statement[[#This Row],[Aop]],Data[],E$1)/Jedinica,"")</f>
        <v/>
      </c>
      <c r="F122" s="39" t="str">
        <f>IF(VLOOKUP(F$2&amp;Income_Statement[[#This Row],[Aop]],Data[],1)=F$2&amp;Income_Statement[[#This Row],[Aop]],VLOOKUP(F$2&amp;Income_Statement[[#This Row],[Aop]],Data[],F$1)/Jedinica,"")</f>
        <v/>
      </c>
      <c r="G122" s="39" t="str">
        <f>IF(VLOOKUP(G$2&amp;Income_Statement[[#This Row],[Aop]],Data[],1)=G$2&amp;Income_Statement[[#This Row],[Aop]],VLOOKUP(G$2&amp;Income_Statement[[#This Row],[Aop]],Data[],G$1)/Jedinica,"")</f>
        <v/>
      </c>
      <c r="H122" s="39" t="str">
        <f>IF(VLOOKUP(H$2&amp;Income_Statement[[#This Row],[Aop]],Data[],1)=H$2&amp;Income_Statement[[#This Row],[Aop]],VLOOKUP(H$2&amp;Income_Statement[[#This Row],[Aop]],Data[],H$1)/Jedinica,"")</f>
        <v/>
      </c>
      <c r="I122" s="39" t="str">
        <f>IF(VLOOKUP(I$2&amp;Income_Statement[[#This Row],[Aop]],Data[],1)=I$2&amp;Income_Statement[[#This Row],[Aop]],VLOOKUP(I$2&amp;Income_Statement[[#This Row],[Aop]],Data[],I$1)/Jedinica,"")</f>
        <v/>
      </c>
      <c r="J122" s="39" t="str">
        <f>IF(VLOOKUP(J$2&amp;Income_Statement[[#This Row],[Aop]],Data[],1)=J$2&amp;Income_Statement[[#This Row],[Aop]],VLOOKUP(J$2&amp;Income_Statement[[#This Row],[Aop]],Data[],J$1)/Jedinica,"")</f>
        <v/>
      </c>
      <c r="K122" s="39" t="str">
        <f>IF(VLOOKUP(K$2&amp;Income_Statement[[#This Row],[Aop]],Data[],1)=K$2&amp;Income_Statement[[#This Row],[Aop]],VLOOKUP(K$2&amp;Income_Statement[[#This Row],[Aop]],Data[],K$1)/Jedinica,"")</f>
        <v/>
      </c>
      <c r="L122" s="39" t="str">
        <f>IF(VLOOKUP(L$2&amp;Income_Statement[[#This Row],[Aop]],Data[],1)=L$2&amp;Income_Statement[[#This Row],[Aop]],VLOOKUP(L$2&amp;Income_Statement[[#This Row],[Aop]],Data[],L$1)/Jedinica,"")</f>
        <v/>
      </c>
      <c r="M122" s="39" t="str">
        <f>IF(VLOOKUP(M$2&amp;Income_Statement[[#This Row],[Aop]],Data[],1)=M$2&amp;Income_Statement[[#This Row],[Aop]],VLOOKUP(M$2&amp;Income_Statement[[#This Row],[Aop]],Data[],M$1)/Jedinica,"")</f>
        <v/>
      </c>
      <c r="N122" s="39" t="str">
        <f>IF(VLOOKUP(N$2&amp;Income_Statement[[#This Row],[Aop]],Data[],1)=N$2&amp;Income_Statement[[#This Row],[Aop]],VLOOKUP(N$2&amp;Income_Statement[[#This Row],[Aop]],Data[],N$1)/Jedinica,"")</f>
        <v/>
      </c>
      <c r="O122" s="39" t="str">
        <f>IF(VLOOKUP(O$2&amp;Income_Statement[[#This Row],[Aop]],Data[],1)=O$2&amp;Income_Statement[[#This Row],[Aop]],VLOOKUP(O$2&amp;Income_Statement[[#This Row],[Aop]],Data[],O$1)/Jedinica,"")</f>
        <v/>
      </c>
      <c r="P122" s="39" t="str">
        <f>IF(VLOOKUP(P$2&amp;Income_Statement[[#This Row],[Aop]],Data[],1)=P$2&amp;Income_Statement[[#This Row],[Aop]],VLOOKUP(P$2&amp;Income_Statement[[#This Row],[Aop]],Data[],P$1)/Jedinica,"")</f>
        <v/>
      </c>
      <c r="Q122" s="39" t="str">
        <f>IF(VLOOKUP(Q$2&amp;Income_Statement[[#This Row],[Aop]],Data[],1)=Q$2&amp;Income_Statement[[#This Row],[Aop]],VLOOKUP(Q$2&amp;Income_Statement[[#This Row],[Aop]],Data[],Q$1)/Jedinica,"")</f>
        <v/>
      </c>
      <c r="R122" s="39" t="str">
        <f>IF(VLOOKUP(R$2&amp;Income_Statement[[#This Row],[Aop]],Data[],1)=R$2&amp;Income_Statement[[#This Row],[Aop]],VLOOKUP(R$2&amp;Income_Statement[[#This Row],[Aop]],Data[],R$1)/Jedinica,"")</f>
        <v/>
      </c>
      <c r="S122" s="39" t="str">
        <f>IF(VLOOKUP(S$2&amp;Income_Statement[[#This Row],[Aop]],Data[],1)=S$2&amp;Income_Statement[[#This Row],[Aop]],VLOOKUP(S$2&amp;Income_Statement[[#This Row],[Aop]],Data[],S$1)/Jedinica,"")</f>
        <v/>
      </c>
      <c r="T122" s="39" t="str">
        <f>IF(VLOOKUP(T$2&amp;Income_Statement[[#This Row],[Aop]],Data[],1)=T$2&amp;Income_Statement[[#This Row],[Aop]],VLOOKUP(T$2&amp;Income_Statement[[#This Row],[Aop]],Data[],T$1)/Jedinica,"")</f>
        <v/>
      </c>
    </row>
    <row r="123" spans="1:20" ht="12.75" customHeight="1" x14ac:dyDescent="0.2">
      <c r="A123" s="74">
        <v>223</v>
      </c>
      <c r="B123" s="74">
        <v>3</v>
      </c>
      <c r="C123" s="78" t="str">
        <f>VLOOKUP(Income_Statement[[#This Row],[No]],AOP_Balance,3,0)</f>
        <v>309</v>
      </c>
      <c r="D123" s="52" t="str">
        <f>VLOOKUP(Income_Statement[[#This Row],[No]],AOP_Balance,7,0)</f>
        <v xml:space="preserve">      v) Aktuarski gubici od planova definisanih primanja</v>
      </c>
      <c r="E123" s="39" t="str">
        <f>IF(VLOOKUP(E$2&amp;Income_Statement[[#This Row],[Aop]],Data[],1)=E$2&amp;Income_Statement[[#This Row],[Aop]],VLOOKUP(E$2&amp;Income_Statement[[#This Row],[Aop]],Data[],E$1)/Jedinica,"")</f>
        <v/>
      </c>
      <c r="F123" s="39" t="str">
        <f>IF(VLOOKUP(F$2&amp;Income_Statement[[#This Row],[Aop]],Data[],1)=F$2&amp;Income_Statement[[#This Row],[Aop]],VLOOKUP(F$2&amp;Income_Statement[[#This Row],[Aop]],Data[],F$1)/Jedinica,"")</f>
        <v/>
      </c>
      <c r="G123" s="39" t="str">
        <f>IF(VLOOKUP(G$2&amp;Income_Statement[[#This Row],[Aop]],Data[],1)=G$2&amp;Income_Statement[[#This Row],[Aop]],VLOOKUP(G$2&amp;Income_Statement[[#This Row],[Aop]],Data[],G$1)/Jedinica,"")</f>
        <v/>
      </c>
      <c r="H123" s="39" t="str">
        <f>IF(VLOOKUP(H$2&amp;Income_Statement[[#This Row],[Aop]],Data[],1)=H$2&amp;Income_Statement[[#This Row],[Aop]],VLOOKUP(H$2&amp;Income_Statement[[#This Row],[Aop]],Data[],H$1)/Jedinica,"")</f>
        <v/>
      </c>
      <c r="I123" s="39" t="str">
        <f>IF(VLOOKUP(I$2&amp;Income_Statement[[#This Row],[Aop]],Data[],1)=I$2&amp;Income_Statement[[#This Row],[Aop]],VLOOKUP(I$2&amp;Income_Statement[[#This Row],[Aop]],Data[],I$1)/Jedinica,"")</f>
        <v/>
      </c>
      <c r="J123" s="39" t="str">
        <f>IF(VLOOKUP(J$2&amp;Income_Statement[[#This Row],[Aop]],Data[],1)=J$2&amp;Income_Statement[[#This Row],[Aop]],VLOOKUP(J$2&amp;Income_Statement[[#This Row],[Aop]],Data[],J$1)/Jedinica,"")</f>
        <v/>
      </c>
      <c r="K123" s="39" t="str">
        <f>IF(VLOOKUP(K$2&amp;Income_Statement[[#This Row],[Aop]],Data[],1)=K$2&amp;Income_Statement[[#This Row],[Aop]],VLOOKUP(K$2&amp;Income_Statement[[#This Row],[Aop]],Data[],K$1)/Jedinica,"")</f>
        <v/>
      </c>
      <c r="L123" s="39" t="str">
        <f>IF(VLOOKUP(L$2&amp;Income_Statement[[#This Row],[Aop]],Data[],1)=L$2&amp;Income_Statement[[#This Row],[Aop]],VLOOKUP(L$2&amp;Income_Statement[[#This Row],[Aop]],Data[],L$1)/Jedinica,"")</f>
        <v/>
      </c>
      <c r="M123" s="39" t="str">
        <f>IF(VLOOKUP(M$2&amp;Income_Statement[[#This Row],[Aop]],Data[],1)=M$2&amp;Income_Statement[[#This Row],[Aop]],VLOOKUP(M$2&amp;Income_Statement[[#This Row],[Aop]],Data[],M$1)/Jedinica,"")</f>
        <v/>
      </c>
      <c r="N123" s="39" t="str">
        <f>IF(VLOOKUP(N$2&amp;Income_Statement[[#This Row],[Aop]],Data[],1)=N$2&amp;Income_Statement[[#This Row],[Aop]],VLOOKUP(N$2&amp;Income_Statement[[#This Row],[Aop]],Data[],N$1)/Jedinica,"")</f>
        <v/>
      </c>
      <c r="O123" s="39" t="str">
        <f>IF(VLOOKUP(O$2&amp;Income_Statement[[#This Row],[Aop]],Data[],1)=O$2&amp;Income_Statement[[#This Row],[Aop]],VLOOKUP(O$2&amp;Income_Statement[[#This Row],[Aop]],Data[],O$1)/Jedinica,"")</f>
        <v/>
      </c>
      <c r="P123" s="39" t="str">
        <f>IF(VLOOKUP(P$2&amp;Income_Statement[[#This Row],[Aop]],Data[],1)=P$2&amp;Income_Statement[[#This Row],[Aop]],VLOOKUP(P$2&amp;Income_Statement[[#This Row],[Aop]],Data[],P$1)/Jedinica,"")</f>
        <v/>
      </c>
      <c r="Q123" s="39" t="str">
        <f>IF(VLOOKUP(Q$2&amp;Income_Statement[[#This Row],[Aop]],Data[],1)=Q$2&amp;Income_Statement[[#This Row],[Aop]],VLOOKUP(Q$2&amp;Income_Statement[[#This Row],[Aop]],Data[],Q$1)/Jedinica,"")</f>
        <v/>
      </c>
      <c r="R123" s="39" t="str">
        <f>IF(VLOOKUP(R$2&amp;Income_Statement[[#This Row],[Aop]],Data[],1)=R$2&amp;Income_Statement[[#This Row],[Aop]],VLOOKUP(R$2&amp;Income_Statement[[#This Row],[Aop]],Data[],R$1)/Jedinica,"")</f>
        <v/>
      </c>
      <c r="S123" s="39" t="str">
        <f>IF(VLOOKUP(S$2&amp;Income_Statement[[#This Row],[Aop]],Data[],1)=S$2&amp;Income_Statement[[#This Row],[Aop]],VLOOKUP(S$2&amp;Income_Statement[[#This Row],[Aop]],Data[],S$1)/Jedinica,"")</f>
        <v/>
      </c>
      <c r="T123" s="39" t="str">
        <f>IF(VLOOKUP(T$2&amp;Income_Statement[[#This Row],[Aop]],Data[],1)=T$2&amp;Income_Statement[[#This Row],[Aop]],VLOOKUP(T$2&amp;Income_Statement[[#This Row],[Aop]],Data[],T$1)/Jedinica,"")</f>
        <v/>
      </c>
    </row>
    <row r="124" spans="1:20" ht="12.75" customHeight="1" x14ac:dyDescent="0.2">
      <c r="A124" s="74">
        <v>224</v>
      </c>
      <c r="B124" s="74">
        <v>3</v>
      </c>
      <c r="C124" s="78" t="str">
        <f>VLOOKUP(Income_Statement[[#This Row],[No]],AOP_Balance,3,0)</f>
        <v>310</v>
      </c>
      <c r="D124" s="52" t="str">
        <f>VLOOKUP(Income_Statement[[#This Row],[No]],AOP_Balance,7,0)</f>
        <v xml:space="preserve">      g) Efektivni dio gubitaka po osnovu zaštite od rizika gotovinskih tokova</v>
      </c>
      <c r="E124" s="39" t="str">
        <f>IF(VLOOKUP(E$2&amp;Income_Statement[[#This Row],[Aop]],Data[],1)=E$2&amp;Income_Statement[[#This Row],[Aop]],VLOOKUP(E$2&amp;Income_Statement[[#This Row],[Aop]],Data[],E$1)/Jedinica,"")</f>
        <v/>
      </c>
      <c r="F124" s="39" t="str">
        <f>IF(VLOOKUP(F$2&amp;Income_Statement[[#This Row],[Aop]],Data[],1)=F$2&amp;Income_Statement[[#This Row],[Aop]],VLOOKUP(F$2&amp;Income_Statement[[#This Row],[Aop]],Data[],F$1)/Jedinica,"")</f>
        <v/>
      </c>
      <c r="G124" s="39" t="str">
        <f>IF(VLOOKUP(G$2&amp;Income_Statement[[#This Row],[Aop]],Data[],1)=G$2&amp;Income_Statement[[#This Row],[Aop]],VLOOKUP(G$2&amp;Income_Statement[[#This Row],[Aop]],Data[],G$1)/Jedinica,"")</f>
        <v/>
      </c>
      <c r="H124" s="39" t="str">
        <f>IF(VLOOKUP(H$2&amp;Income_Statement[[#This Row],[Aop]],Data[],1)=H$2&amp;Income_Statement[[#This Row],[Aop]],VLOOKUP(H$2&amp;Income_Statement[[#This Row],[Aop]],Data[],H$1)/Jedinica,"")</f>
        <v/>
      </c>
      <c r="I124" s="39" t="str">
        <f>IF(VLOOKUP(I$2&amp;Income_Statement[[#This Row],[Aop]],Data[],1)=I$2&amp;Income_Statement[[#This Row],[Aop]],VLOOKUP(I$2&amp;Income_Statement[[#This Row],[Aop]],Data[],I$1)/Jedinica,"")</f>
        <v/>
      </c>
      <c r="J124" s="39" t="str">
        <f>IF(VLOOKUP(J$2&amp;Income_Statement[[#This Row],[Aop]],Data[],1)=J$2&amp;Income_Statement[[#This Row],[Aop]],VLOOKUP(J$2&amp;Income_Statement[[#This Row],[Aop]],Data[],J$1)/Jedinica,"")</f>
        <v/>
      </c>
      <c r="K124" s="39" t="str">
        <f>IF(VLOOKUP(K$2&amp;Income_Statement[[#This Row],[Aop]],Data[],1)=K$2&amp;Income_Statement[[#This Row],[Aop]],VLOOKUP(K$2&amp;Income_Statement[[#This Row],[Aop]],Data[],K$1)/Jedinica,"")</f>
        <v/>
      </c>
      <c r="L124" s="39" t="str">
        <f>IF(VLOOKUP(L$2&amp;Income_Statement[[#This Row],[Aop]],Data[],1)=L$2&amp;Income_Statement[[#This Row],[Aop]],VLOOKUP(L$2&amp;Income_Statement[[#This Row],[Aop]],Data[],L$1)/Jedinica,"")</f>
        <v/>
      </c>
      <c r="M124" s="39" t="str">
        <f>IF(VLOOKUP(M$2&amp;Income_Statement[[#This Row],[Aop]],Data[],1)=M$2&amp;Income_Statement[[#This Row],[Aop]],VLOOKUP(M$2&amp;Income_Statement[[#This Row],[Aop]],Data[],M$1)/Jedinica,"")</f>
        <v/>
      </c>
      <c r="N124" s="39" t="str">
        <f>IF(VLOOKUP(N$2&amp;Income_Statement[[#This Row],[Aop]],Data[],1)=N$2&amp;Income_Statement[[#This Row],[Aop]],VLOOKUP(N$2&amp;Income_Statement[[#This Row],[Aop]],Data[],N$1)/Jedinica,"")</f>
        <v/>
      </c>
      <c r="O124" s="39" t="str">
        <f>IF(VLOOKUP(O$2&amp;Income_Statement[[#This Row],[Aop]],Data[],1)=O$2&amp;Income_Statement[[#This Row],[Aop]],VLOOKUP(O$2&amp;Income_Statement[[#This Row],[Aop]],Data[],O$1)/Jedinica,"")</f>
        <v/>
      </c>
      <c r="P124" s="39" t="str">
        <f>IF(VLOOKUP(P$2&amp;Income_Statement[[#This Row],[Aop]],Data[],1)=P$2&amp;Income_Statement[[#This Row],[Aop]],VLOOKUP(P$2&amp;Income_Statement[[#This Row],[Aop]],Data[],P$1)/Jedinica,"")</f>
        <v/>
      </c>
      <c r="Q124" s="39" t="str">
        <f>IF(VLOOKUP(Q$2&amp;Income_Statement[[#This Row],[Aop]],Data[],1)=Q$2&amp;Income_Statement[[#This Row],[Aop]],VLOOKUP(Q$2&amp;Income_Statement[[#This Row],[Aop]],Data[],Q$1)/Jedinica,"")</f>
        <v/>
      </c>
      <c r="R124" s="39" t="str">
        <f>IF(VLOOKUP(R$2&amp;Income_Statement[[#This Row],[Aop]],Data[],1)=R$2&amp;Income_Statement[[#This Row],[Aop]],VLOOKUP(R$2&amp;Income_Statement[[#This Row],[Aop]],Data[],R$1)/Jedinica,"")</f>
        <v/>
      </c>
      <c r="S124" s="39" t="str">
        <f>IF(VLOOKUP(S$2&amp;Income_Statement[[#This Row],[Aop]],Data[],1)=S$2&amp;Income_Statement[[#This Row],[Aop]],VLOOKUP(S$2&amp;Income_Statement[[#This Row],[Aop]],Data[],S$1)/Jedinica,"")</f>
        <v/>
      </c>
      <c r="T124" s="39" t="str">
        <f>IF(VLOOKUP(T$2&amp;Income_Statement[[#This Row],[Aop]],Data[],1)=T$2&amp;Income_Statement[[#This Row],[Aop]],VLOOKUP(T$2&amp;Income_Statement[[#This Row],[Aop]],Data[],T$1)/Jedinica,"")</f>
        <v/>
      </c>
    </row>
    <row r="125" spans="1:20" ht="12.75" customHeight="1" x14ac:dyDescent="0.2">
      <c r="A125" s="74">
        <v>225</v>
      </c>
      <c r="B125" s="74">
        <v>3</v>
      </c>
      <c r="C125" s="79" t="str">
        <f>VLOOKUP(Income_Statement[[#This Row],[No]],AOP_Balance,3,0)</f>
        <v>311</v>
      </c>
      <c r="D125" s="52" t="str">
        <f>VLOOKUP(Income_Statement[[#This Row],[No]],AOP_Balance,7,0)</f>
        <v xml:space="preserve">      d) Ostali gubici utvrđeni direktno u kapitalu</v>
      </c>
      <c r="E125" s="39" t="str">
        <f>IF(VLOOKUP(E$2&amp;Income_Statement[[#This Row],[Aop]],Data[],1)=E$2&amp;Income_Statement[[#This Row],[Aop]],VLOOKUP(E$2&amp;Income_Statement[[#This Row],[Aop]],Data[],E$1)/Jedinica,"")</f>
        <v/>
      </c>
      <c r="F125" s="39" t="str">
        <f>IF(VLOOKUP(F$2&amp;Income_Statement[[#This Row],[Aop]],Data[],1)=F$2&amp;Income_Statement[[#This Row],[Aop]],VLOOKUP(F$2&amp;Income_Statement[[#This Row],[Aop]],Data[],F$1)/Jedinica,"")</f>
        <v/>
      </c>
      <c r="G125" s="39" t="str">
        <f>IF(VLOOKUP(G$2&amp;Income_Statement[[#This Row],[Aop]],Data[],1)=G$2&amp;Income_Statement[[#This Row],[Aop]],VLOOKUP(G$2&amp;Income_Statement[[#This Row],[Aop]],Data[],G$1)/Jedinica,"")</f>
        <v/>
      </c>
      <c r="H125" s="39" t="str">
        <f>IF(VLOOKUP(H$2&amp;Income_Statement[[#This Row],[Aop]],Data[],1)=H$2&amp;Income_Statement[[#This Row],[Aop]],VLOOKUP(H$2&amp;Income_Statement[[#This Row],[Aop]],Data[],H$1)/Jedinica,"")</f>
        <v/>
      </c>
      <c r="I125" s="39" t="str">
        <f>IF(VLOOKUP(I$2&amp;Income_Statement[[#This Row],[Aop]],Data[],1)=I$2&amp;Income_Statement[[#This Row],[Aop]],VLOOKUP(I$2&amp;Income_Statement[[#This Row],[Aop]],Data[],I$1)/Jedinica,"")</f>
        <v/>
      </c>
      <c r="J125" s="39" t="str">
        <f>IF(VLOOKUP(J$2&amp;Income_Statement[[#This Row],[Aop]],Data[],1)=J$2&amp;Income_Statement[[#This Row],[Aop]],VLOOKUP(J$2&amp;Income_Statement[[#This Row],[Aop]],Data[],J$1)/Jedinica,"")</f>
        <v/>
      </c>
      <c r="K125" s="39" t="str">
        <f>IF(VLOOKUP(K$2&amp;Income_Statement[[#This Row],[Aop]],Data[],1)=K$2&amp;Income_Statement[[#This Row],[Aop]],VLOOKUP(K$2&amp;Income_Statement[[#This Row],[Aop]],Data[],K$1)/Jedinica,"")</f>
        <v/>
      </c>
      <c r="L125" s="39" t="str">
        <f>IF(VLOOKUP(L$2&amp;Income_Statement[[#This Row],[Aop]],Data[],1)=L$2&amp;Income_Statement[[#This Row],[Aop]],VLOOKUP(L$2&amp;Income_Statement[[#This Row],[Aop]],Data[],L$1)/Jedinica,"")</f>
        <v/>
      </c>
      <c r="M125" s="39" t="str">
        <f>IF(VLOOKUP(M$2&amp;Income_Statement[[#This Row],[Aop]],Data[],1)=M$2&amp;Income_Statement[[#This Row],[Aop]],VLOOKUP(M$2&amp;Income_Statement[[#This Row],[Aop]],Data[],M$1)/Jedinica,"")</f>
        <v/>
      </c>
      <c r="N125" s="39" t="str">
        <f>IF(VLOOKUP(N$2&amp;Income_Statement[[#This Row],[Aop]],Data[],1)=N$2&amp;Income_Statement[[#This Row],[Aop]],VLOOKUP(N$2&amp;Income_Statement[[#This Row],[Aop]],Data[],N$1)/Jedinica,"")</f>
        <v/>
      </c>
      <c r="O125" s="39" t="str">
        <f>IF(VLOOKUP(O$2&amp;Income_Statement[[#This Row],[Aop]],Data[],1)=O$2&amp;Income_Statement[[#This Row],[Aop]],VLOOKUP(O$2&amp;Income_Statement[[#This Row],[Aop]],Data[],O$1)/Jedinica,"")</f>
        <v/>
      </c>
      <c r="P125" s="39" t="str">
        <f>IF(VLOOKUP(P$2&amp;Income_Statement[[#This Row],[Aop]],Data[],1)=P$2&amp;Income_Statement[[#This Row],[Aop]],VLOOKUP(P$2&amp;Income_Statement[[#This Row],[Aop]],Data[],P$1)/Jedinica,"")</f>
        <v/>
      </c>
      <c r="Q125" s="39" t="str">
        <f>IF(VLOOKUP(Q$2&amp;Income_Statement[[#This Row],[Aop]],Data[],1)=Q$2&amp;Income_Statement[[#This Row],[Aop]],VLOOKUP(Q$2&amp;Income_Statement[[#This Row],[Aop]],Data[],Q$1)/Jedinica,"")</f>
        <v/>
      </c>
      <c r="R125" s="39" t="str">
        <f>IF(VLOOKUP(R$2&amp;Income_Statement[[#This Row],[Aop]],Data[],1)=R$2&amp;Income_Statement[[#This Row],[Aop]],VLOOKUP(R$2&amp;Income_Statement[[#This Row],[Aop]],Data[],R$1)/Jedinica,"")</f>
        <v/>
      </c>
      <c r="S125" s="39">
        <f>IF(VLOOKUP(S$2&amp;Income_Statement[[#This Row],[Aop]],Data[],1)=S$2&amp;Income_Statement[[#This Row],[Aop]],VLOOKUP(S$2&amp;Income_Statement[[#This Row],[Aop]],Data[],S$1)/Jedinica,"")</f>
        <v>3069</v>
      </c>
      <c r="T125" s="39">
        <f>IF(VLOOKUP(T$2&amp;Income_Statement[[#This Row],[Aop]],Data[],1)=T$2&amp;Income_Statement[[#This Row],[Aop]],VLOOKUP(T$2&amp;Income_Statement[[#This Row],[Aop]],Data[],T$1)/Jedinica,"")</f>
        <v>5387</v>
      </c>
    </row>
    <row r="126" spans="1:20" ht="25.5" customHeight="1" x14ac:dyDescent="0.2">
      <c r="A126" s="74">
        <v>226</v>
      </c>
      <c r="B126" s="74">
        <v>1</v>
      </c>
      <c r="C126" s="78" t="str">
        <f>VLOOKUP(Income_Statement[[#This Row],[No]],AOP_Balance,3,0)</f>
        <v>312</v>
      </c>
      <c r="D126" s="52" t="str">
        <f>VLOOKUP(Income_Statement[[#This Row],[No]],AOP_Balance,7,0)</f>
        <v xml:space="preserve">  LJ. NETO DOBICI ILI NETO GUBICI PO OSNOVU OSTALOG UKUPNOG REZULTATA U PERIODU (299 – 306) ili (306 – 299)</v>
      </c>
      <c r="E126" s="39" t="str">
        <f>IF(VLOOKUP(E$2&amp;Income_Statement[[#This Row],[Aop]],Data[],1)=E$2&amp;Income_Statement[[#This Row],[Aop]],VLOOKUP(E$2&amp;Income_Statement[[#This Row],[Aop]],Data[],E$1)/Jedinica,"")</f>
        <v/>
      </c>
      <c r="F126" s="39" t="str">
        <f>IF(VLOOKUP(F$2&amp;Income_Statement[[#This Row],[Aop]],Data[],1)=F$2&amp;Income_Statement[[#This Row],[Aop]],VLOOKUP(F$2&amp;Income_Statement[[#This Row],[Aop]],Data[],F$1)/Jedinica,"")</f>
        <v/>
      </c>
      <c r="G126" s="39" t="str">
        <f>IF(VLOOKUP(G$2&amp;Income_Statement[[#This Row],[Aop]],Data[],1)=G$2&amp;Income_Statement[[#This Row],[Aop]],VLOOKUP(G$2&amp;Income_Statement[[#This Row],[Aop]],Data[],G$1)/Jedinica,"")</f>
        <v/>
      </c>
      <c r="H126" s="39" t="str">
        <f>IF(VLOOKUP(H$2&amp;Income_Statement[[#This Row],[Aop]],Data[],1)=H$2&amp;Income_Statement[[#This Row],[Aop]],VLOOKUP(H$2&amp;Income_Statement[[#This Row],[Aop]],Data[],H$1)/Jedinica,"")</f>
        <v/>
      </c>
      <c r="I126" s="39" t="str">
        <f>IF(VLOOKUP(I$2&amp;Income_Statement[[#This Row],[Aop]],Data[],1)=I$2&amp;Income_Statement[[#This Row],[Aop]],VLOOKUP(I$2&amp;Income_Statement[[#This Row],[Aop]],Data[],I$1)/Jedinica,"")</f>
        <v/>
      </c>
      <c r="J126" s="39" t="str">
        <f>IF(VLOOKUP(J$2&amp;Income_Statement[[#This Row],[Aop]],Data[],1)=J$2&amp;Income_Statement[[#This Row],[Aop]],VLOOKUP(J$2&amp;Income_Statement[[#This Row],[Aop]],Data[],J$1)/Jedinica,"")</f>
        <v/>
      </c>
      <c r="K126" s="39" t="str">
        <f>IF(VLOOKUP(K$2&amp;Income_Statement[[#This Row],[Aop]],Data[],1)=K$2&amp;Income_Statement[[#This Row],[Aop]],VLOOKUP(K$2&amp;Income_Statement[[#This Row],[Aop]],Data[],K$1)/Jedinica,"")</f>
        <v/>
      </c>
      <c r="L126" s="39" t="str">
        <f>IF(VLOOKUP(L$2&amp;Income_Statement[[#This Row],[Aop]],Data[],1)=L$2&amp;Income_Statement[[#This Row],[Aop]],VLOOKUP(L$2&amp;Income_Statement[[#This Row],[Aop]],Data[],L$1)/Jedinica,"")</f>
        <v/>
      </c>
      <c r="M126" s="39" t="str">
        <f>IF(VLOOKUP(M$2&amp;Income_Statement[[#This Row],[Aop]],Data[],1)=M$2&amp;Income_Statement[[#This Row],[Aop]],VLOOKUP(M$2&amp;Income_Statement[[#This Row],[Aop]],Data[],M$1)/Jedinica,"")</f>
        <v/>
      </c>
      <c r="N126" s="39" t="str">
        <f>IF(VLOOKUP(N$2&amp;Income_Statement[[#This Row],[Aop]],Data[],1)=N$2&amp;Income_Statement[[#This Row],[Aop]],VLOOKUP(N$2&amp;Income_Statement[[#This Row],[Aop]],Data[],N$1)/Jedinica,"")</f>
        <v/>
      </c>
      <c r="O126" s="39" t="str">
        <f>IF(VLOOKUP(O$2&amp;Income_Statement[[#This Row],[Aop]],Data[],1)=O$2&amp;Income_Statement[[#This Row],[Aop]],VLOOKUP(O$2&amp;Income_Statement[[#This Row],[Aop]],Data[],O$1)/Jedinica,"")</f>
        <v/>
      </c>
      <c r="P126" s="39" t="str">
        <f>IF(VLOOKUP(P$2&amp;Income_Statement[[#This Row],[Aop]],Data[],1)=P$2&amp;Income_Statement[[#This Row],[Aop]],VLOOKUP(P$2&amp;Income_Statement[[#This Row],[Aop]],Data[],P$1)/Jedinica,"")</f>
        <v/>
      </c>
      <c r="Q126" s="39" t="str">
        <f>IF(VLOOKUP(Q$2&amp;Income_Statement[[#This Row],[Aop]],Data[],1)=Q$2&amp;Income_Statement[[#This Row],[Aop]],VLOOKUP(Q$2&amp;Income_Statement[[#This Row],[Aop]],Data[],Q$1)/Jedinica,"")</f>
        <v/>
      </c>
      <c r="R126" s="39" t="str">
        <f>IF(VLOOKUP(R$2&amp;Income_Statement[[#This Row],[Aop]],Data[],1)=R$2&amp;Income_Statement[[#This Row],[Aop]],VLOOKUP(R$2&amp;Income_Statement[[#This Row],[Aop]],Data[],R$1)/Jedinica,"")</f>
        <v/>
      </c>
      <c r="S126" s="39">
        <f>IF(VLOOKUP(S$2&amp;Income_Statement[[#This Row],[Aop]],Data[],1)=S$2&amp;Income_Statement[[#This Row],[Aop]],VLOOKUP(S$2&amp;Income_Statement[[#This Row],[Aop]],Data[],S$1)/Jedinica,"")</f>
        <v>642822</v>
      </c>
      <c r="T126" s="39">
        <f>IF(VLOOKUP(T$2&amp;Income_Statement[[#This Row],[Aop]],Data[],1)=T$2&amp;Income_Statement[[#This Row],[Aop]],VLOOKUP(T$2&amp;Income_Statement[[#This Row],[Aop]],Data[],T$1)/Jedinica,"")</f>
        <v>629168</v>
      </c>
    </row>
    <row r="127" spans="1:20" ht="12.75" customHeight="1" x14ac:dyDescent="0.2">
      <c r="A127" s="74">
        <v>227</v>
      </c>
      <c r="B127" s="74">
        <v>1</v>
      </c>
      <c r="C127" s="78" t="str">
        <f>VLOOKUP(Income_Statement[[#This Row],[No]],AOP_Balance,3,0)</f>
        <v>313</v>
      </c>
      <c r="D127" s="52" t="str">
        <f>VLOOKUP(Income_Statement[[#This Row],[No]],AOP_Balance,7,0)</f>
        <v xml:space="preserve">  N. POREZ NA DOBIT KOJI SE ODNOSI NA OSTALI UKUPAN REZULTAT</v>
      </c>
      <c r="E127" s="39" t="str">
        <f>IF(VLOOKUP(E$2&amp;Income_Statement[[#This Row],[Aop]],Data[],1)=E$2&amp;Income_Statement[[#This Row],[Aop]],VLOOKUP(E$2&amp;Income_Statement[[#This Row],[Aop]],Data[],E$1)/Jedinica,"")</f>
        <v/>
      </c>
      <c r="F127" s="39" t="str">
        <f>IF(VLOOKUP(F$2&amp;Income_Statement[[#This Row],[Aop]],Data[],1)=F$2&amp;Income_Statement[[#This Row],[Aop]],VLOOKUP(F$2&amp;Income_Statement[[#This Row],[Aop]],Data[],F$1)/Jedinica,"")</f>
        <v/>
      </c>
      <c r="G127" s="39" t="str">
        <f>IF(VLOOKUP(G$2&amp;Income_Statement[[#This Row],[Aop]],Data[],1)=G$2&amp;Income_Statement[[#This Row],[Aop]],VLOOKUP(G$2&amp;Income_Statement[[#This Row],[Aop]],Data[],G$1)/Jedinica,"")</f>
        <v/>
      </c>
      <c r="H127" s="39" t="str">
        <f>IF(VLOOKUP(H$2&amp;Income_Statement[[#This Row],[Aop]],Data[],1)=H$2&amp;Income_Statement[[#This Row],[Aop]],VLOOKUP(H$2&amp;Income_Statement[[#This Row],[Aop]],Data[],H$1)/Jedinica,"")</f>
        <v/>
      </c>
      <c r="I127" s="39" t="str">
        <f>IF(VLOOKUP(I$2&amp;Income_Statement[[#This Row],[Aop]],Data[],1)=I$2&amp;Income_Statement[[#This Row],[Aop]],VLOOKUP(I$2&amp;Income_Statement[[#This Row],[Aop]],Data[],I$1)/Jedinica,"")</f>
        <v/>
      </c>
      <c r="J127" s="39" t="str">
        <f>IF(VLOOKUP(J$2&amp;Income_Statement[[#This Row],[Aop]],Data[],1)=J$2&amp;Income_Statement[[#This Row],[Aop]],VLOOKUP(J$2&amp;Income_Statement[[#This Row],[Aop]],Data[],J$1)/Jedinica,"")</f>
        <v/>
      </c>
      <c r="K127" s="39" t="str">
        <f>IF(VLOOKUP(K$2&amp;Income_Statement[[#This Row],[Aop]],Data[],1)=K$2&amp;Income_Statement[[#This Row],[Aop]],VLOOKUP(K$2&amp;Income_Statement[[#This Row],[Aop]],Data[],K$1)/Jedinica,"")</f>
        <v/>
      </c>
      <c r="L127" s="39" t="str">
        <f>IF(VLOOKUP(L$2&amp;Income_Statement[[#This Row],[Aop]],Data[],1)=L$2&amp;Income_Statement[[#This Row],[Aop]],VLOOKUP(L$2&amp;Income_Statement[[#This Row],[Aop]],Data[],L$1)/Jedinica,"")</f>
        <v/>
      </c>
      <c r="M127" s="39" t="str">
        <f>IF(VLOOKUP(M$2&amp;Income_Statement[[#This Row],[Aop]],Data[],1)=M$2&amp;Income_Statement[[#This Row],[Aop]],VLOOKUP(M$2&amp;Income_Statement[[#This Row],[Aop]],Data[],M$1)/Jedinica,"")</f>
        <v/>
      </c>
      <c r="N127" s="39" t="str">
        <f>IF(VLOOKUP(N$2&amp;Income_Statement[[#This Row],[Aop]],Data[],1)=N$2&amp;Income_Statement[[#This Row],[Aop]],VLOOKUP(N$2&amp;Income_Statement[[#This Row],[Aop]],Data[],N$1)/Jedinica,"")</f>
        <v/>
      </c>
      <c r="O127" s="39" t="str">
        <f>IF(VLOOKUP(O$2&amp;Income_Statement[[#This Row],[Aop]],Data[],1)=O$2&amp;Income_Statement[[#This Row],[Aop]],VLOOKUP(O$2&amp;Income_Statement[[#This Row],[Aop]],Data[],O$1)/Jedinica,"")</f>
        <v/>
      </c>
      <c r="P127" s="39" t="str">
        <f>IF(VLOOKUP(P$2&amp;Income_Statement[[#This Row],[Aop]],Data[],1)=P$2&amp;Income_Statement[[#This Row],[Aop]],VLOOKUP(P$2&amp;Income_Statement[[#This Row],[Aop]],Data[],P$1)/Jedinica,"")</f>
        <v/>
      </c>
      <c r="Q127" s="39" t="str">
        <f>IF(VLOOKUP(Q$2&amp;Income_Statement[[#This Row],[Aop]],Data[],1)=Q$2&amp;Income_Statement[[#This Row],[Aop]],VLOOKUP(Q$2&amp;Income_Statement[[#This Row],[Aop]],Data[],Q$1)/Jedinica,"")</f>
        <v/>
      </c>
      <c r="R127" s="39" t="str">
        <f>IF(VLOOKUP(R$2&amp;Income_Statement[[#This Row],[Aop]],Data[],1)=R$2&amp;Income_Statement[[#This Row],[Aop]],VLOOKUP(R$2&amp;Income_Statement[[#This Row],[Aop]],Data[],R$1)/Jedinica,"")</f>
        <v/>
      </c>
      <c r="S127" s="39">
        <f>IF(VLOOKUP(S$2&amp;Income_Statement[[#This Row],[Aop]],Data[],1)=S$2&amp;Income_Statement[[#This Row],[Aop]],VLOOKUP(S$2&amp;Income_Statement[[#This Row],[Aop]],Data[],S$1)/Jedinica,"")</f>
        <v>64282</v>
      </c>
      <c r="T127" s="39">
        <f>IF(VLOOKUP(T$2&amp;Income_Statement[[#This Row],[Aop]],Data[],1)=T$2&amp;Income_Statement[[#This Row],[Aop]],VLOOKUP(T$2&amp;Income_Statement[[#This Row],[Aop]],Data[],T$1)/Jedinica,"")</f>
        <v>62916</v>
      </c>
    </row>
    <row r="128" spans="1:20" ht="12.75" customHeight="1" x14ac:dyDescent="0.2">
      <c r="A128" s="74">
        <v>228</v>
      </c>
      <c r="B128" s="74">
        <v>1</v>
      </c>
      <c r="C128" s="78" t="str">
        <f>VLOOKUP(Income_Statement[[#This Row],[No]],AOP_Balance,3,0)</f>
        <v>314</v>
      </c>
      <c r="D128" s="52" t="str">
        <f>VLOOKUP(Income_Statement[[#This Row],[No]],AOP_Balance,7,0)</f>
        <v xml:space="preserve">  NJ. OSTALI UKUPAN REZULTAT U PERIODU (312 ± 313)</v>
      </c>
      <c r="E128" s="39" t="str">
        <f>IF(VLOOKUP(E$2&amp;Income_Statement[[#This Row],[Aop]],Data[],1)=E$2&amp;Income_Statement[[#This Row],[Aop]],VLOOKUP(E$2&amp;Income_Statement[[#This Row],[Aop]],Data[],E$1)/Jedinica,"")</f>
        <v/>
      </c>
      <c r="F128" s="39" t="str">
        <f>IF(VLOOKUP(F$2&amp;Income_Statement[[#This Row],[Aop]],Data[],1)=F$2&amp;Income_Statement[[#This Row],[Aop]],VLOOKUP(F$2&amp;Income_Statement[[#This Row],[Aop]],Data[],F$1)/Jedinica,"")</f>
        <v/>
      </c>
      <c r="G128" s="39" t="str">
        <f>IF(VLOOKUP(G$2&amp;Income_Statement[[#This Row],[Aop]],Data[],1)=G$2&amp;Income_Statement[[#This Row],[Aop]],VLOOKUP(G$2&amp;Income_Statement[[#This Row],[Aop]],Data[],G$1)/Jedinica,"")</f>
        <v/>
      </c>
      <c r="H128" s="39" t="str">
        <f>IF(VLOOKUP(H$2&amp;Income_Statement[[#This Row],[Aop]],Data[],1)=H$2&amp;Income_Statement[[#This Row],[Aop]],VLOOKUP(H$2&amp;Income_Statement[[#This Row],[Aop]],Data[],H$1)/Jedinica,"")</f>
        <v/>
      </c>
      <c r="I128" s="39" t="str">
        <f>IF(VLOOKUP(I$2&amp;Income_Statement[[#This Row],[Aop]],Data[],1)=I$2&amp;Income_Statement[[#This Row],[Aop]],VLOOKUP(I$2&amp;Income_Statement[[#This Row],[Aop]],Data[],I$1)/Jedinica,"")</f>
        <v/>
      </c>
      <c r="J128" s="39" t="str">
        <f>IF(VLOOKUP(J$2&amp;Income_Statement[[#This Row],[Aop]],Data[],1)=J$2&amp;Income_Statement[[#This Row],[Aop]],VLOOKUP(J$2&amp;Income_Statement[[#This Row],[Aop]],Data[],J$1)/Jedinica,"")</f>
        <v/>
      </c>
      <c r="K128" s="39" t="str">
        <f>IF(VLOOKUP(K$2&amp;Income_Statement[[#This Row],[Aop]],Data[],1)=K$2&amp;Income_Statement[[#This Row],[Aop]],VLOOKUP(K$2&amp;Income_Statement[[#This Row],[Aop]],Data[],K$1)/Jedinica,"")</f>
        <v/>
      </c>
      <c r="L128" s="39" t="str">
        <f>IF(VLOOKUP(L$2&amp;Income_Statement[[#This Row],[Aop]],Data[],1)=L$2&amp;Income_Statement[[#This Row],[Aop]],VLOOKUP(L$2&amp;Income_Statement[[#This Row],[Aop]],Data[],L$1)/Jedinica,"")</f>
        <v/>
      </c>
      <c r="M128" s="39" t="str">
        <f>IF(VLOOKUP(M$2&amp;Income_Statement[[#This Row],[Aop]],Data[],1)=M$2&amp;Income_Statement[[#This Row],[Aop]],VLOOKUP(M$2&amp;Income_Statement[[#This Row],[Aop]],Data[],M$1)/Jedinica,"")</f>
        <v/>
      </c>
      <c r="N128" s="39" t="str">
        <f>IF(VLOOKUP(N$2&amp;Income_Statement[[#This Row],[Aop]],Data[],1)=N$2&amp;Income_Statement[[#This Row],[Aop]],VLOOKUP(N$2&amp;Income_Statement[[#This Row],[Aop]],Data[],N$1)/Jedinica,"")</f>
        <v/>
      </c>
      <c r="O128" s="39" t="str">
        <f>IF(VLOOKUP(O$2&amp;Income_Statement[[#This Row],[Aop]],Data[],1)=O$2&amp;Income_Statement[[#This Row],[Aop]],VLOOKUP(O$2&amp;Income_Statement[[#This Row],[Aop]],Data[],O$1)/Jedinica,"")</f>
        <v/>
      </c>
      <c r="P128" s="39" t="str">
        <f>IF(VLOOKUP(P$2&amp;Income_Statement[[#This Row],[Aop]],Data[],1)=P$2&amp;Income_Statement[[#This Row],[Aop]],VLOOKUP(P$2&amp;Income_Statement[[#This Row],[Aop]],Data[],P$1)/Jedinica,"")</f>
        <v/>
      </c>
      <c r="Q128" s="39" t="str">
        <f>IF(VLOOKUP(Q$2&amp;Income_Statement[[#This Row],[Aop]],Data[],1)=Q$2&amp;Income_Statement[[#This Row],[Aop]],VLOOKUP(Q$2&amp;Income_Statement[[#This Row],[Aop]],Data[],Q$1)/Jedinica,"")</f>
        <v/>
      </c>
      <c r="R128" s="39" t="str">
        <f>IF(VLOOKUP(R$2&amp;Income_Statement[[#This Row],[Aop]],Data[],1)=R$2&amp;Income_Statement[[#This Row],[Aop]],VLOOKUP(R$2&amp;Income_Statement[[#This Row],[Aop]],Data[],R$1)/Jedinica,"")</f>
        <v/>
      </c>
      <c r="S128" s="39">
        <f>IF(VLOOKUP(S$2&amp;Income_Statement[[#This Row],[Aop]],Data[],1)=S$2&amp;Income_Statement[[#This Row],[Aop]],VLOOKUP(S$2&amp;Income_Statement[[#This Row],[Aop]],Data[],S$1)/Jedinica,"")</f>
        <v>578540</v>
      </c>
      <c r="T128" s="39">
        <f>IF(VLOOKUP(T$2&amp;Income_Statement[[#This Row],[Aop]],Data[],1)=T$2&amp;Income_Statement[[#This Row],[Aop]],VLOOKUP(T$2&amp;Income_Statement[[#This Row],[Aop]],Data[],T$1)/Jedinica,"")</f>
        <v>566252</v>
      </c>
    </row>
    <row r="129" spans="1:20" ht="12.75" customHeight="1" x14ac:dyDescent="0.2">
      <c r="A129" s="74">
        <v>229</v>
      </c>
      <c r="B129" s="74">
        <v>1</v>
      </c>
      <c r="C129" s="78" t="str">
        <f>VLOOKUP(Income_Statement[[#This Row],[No]],AOP_Balance,3,0)</f>
        <v/>
      </c>
      <c r="D129" s="52" t="str">
        <f>VLOOKUP(Income_Statement[[#This Row],[No]],AOP_Balance,7,0)</f>
        <v xml:space="preserve">  O. UKUPAN REZULTAT ZA OBRAČUNSKI PERIOD</v>
      </c>
      <c r="E129" s="39" t="e">
        <f>IF(VLOOKUP(E$2&amp;Income_Statement[[#This Row],[Aop]],Data[],1)=E$2&amp;Income_Statement[[#This Row],[Aop]],VLOOKUP(E$2&amp;Income_Statement[[#This Row],[Aop]],Data[],E$1)/Jedinica,"")</f>
        <v>#N/A</v>
      </c>
      <c r="F129" s="39" t="e">
        <f>IF(VLOOKUP(F$2&amp;Income_Statement[[#This Row],[Aop]],Data[],1)=F$2&amp;Income_Statement[[#This Row],[Aop]],VLOOKUP(F$2&amp;Income_Statement[[#This Row],[Aop]],Data[],F$1)/Jedinica,"")</f>
        <v>#N/A</v>
      </c>
      <c r="G129" s="39" t="str">
        <f>IF(VLOOKUP(G$2&amp;Income_Statement[[#This Row],[Aop]],Data[],1)=G$2&amp;Income_Statement[[#This Row],[Aop]],VLOOKUP(G$2&amp;Income_Statement[[#This Row],[Aop]],Data[],G$1)/Jedinica,"")</f>
        <v/>
      </c>
      <c r="H129" s="39" t="str">
        <f>IF(VLOOKUP(H$2&amp;Income_Statement[[#This Row],[Aop]],Data[],1)=H$2&amp;Income_Statement[[#This Row],[Aop]],VLOOKUP(H$2&amp;Income_Statement[[#This Row],[Aop]],Data[],H$1)/Jedinica,"")</f>
        <v/>
      </c>
      <c r="I129" s="39" t="str">
        <f>IF(VLOOKUP(I$2&amp;Income_Statement[[#This Row],[Aop]],Data[],1)=I$2&amp;Income_Statement[[#This Row],[Aop]],VLOOKUP(I$2&amp;Income_Statement[[#This Row],[Aop]],Data[],I$1)/Jedinica,"")</f>
        <v/>
      </c>
      <c r="J129" s="39" t="str">
        <f>IF(VLOOKUP(J$2&amp;Income_Statement[[#This Row],[Aop]],Data[],1)=J$2&amp;Income_Statement[[#This Row],[Aop]],VLOOKUP(J$2&amp;Income_Statement[[#This Row],[Aop]],Data[],J$1)/Jedinica,"")</f>
        <v/>
      </c>
      <c r="K129" s="39" t="str">
        <f>IF(VLOOKUP(K$2&amp;Income_Statement[[#This Row],[Aop]],Data[],1)=K$2&amp;Income_Statement[[#This Row],[Aop]],VLOOKUP(K$2&amp;Income_Statement[[#This Row],[Aop]],Data[],K$1)/Jedinica,"")</f>
        <v/>
      </c>
      <c r="L129" s="39" t="str">
        <f>IF(VLOOKUP(L$2&amp;Income_Statement[[#This Row],[Aop]],Data[],1)=L$2&amp;Income_Statement[[#This Row],[Aop]],VLOOKUP(L$2&amp;Income_Statement[[#This Row],[Aop]],Data[],L$1)/Jedinica,"")</f>
        <v/>
      </c>
      <c r="M129" s="39" t="str">
        <f>IF(VLOOKUP(M$2&amp;Income_Statement[[#This Row],[Aop]],Data[],1)=M$2&amp;Income_Statement[[#This Row],[Aop]],VLOOKUP(M$2&amp;Income_Statement[[#This Row],[Aop]],Data[],M$1)/Jedinica,"")</f>
        <v/>
      </c>
      <c r="N129" s="39" t="str">
        <f>IF(VLOOKUP(N$2&amp;Income_Statement[[#This Row],[Aop]],Data[],1)=N$2&amp;Income_Statement[[#This Row],[Aop]],VLOOKUP(N$2&amp;Income_Statement[[#This Row],[Aop]],Data[],N$1)/Jedinica,"")</f>
        <v/>
      </c>
      <c r="O129" s="39" t="str">
        <f>IF(VLOOKUP(O$2&amp;Income_Statement[[#This Row],[Aop]],Data[],1)=O$2&amp;Income_Statement[[#This Row],[Aop]],VLOOKUP(O$2&amp;Income_Statement[[#This Row],[Aop]],Data[],O$1)/Jedinica,"")</f>
        <v/>
      </c>
      <c r="P129" s="39" t="str">
        <f>IF(VLOOKUP(P$2&amp;Income_Statement[[#This Row],[Aop]],Data[],1)=P$2&amp;Income_Statement[[#This Row],[Aop]],VLOOKUP(P$2&amp;Income_Statement[[#This Row],[Aop]],Data[],P$1)/Jedinica,"")</f>
        <v/>
      </c>
      <c r="Q129" s="39" t="str">
        <f>IF(VLOOKUP(Q$2&amp;Income_Statement[[#This Row],[Aop]],Data[],1)=Q$2&amp;Income_Statement[[#This Row],[Aop]],VLOOKUP(Q$2&amp;Income_Statement[[#This Row],[Aop]],Data[],Q$1)/Jedinica,"")</f>
        <v/>
      </c>
      <c r="R129" s="39" t="str">
        <f>IF(VLOOKUP(R$2&amp;Income_Statement[[#This Row],[Aop]],Data[],1)=R$2&amp;Income_Statement[[#This Row],[Aop]],VLOOKUP(R$2&amp;Income_Statement[[#This Row],[Aop]],Data[],R$1)/Jedinica,"")</f>
        <v/>
      </c>
      <c r="S129" s="39" t="str">
        <f>IF(VLOOKUP(S$2&amp;Income_Statement[[#This Row],[Aop]],Data[],1)=S$2&amp;Income_Statement[[#This Row],[Aop]],VLOOKUP(S$2&amp;Income_Statement[[#This Row],[Aop]],Data[],S$1)/Jedinica,"")</f>
        <v/>
      </c>
      <c r="T129" s="39" t="str">
        <f>IF(VLOOKUP(T$2&amp;Income_Statement[[#This Row],[Aop]],Data[],1)=T$2&amp;Income_Statement[[#This Row],[Aop]],VLOOKUP(T$2&amp;Income_Statement[[#This Row],[Aop]],Data[],T$1)/Jedinica,"")</f>
        <v/>
      </c>
    </row>
    <row r="130" spans="1:20" ht="12.75" customHeight="1" x14ac:dyDescent="0.2">
      <c r="A130" s="74">
        <v>230</v>
      </c>
      <c r="B130" s="74">
        <v>2</v>
      </c>
      <c r="C130" s="78" t="str">
        <f>VLOOKUP(Income_Statement[[#This Row],[No]],AOP_Balance,3,0)</f>
        <v>315</v>
      </c>
      <c r="D130" s="52" t="str">
        <f>VLOOKUP(Income_Statement[[#This Row],[No]],AOP_Balance,7,0)</f>
        <v xml:space="preserve">    1. Ukupan neto dobitak u obračunskom periodu (297 ± 314)</v>
      </c>
      <c r="E130" s="39">
        <f>IF(VLOOKUP(E$2&amp;Income_Statement[[#This Row],[Aop]],Data[],1)=E$2&amp;Income_Statement[[#This Row],[Aop]],VLOOKUP(E$2&amp;Income_Statement[[#This Row],[Aop]],Data[],E$1)/Jedinica,"")</f>
        <v>168871</v>
      </c>
      <c r="F130" s="39">
        <f>IF(VLOOKUP(F$2&amp;Income_Statement[[#This Row],[Aop]],Data[],1)=F$2&amp;Income_Statement[[#This Row],[Aop]],VLOOKUP(F$2&amp;Income_Statement[[#This Row],[Aop]],Data[],F$1)/Jedinica,"")</f>
        <v>549441</v>
      </c>
      <c r="G130" s="39">
        <f>IF(VLOOKUP(G$2&amp;Income_Statement[[#This Row],[Aop]],Data[],1)=G$2&amp;Income_Statement[[#This Row],[Aop]],VLOOKUP(G$2&amp;Income_Statement[[#This Row],[Aop]],Data[],G$1)/Jedinica,"")</f>
        <v>0</v>
      </c>
      <c r="H130" s="39">
        <f>IF(VLOOKUP(H$2&amp;Income_Statement[[#This Row],[Aop]],Data[],1)=H$2&amp;Income_Statement[[#This Row],[Aop]],VLOOKUP(H$2&amp;Income_Statement[[#This Row],[Aop]],Data[],H$1)/Jedinica,"")</f>
        <v>649707</v>
      </c>
      <c r="I130" s="39">
        <f>IF(VLOOKUP(I$2&amp;Income_Statement[[#This Row],[Aop]],Data[],1)=I$2&amp;Income_Statement[[#This Row],[Aop]],VLOOKUP(I$2&amp;Income_Statement[[#This Row],[Aop]],Data[],I$1)/Jedinica,"")</f>
        <v>142492</v>
      </c>
      <c r="J130" s="39">
        <f>IF(VLOOKUP(J$2&amp;Income_Statement[[#This Row],[Aop]],Data[],1)=J$2&amp;Income_Statement[[#This Row],[Aop]],VLOOKUP(J$2&amp;Income_Statement[[#This Row],[Aop]],Data[],J$1)/Jedinica,"")</f>
        <v>93297</v>
      </c>
      <c r="K130" s="39">
        <f>IF(VLOOKUP(K$2&amp;Income_Statement[[#This Row],[Aop]],Data[],1)=K$2&amp;Income_Statement[[#This Row],[Aop]],VLOOKUP(K$2&amp;Income_Statement[[#This Row],[Aop]],Data[],K$1)/Jedinica,"")</f>
        <v>669182</v>
      </c>
      <c r="L130" s="39">
        <f>IF(VLOOKUP(L$2&amp;Income_Statement[[#This Row],[Aop]],Data[],1)=L$2&amp;Income_Statement[[#This Row],[Aop]],VLOOKUP(L$2&amp;Income_Statement[[#This Row],[Aop]],Data[],L$1)/Jedinica,"")</f>
        <v>1323770</v>
      </c>
      <c r="M130" s="39">
        <f>IF(VLOOKUP(M$2&amp;Income_Statement[[#This Row],[Aop]],Data[],1)=M$2&amp;Income_Statement[[#This Row],[Aop]],VLOOKUP(M$2&amp;Income_Statement[[#This Row],[Aop]],Data[],M$1)/Jedinica,"")</f>
        <v>5055524</v>
      </c>
      <c r="N130" s="39">
        <f>IF(VLOOKUP(N$2&amp;Income_Statement[[#This Row],[Aop]],Data[],1)=N$2&amp;Income_Statement[[#This Row],[Aop]],VLOOKUP(N$2&amp;Income_Statement[[#This Row],[Aop]],Data[],N$1)/Jedinica,"")</f>
        <v>6066994</v>
      </c>
      <c r="O130" s="39">
        <f>IF(VLOOKUP(O$2&amp;Income_Statement[[#This Row],[Aop]],Data[],1)=O$2&amp;Income_Statement[[#This Row],[Aop]],VLOOKUP(O$2&amp;Income_Statement[[#This Row],[Aop]],Data[],O$1)/Jedinica,"")</f>
        <v>669182</v>
      </c>
      <c r="P130" s="39">
        <f>IF(VLOOKUP(P$2&amp;Income_Statement[[#This Row],[Aop]],Data[],1)=P$2&amp;Income_Statement[[#This Row],[Aop]],VLOOKUP(P$2&amp;Income_Statement[[#This Row],[Aop]],Data[],P$1)/Jedinica,"")</f>
        <v>1323770</v>
      </c>
      <c r="Q130" s="39">
        <f>IF(VLOOKUP(Q$2&amp;Income_Statement[[#This Row],[Aop]],Data[],1)=Q$2&amp;Income_Statement[[#This Row],[Aop]],VLOOKUP(Q$2&amp;Income_Statement[[#This Row],[Aop]],Data[],Q$1)/Jedinica,"")</f>
        <v>170521</v>
      </c>
      <c r="R130" s="39">
        <f>IF(VLOOKUP(R$2&amp;Income_Statement[[#This Row],[Aop]],Data[],1)=R$2&amp;Income_Statement[[#This Row],[Aop]],VLOOKUP(R$2&amp;Income_Statement[[#This Row],[Aop]],Data[],R$1)/Jedinica,"")</f>
        <v>155144</v>
      </c>
      <c r="S130" s="39">
        <f>IF(VLOOKUP(S$2&amp;Income_Statement[[#This Row],[Aop]],Data[],1)=S$2&amp;Income_Statement[[#This Row],[Aop]],VLOOKUP(S$2&amp;Income_Statement[[#This Row],[Aop]],Data[],S$1)/Jedinica,"")</f>
        <v>7486190</v>
      </c>
      <c r="T130" s="39">
        <f>IF(VLOOKUP(T$2&amp;Income_Statement[[#This Row],[Aop]],Data[],1)=T$2&amp;Income_Statement[[#This Row],[Aop]],VLOOKUP(T$2&amp;Income_Statement[[#This Row],[Aop]],Data[],T$1)/Jedinica,"")</f>
        <v>6727192</v>
      </c>
    </row>
    <row r="131" spans="1:20" ht="12.75" customHeight="1" x14ac:dyDescent="0.2">
      <c r="A131" s="74">
        <v>231</v>
      </c>
      <c r="B131" s="74">
        <v>2</v>
      </c>
      <c r="C131" s="78" t="str">
        <f>VLOOKUP(Income_Statement[[#This Row],[No]],AOP_Balance,3,0)</f>
        <v>316</v>
      </c>
      <c r="D131" s="52" t="str">
        <f>VLOOKUP(Income_Statement[[#This Row],[No]],AOP_Balance,7,0)</f>
        <v xml:space="preserve">    2. Ukupan neto gubitak u obračunskom periodu (298 ± 314)</v>
      </c>
      <c r="E131" s="39" t="str">
        <f>IF(VLOOKUP(E$2&amp;Income_Statement[[#This Row],[Aop]],Data[],1)=E$2&amp;Income_Statement[[#This Row],[Aop]],VLOOKUP(E$2&amp;Income_Statement[[#This Row],[Aop]],Data[],E$1)/Jedinica,"")</f>
        <v/>
      </c>
      <c r="F131" s="39" t="str">
        <f>IF(VLOOKUP(F$2&amp;Income_Statement[[#This Row],[Aop]],Data[],1)=F$2&amp;Income_Statement[[#This Row],[Aop]],VLOOKUP(F$2&amp;Income_Statement[[#This Row],[Aop]],Data[],F$1)/Jedinica,"")</f>
        <v/>
      </c>
      <c r="G131" s="39">
        <f>IF(VLOOKUP(G$2&amp;Income_Statement[[#This Row],[Aop]],Data[],1)=G$2&amp;Income_Statement[[#This Row],[Aop]],VLOOKUP(G$2&amp;Income_Statement[[#This Row],[Aop]],Data[],G$1)/Jedinica,"")</f>
        <v>394595</v>
      </c>
      <c r="H131" s="39">
        <f>IF(VLOOKUP(H$2&amp;Income_Statement[[#This Row],[Aop]],Data[],1)=H$2&amp;Income_Statement[[#This Row],[Aop]],VLOOKUP(H$2&amp;Income_Statement[[#This Row],[Aop]],Data[],H$1)/Jedinica,"")</f>
        <v>0</v>
      </c>
      <c r="I131" s="39" t="str">
        <f>IF(VLOOKUP(I$2&amp;Income_Statement[[#This Row],[Aop]],Data[],1)=I$2&amp;Income_Statement[[#This Row],[Aop]],VLOOKUP(I$2&amp;Income_Statement[[#This Row],[Aop]],Data[],I$1)/Jedinica,"")</f>
        <v/>
      </c>
      <c r="J131" s="39" t="str">
        <f>IF(VLOOKUP(J$2&amp;Income_Statement[[#This Row],[Aop]],Data[],1)=J$2&amp;Income_Statement[[#This Row],[Aop]],VLOOKUP(J$2&amp;Income_Statement[[#This Row],[Aop]],Data[],J$1)/Jedinica,"")</f>
        <v/>
      </c>
      <c r="K131" s="39" t="str">
        <f>IF(VLOOKUP(K$2&amp;Income_Statement[[#This Row],[Aop]],Data[],1)=K$2&amp;Income_Statement[[#This Row],[Aop]],VLOOKUP(K$2&amp;Income_Statement[[#This Row],[Aop]],Data[],K$1)/Jedinica,"")</f>
        <v/>
      </c>
      <c r="L131" s="39" t="str">
        <f>IF(VLOOKUP(L$2&amp;Income_Statement[[#This Row],[Aop]],Data[],1)=L$2&amp;Income_Statement[[#This Row],[Aop]],VLOOKUP(L$2&amp;Income_Statement[[#This Row],[Aop]],Data[],L$1)/Jedinica,"")</f>
        <v/>
      </c>
      <c r="M131" s="39" t="str">
        <f>IF(VLOOKUP(M$2&amp;Income_Statement[[#This Row],[Aop]],Data[],1)=M$2&amp;Income_Statement[[#This Row],[Aop]],VLOOKUP(M$2&amp;Income_Statement[[#This Row],[Aop]],Data[],M$1)/Jedinica,"")</f>
        <v/>
      </c>
      <c r="N131" s="39" t="str">
        <f>IF(VLOOKUP(N$2&amp;Income_Statement[[#This Row],[Aop]],Data[],1)=N$2&amp;Income_Statement[[#This Row],[Aop]],VLOOKUP(N$2&amp;Income_Statement[[#This Row],[Aop]],Data[],N$1)/Jedinica,"")</f>
        <v/>
      </c>
      <c r="O131" s="39" t="str">
        <f>IF(VLOOKUP(O$2&amp;Income_Statement[[#This Row],[Aop]],Data[],1)=O$2&amp;Income_Statement[[#This Row],[Aop]],VLOOKUP(O$2&amp;Income_Statement[[#This Row],[Aop]],Data[],O$1)/Jedinica,"")</f>
        <v/>
      </c>
      <c r="P131" s="39" t="str">
        <f>IF(VLOOKUP(P$2&amp;Income_Statement[[#This Row],[Aop]],Data[],1)=P$2&amp;Income_Statement[[#This Row],[Aop]],VLOOKUP(P$2&amp;Income_Statement[[#This Row],[Aop]],Data[],P$1)/Jedinica,"")</f>
        <v/>
      </c>
      <c r="Q131" s="39" t="str">
        <f>IF(VLOOKUP(Q$2&amp;Income_Statement[[#This Row],[Aop]],Data[],1)=Q$2&amp;Income_Statement[[#This Row],[Aop]],VLOOKUP(Q$2&amp;Income_Statement[[#This Row],[Aop]],Data[],Q$1)/Jedinica,"")</f>
        <v/>
      </c>
      <c r="R131" s="39" t="str">
        <f>IF(VLOOKUP(R$2&amp;Income_Statement[[#This Row],[Aop]],Data[],1)=R$2&amp;Income_Statement[[#This Row],[Aop]],VLOOKUP(R$2&amp;Income_Statement[[#This Row],[Aop]],Data[],R$1)/Jedinica,"")</f>
        <v/>
      </c>
      <c r="S131" s="39" t="str">
        <f>IF(VLOOKUP(S$2&amp;Income_Statement[[#This Row],[Aop]],Data[],1)=S$2&amp;Income_Statement[[#This Row],[Aop]],VLOOKUP(S$2&amp;Income_Statement[[#This Row],[Aop]],Data[],S$1)/Jedinica,"")</f>
        <v/>
      </c>
      <c r="T131" s="39" t="str">
        <f>IF(VLOOKUP(T$2&amp;Income_Statement[[#This Row],[Aop]],Data[],1)=T$2&amp;Income_Statement[[#This Row],[Aop]],VLOOKUP(T$2&amp;Income_Statement[[#This Row],[Aop]],Data[],T$1)/Jedinica,"")</f>
        <v/>
      </c>
    </row>
    <row r="132" spans="1:20" ht="12.75" customHeight="1" x14ac:dyDescent="0.2">
      <c r="A132" s="74">
        <v>232</v>
      </c>
      <c r="B132" s="74">
        <v>3</v>
      </c>
      <c r="C132" s="79" t="str">
        <f>VLOOKUP(Income_Statement[[#This Row],[No]],AOP_Balance,3,0)</f>
        <v>317</v>
      </c>
      <c r="D132" s="52" t="str">
        <f>VLOOKUP(Income_Statement[[#This Row],[No]],AOP_Balance,7,0)</f>
        <v xml:space="preserve">      Dio neto dobiti/gubitka koji pripada većinskim vlasnicima</v>
      </c>
      <c r="E132" s="39">
        <f>IF(VLOOKUP(E$2&amp;Income_Statement[[#This Row],[Aop]],Data[],1)=E$2&amp;Income_Statement[[#This Row],[Aop]],VLOOKUP(E$2&amp;Income_Statement[[#This Row],[Aop]],Data[],E$1)/Jedinica,"")</f>
        <v>161114</v>
      </c>
      <c r="F132" s="39">
        <f>IF(VLOOKUP(F$2&amp;Income_Statement[[#This Row],[Aop]],Data[],1)=F$2&amp;Income_Statement[[#This Row],[Aop]],VLOOKUP(F$2&amp;Income_Statement[[#This Row],[Aop]],Data[],F$1)/Jedinica,"")</f>
        <v>524202</v>
      </c>
      <c r="G132" s="39" t="str">
        <f>IF(VLOOKUP(G$2&amp;Income_Statement[[#This Row],[Aop]],Data[],1)=G$2&amp;Income_Statement[[#This Row],[Aop]],VLOOKUP(G$2&amp;Income_Statement[[#This Row],[Aop]],Data[],G$1)/Jedinica,"")</f>
        <v/>
      </c>
      <c r="H132" s="39" t="str">
        <f>IF(VLOOKUP(H$2&amp;Income_Statement[[#This Row],[Aop]],Data[],1)=H$2&amp;Income_Statement[[#This Row],[Aop]],VLOOKUP(H$2&amp;Income_Statement[[#This Row],[Aop]],Data[],H$1)/Jedinica,"")</f>
        <v/>
      </c>
      <c r="I132" s="39" t="str">
        <f>IF(VLOOKUP(I$2&amp;Income_Statement[[#This Row],[Aop]],Data[],1)=I$2&amp;Income_Statement[[#This Row],[Aop]],VLOOKUP(I$2&amp;Income_Statement[[#This Row],[Aop]],Data[],I$1)/Jedinica,"")</f>
        <v/>
      </c>
      <c r="J132" s="39" t="str">
        <f>IF(VLOOKUP(J$2&amp;Income_Statement[[#This Row],[Aop]],Data[],1)=J$2&amp;Income_Statement[[#This Row],[Aop]],VLOOKUP(J$2&amp;Income_Statement[[#This Row],[Aop]],Data[],J$1)/Jedinica,"")</f>
        <v/>
      </c>
      <c r="K132" s="39">
        <f>IF(VLOOKUP(K$2&amp;Income_Statement[[#This Row],[Aop]],Data[],1)=K$2&amp;Income_Statement[[#This Row],[Aop]],VLOOKUP(K$2&amp;Income_Statement[[#This Row],[Aop]],Data[],K$1)/Jedinica,"")</f>
        <v>669171</v>
      </c>
      <c r="L132" s="39">
        <f>IF(VLOOKUP(L$2&amp;Income_Statement[[#This Row],[Aop]],Data[],1)=L$2&amp;Income_Statement[[#This Row],[Aop]],VLOOKUP(L$2&amp;Income_Statement[[#This Row],[Aop]],Data[],L$1)/Jedinica,"")</f>
        <v>1323770</v>
      </c>
      <c r="M132" s="39" t="str">
        <f>IF(VLOOKUP(M$2&amp;Income_Statement[[#This Row],[Aop]],Data[],1)=M$2&amp;Income_Statement[[#This Row],[Aop]],VLOOKUP(M$2&amp;Income_Statement[[#This Row],[Aop]],Data[],M$1)/Jedinica,"")</f>
        <v/>
      </c>
      <c r="N132" s="39" t="str">
        <f>IF(VLOOKUP(N$2&amp;Income_Statement[[#This Row],[Aop]],Data[],1)=N$2&amp;Income_Statement[[#This Row],[Aop]],VLOOKUP(N$2&amp;Income_Statement[[#This Row],[Aop]],Data[],N$1)/Jedinica,"")</f>
        <v/>
      </c>
      <c r="O132" s="39">
        <f>IF(VLOOKUP(O$2&amp;Income_Statement[[#This Row],[Aop]],Data[],1)=O$2&amp;Income_Statement[[#This Row],[Aop]],VLOOKUP(O$2&amp;Income_Statement[[#This Row],[Aop]],Data[],O$1)/Jedinica,"")</f>
        <v>669171</v>
      </c>
      <c r="P132" s="39">
        <f>IF(VLOOKUP(P$2&amp;Income_Statement[[#This Row],[Aop]],Data[],1)=P$2&amp;Income_Statement[[#This Row],[Aop]],VLOOKUP(P$2&amp;Income_Statement[[#This Row],[Aop]],Data[],P$1)/Jedinica,"")</f>
        <v>1323770</v>
      </c>
      <c r="Q132" s="39">
        <f>IF(VLOOKUP(Q$2&amp;Income_Statement[[#This Row],[Aop]],Data[],1)=Q$2&amp;Income_Statement[[#This Row],[Aop]],VLOOKUP(Q$2&amp;Income_Statement[[#This Row],[Aop]],Data[],Q$1)/Jedinica,"")</f>
        <v>106848</v>
      </c>
      <c r="R132" s="39">
        <f>IF(VLOOKUP(R$2&amp;Income_Statement[[#This Row],[Aop]],Data[],1)=R$2&amp;Income_Statement[[#This Row],[Aop]],VLOOKUP(R$2&amp;Income_Statement[[#This Row],[Aop]],Data[],R$1)/Jedinica,"")</f>
        <v>148426</v>
      </c>
      <c r="S132" s="39" t="str">
        <f>IF(VLOOKUP(S$2&amp;Income_Statement[[#This Row],[Aop]],Data[],1)=S$2&amp;Income_Statement[[#This Row],[Aop]],VLOOKUP(S$2&amp;Income_Statement[[#This Row],[Aop]],Data[],S$1)/Jedinica,"")</f>
        <v/>
      </c>
      <c r="T132" s="39" t="str">
        <f>IF(VLOOKUP(T$2&amp;Income_Statement[[#This Row],[Aop]],Data[],1)=T$2&amp;Income_Statement[[#This Row],[Aop]],VLOOKUP(T$2&amp;Income_Statement[[#This Row],[Aop]],Data[],T$1)/Jedinica,"")</f>
        <v/>
      </c>
    </row>
    <row r="133" spans="1:20" ht="12.75" customHeight="1" x14ac:dyDescent="0.2">
      <c r="A133" s="74">
        <v>233</v>
      </c>
      <c r="B133" s="80">
        <v>3</v>
      </c>
      <c r="C133" s="81" t="str">
        <f>VLOOKUP(Income_Statement[[#This Row],[No]],AOP_Balance,3,0)</f>
        <v>318</v>
      </c>
      <c r="D133" s="68" t="str">
        <f>VLOOKUP(Income_Statement[[#This Row],[No]],AOP_Balance,7,0)</f>
        <v xml:space="preserve">      Dio neto dobiti/gubitka koji pripada manjinskim vlasnicima</v>
      </c>
      <c r="E133" s="69">
        <f>IF(VLOOKUP(E$2&amp;Income_Statement[[#This Row],[Aop]],Data[],1)=E$2&amp;Income_Statement[[#This Row],[Aop]],VLOOKUP(E$2&amp;Income_Statement[[#This Row],[Aop]],Data[],E$1)/Jedinica,"")</f>
        <v>7757</v>
      </c>
      <c r="F133" s="69">
        <f>IF(VLOOKUP(F$2&amp;Income_Statement[[#This Row],[Aop]],Data[],1)=F$2&amp;Income_Statement[[#This Row],[Aop]],VLOOKUP(F$2&amp;Income_Statement[[#This Row],[Aop]],Data[],F$1)/Jedinica,"")</f>
        <v>25239</v>
      </c>
      <c r="G133" s="69">
        <f>IF(VLOOKUP(G$2&amp;Income_Statement[[#This Row],[Aop]],Data[],1)=G$2&amp;Income_Statement[[#This Row],[Aop]],VLOOKUP(G$2&amp;Income_Statement[[#This Row],[Aop]],Data[],G$1)/Jedinica,"")</f>
        <v>218</v>
      </c>
      <c r="H133" s="69">
        <f>IF(VLOOKUP(H$2&amp;Income_Statement[[#This Row],[Aop]],Data[],1)=H$2&amp;Income_Statement[[#This Row],[Aop]],VLOOKUP(H$2&amp;Income_Statement[[#This Row],[Aop]],Data[],H$1)/Jedinica,"")</f>
        <v>219</v>
      </c>
      <c r="I133" s="69" t="str">
        <f>IF(VLOOKUP(I$2&amp;Income_Statement[[#This Row],[Aop]],Data[],1)=I$2&amp;Income_Statement[[#This Row],[Aop]],VLOOKUP(I$2&amp;Income_Statement[[#This Row],[Aop]],Data[],I$1)/Jedinica,"")</f>
        <v/>
      </c>
      <c r="J133" s="69" t="str">
        <f>IF(VLOOKUP(J$2&amp;Income_Statement[[#This Row],[Aop]],Data[],1)=J$2&amp;Income_Statement[[#This Row],[Aop]],VLOOKUP(J$2&amp;Income_Statement[[#This Row],[Aop]],Data[],J$1)/Jedinica,"")</f>
        <v/>
      </c>
      <c r="K133" s="69" t="str">
        <f>IF(VLOOKUP(K$2&amp;Income_Statement[[#This Row],[Aop]],Data[],1)=K$2&amp;Income_Statement[[#This Row],[Aop]],VLOOKUP(K$2&amp;Income_Statement[[#This Row],[Aop]],Data[],K$1)/Jedinica,"")</f>
        <v/>
      </c>
      <c r="L133" s="69" t="str">
        <f>IF(VLOOKUP(L$2&amp;Income_Statement[[#This Row],[Aop]],Data[],1)=L$2&amp;Income_Statement[[#This Row],[Aop]],VLOOKUP(L$2&amp;Income_Statement[[#This Row],[Aop]],Data[],L$1)/Jedinica,"")</f>
        <v/>
      </c>
      <c r="M133" s="69" t="str">
        <f>IF(VLOOKUP(M$2&amp;Income_Statement[[#This Row],[Aop]],Data[],1)=M$2&amp;Income_Statement[[#This Row],[Aop]],VLOOKUP(M$2&amp;Income_Statement[[#This Row],[Aop]],Data[],M$1)/Jedinica,"")</f>
        <v/>
      </c>
      <c r="N133" s="69" t="str">
        <f>IF(VLOOKUP(N$2&amp;Income_Statement[[#This Row],[Aop]],Data[],1)=N$2&amp;Income_Statement[[#This Row],[Aop]],VLOOKUP(N$2&amp;Income_Statement[[#This Row],[Aop]],Data[],N$1)/Jedinica,"")</f>
        <v/>
      </c>
      <c r="O133" s="69" t="str">
        <f>IF(VLOOKUP(O$2&amp;Income_Statement[[#This Row],[Aop]],Data[],1)=O$2&amp;Income_Statement[[#This Row],[Aop]],VLOOKUP(O$2&amp;Income_Statement[[#This Row],[Aop]],Data[],O$1)/Jedinica,"")</f>
        <v/>
      </c>
      <c r="P133" s="69" t="str">
        <f>IF(VLOOKUP(P$2&amp;Income_Statement[[#This Row],[Aop]],Data[],1)=P$2&amp;Income_Statement[[#This Row],[Aop]],VLOOKUP(P$2&amp;Income_Statement[[#This Row],[Aop]],Data[],P$1)/Jedinica,"")</f>
        <v/>
      </c>
      <c r="Q133" s="69">
        <f>IF(VLOOKUP(Q$2&amp;Income_Statement[[#This Row],[Aop]],Data[],1)=Q$2&amp;Income_Statement[[#This Row],[Aop]],VLOOKUP(Q$2&amp;Income_Statement[[#This Row],[Aop]],Data[],Q$1)/Jedinica,"")</f>
        <v>63672</v>
      </c>
      <c r="R133" s="69">
        <f>IF(VLOOKUP(R$2&amp;Income_Statement[[#This Row],[Aop]],Data[],1)=R$2&amp;Income_Statement[[#This Row],[Aop]],VLOOKUP(R$2&amp;Income_Statement[[#This Row],[Aop]],Data[],R$1)/Jedinica,"")</f>
        <v>6718</v>
      </c>
      <c r="S133" s="69" t="str">
        <f>IF(VLOOKUP(S$2&amp;Income_Statement[[#This Row],[Aop]],Data[],1)=S$2&amp;Income_Statement[[#This Row],[Aop]],VLOOKUP(S$2&amp;Income_Statement[[#This Row],[Aop]],Data[],S$1)/Jedinica,"")</f>
        <v/>
      </c>
      <c r="T133" s="69" t="str">
        <f>IF(VLOOKUP(T$2&amp;Income_Statement[[#This Row],[Aop]],Data[],1)=T$2&amp;Income_Statement[[#This Row],[Aop]],VLOOKUP(T$2&amp;Income_Statement[[#This Row],[Aop]],Data[],T$1)/Jedinica,"")</f>
        <v/>
      </c>
    </row>
    <row r="134" spans="1:20" ht="12.75" customHeight="1" x14ac:dyDescent="0.2">
      <c r="A134" s="74">
        <v>234</v>
      </c>
      <c r="B134" s="80">
        <v>3</v>
      </c>
      <c r="C134" s="81" t="str">
        <f>VLOOKUP(Income_Statement[[#This Row],[No]],AOP_Balance,3,0)</f>
        <v>319</v>
      </c>
      <c r="D134" s="68" t="str">
        <f>VLOOKUP(Income_Statement[[#This Row],[No]],AOP_Balance,7,0)</f>
        <v xml:space="preserve">      Obična zarada po akciji</v>
      </c>
      <c r="E134" s="69">
        <f>IF(VLOOKUP(E$2&amp;Income_Statement[[#This Row],[Aop]],Data[],1)=E$2&amp;Income_Statement[[#This Row],[Aop]],VLOOKUP(E$2&amp;Income_Statement[[#This Row],[Aop]],Data[],E$1)/Jedinica,"")</f>
        <v>18</v>
      </c>
      <c r="F134" s="69">
        <f>IF(VLOOKUP(F$2&amp;Income_Statement[[#This Row],[Aop]],Data[],1)=F$2&amp;Income_Statement[[#This Row],[Aop]],VLOOKUP(F$2&amp;Income_Statement[[#This Row],[Aop]],Data[],F$1)/Jedinica,"")</f>
        <v>59</v>
      </c>
      <c r="G134" s="69" t="str">
        <f>IF(VLOOKUP(G$2&amp;Income_Statement[[#This Row],[Aop]],Data[],1)=G$2&amp;Income_Statement[[#This Row],[Aop]],VLOOKUP(G$2&amp;Income_Statement[[#This Row],[Aop]],Data[],G$1)/Jedinica,"")</f>
        <v/>
      </c>
      <c r="H134" s="69" t="str">
        <f>IF(VLOOKUP(H$2&amp;Income_Statement[[#This Row],[Aop]],Data[],1)=H$2&amp;Income_Statement[[#This Row],[Aop]],VLOOKUP(H$2&amp;Income_Statement[[#This Row],[Aop]],Data[],H$1)/Jedinica,"")</f>
        <v/>
      </c>
      <c r="I134" s="69" t="str">
        <f>IF(VLOOKUP(I$2&amp;Income_Statement[[#This Row],[Aop]],Data[],1)=I$2&amp;Income_Statement[[#This Row],[Aop]],VLOOKUP(I$2&amp;Income_Statement[[#This Row],[Aop]],Data[],I$1)/Jedinica,"")</f>
        <v/>
      </c>
      <c r="J134" s="69" t="str">
        <f>IF(VLOOKUP(J$2&amp;Income_Statement[[#This Row],[Aop]],Data[],1)=J$2&amp;Income_Statement[[#This Row],[Aop]],VLOOKUP(J$2&amp;Income_Statement[[#This Row],[Aop]],Data[],J$1)/Jedinica,"")</f>
        <v/>
      </c>
      <c r="K134" s="69" t="str">
        <f>IF(VLOOKUP(K$2&amp;Income_Statement[[#This Row],[Aop]],Data[],1)=K$2&amp;Income_Statement[[#This Row],[Aop]],VLOOKUP(K$2&amp;Income_Statement[[#This Row],[Aop]],Data[],K$1)/Jedinica,"")</f>
        <v/>
      </c>
      <c r="L134" s="69" t="str">
        <f>IF(VLOOKUP(L$2&amp;Income_Statement[[#This Row],[Aop]],Data[],1)=L$2&amp;Income_Statement[[#This Row],[Aop]],VLOOKUP(L$2&amp;Income_Statement[[#This Row],[Aop]],Data[],L$1)/Jedinica,"")</f>
        <v/>
      </c>
      <c r="M134" s="69" t="str">
        <f>IF(VLOOKUP(M$2&amp;Income_Statement[[#This Row],[Aop]],Data[],1)=M$2&amp;Income_Statement[[#This Row],[Aop]],VLOOKUP(M$2&amp;Income_Statement[[#This Row],[Aop]],Data[],M$1)/Jedinica,"")</f>
        <v/>
      </c>
      <c r="N134" s="69" t="str">
        <f>IF(VLOOKUP(N$2&amp;Income_Statement[[#This Row],[Aop]],Data[],1)=N$2&amp;Income_Statement[[#This Row],[Aop]],VLOOKUP(N$2&amp;Income_Statement[[#This Row],[Aop]],Data[],N$1)/Jedinica,"")</f>
        <v/>
      </c>
      <c r="O134" s="69" t="str">
        <f>IF(VLOOKUP(O$2&amp;Income_Statement[[#This Row],[Aop]],Data[],1)=O$2&amp;Income_Statement[[#This Row],[Aop]],VLOOKUP(O$2&amp;Income_Statement[[#This Row],[Aop]],Data[],O$1)/Jedinica,"")</f>
        <v/>
      </c>
      <c r="P134" s="69" t="str">
        <f>IF(VLOOKUP(P$2&amp;Income_Statement[[#This Row],[Aop]],Data[],1)=P$2&amp;Income_Statement[[#This Row],[Aop]],VLOOKUP(P$2&amp;Income_Statement[[#This Row],[Aop]],Data[],P$1)/Jedinica,"")</f>
        <v/>
      </c>
      <c r="Q134" s="69" t="str">
        <f>IF(VLOOKUP(Q$2&amp;Income_Statement[[#This Row],[Aop]],Data[],1)=Q$2&amp;Income_Statement[[#This Row],[Aop]],VLOOKUP(Q$2&amp;Income_Statement[[#This Row],[Aop]],Data[],Q$1)/Jedinica,"")</f>
        <v/>
      </c>
      <c r="R134" s="69" t="str">
        <f>IF(VLOOKUP(R$2&amp;Income_Statement[[#This Row],[Aop]],Data[],1)=R$2&amp;Income_Statement[[#This Row],[Aop]],VLOOKUP(R$2&amp;Income_Statement[[#This Row],[Aop]],Data[],R$1)/Jedinica,"")</f>
        <v/>
      </c>
      <c r="S134" s="69">
        <f>IF(VLOOKUP(S$2&amp;Income_Statement[[#This Row],[Aop]],Data[],1)=S$2&amp;Income_Statement[[#This Row],[Aop]],VLOOKUP(S$2&amp;Income_Statement[[#This Row],[Aop]],Data[],S$1)/Jedinica,"")</f>
        <v>223</v>
      </c>
      <c r="T134" s="69">
        <f>IF(VLOOKUP(T$2&amp;Income_Statement[[#This Row],[Aop]],Data[],1)=T$2&amp;Income_Statement[[#This Row],[Aop]],VLOOKUP(T$2&amp;Income_Statement[[#This Row],[Aop]],Data[],T$1)/Jedinica,"")</f>
        <v>198</v>
      </c>
    </row>
    <row r="135" spans="1:20" ht="12.75" customHeight="1" x14ac:dyDescent="0.2">
      <c r="A135" s="74">
        <v>235</v>
      </c>
      <c r="B135" s="80">
        <v>3</v>
      </c>
      <c r="C135" s="81" t="str">
        <f>VLOOKUP(Income_Statement[[#This Row],[No]],AOP_Balance,3,0)</f>
        <v>320</v>
      </c>
      <c r="D135" s="68" t="str">
        <f>VLOOKUP(Income_Statement[[#This Row],[No]],AOP_Balance,7,0)</f>
        <v xml:space="preserve">      Razrijeđena zarada po akciji</v>
      </c>
      <c r="E135" s="69" t="str">
        <f>IF(VLOOKUP(E$2&amp;Income_Statement[[#This Row],[Aop]],Data[],1)=E$2&amp;Income_Statement[[#This Row],[Aop]],VLOOKUP(E$2&amp;Income_Statement[[#This Row],[Aop]],Data[],E$1)/Jedinica,"")</f>
        <v/>
      </c>
      <c r="F135" s="69" t="str">
        <f>IF(VLOOKUP(F$2&amp;Income_Statement[[#This Row],[Aop]],Data[],1)=F$2&amp;Income_Statement[[#This Row],[Aop]],VLOOKUP(F$2&amp;Income_Statement[[#This Row],[Aop]],Data[],F$1)/Jedinica,"")</f>
        <v/>
      </c>
      <c r="G135" s="69" t="str">
        <f>IF(VLOOKUP(G$2&amp;Income_Statement[[#This Row],[Aop]],Data[],1)=G$2&amp;Income_Statement[[#This Row],[Aop]],VLOOKUP(G$2&amp;Income_Statement[[#This Row],[Aop]],Data[],G$1)/Jedinica,"")</f>
        <v/>
      </c>
      <c r="H135" s="69" t="str">
        <f>IF(VLOOKUP(H$2&amp;Income_Statement[[#This Row],[Aop]],Data[],1)=H$2&amp;Income_Statement[[#This Row],[Aop]],VLOOKUP(H$2&amp;Income_Statement[[#This Row],[Aop]],Data[],H$1)/Jedinica,"")</f>
        <v/>
      </c>
      <c r="I135" s="69" t="str">
        <f>IF(VLOOKUP(I$2&amp;Income_Statement[[#This Row],[Aop]],Data[],1)=I$2&amp;Income_Statement[[#This Row],[Aop]],VLOOKUP(I$2&amp;Income_Statement[[#This Row],[Aop]],Data[],I$1)/Jedinica,"")</f>
        <v/>
      </c>
      <c r="J135" s="69" t="str">
        <f>IF(VLOOKUP(J$2&amp;Income_Statement[[#This Row],[Aop]],Data[],1)=J$2&amp;Income_Statement[[#This Row],[Aop]],VLOOKUP(J$2&amp;Income_Statement[[#This Row],[Aop]],Data[],J$1)/Jedinica,"")</f>
        <v/>
      </c>
      <c r="K135" s="69" t="str">
        <f>IF(VLOOKUP(K$2&amp;Income_Statement[[#This Row],[Aop]],Data[],1)=K$2&amp;Income_Statement[[#This Row],[Aop]],VLOOKUP(K$2&amp;Income_Statement[[#This Row],[Aop]],Data[],K$1)/Jedinica,"")</f>
        <v/>
      </c>
      <c r="L135" s="69" t="str">
        <f>IF(VLOOKUP(L$2&amp;Income_Statement[[#This Row],[Aop]],Data[],1)=L$2&amp;Income_Statement[[#This Row],[Aop]],VLOOKUP(L$2&amp;Income_Statement[[#This Row],[Aop]],Data[],L$1)/Jedinica,"")</f>
        <v/>
      </c>
      <c r="M135" s="69" t="str">
        <f>IF(VLOOKUP(M$2&amp;Income_Statement[[#This Row],[Aop]],Data[],1)=M$2&amp;Income_Statement[[#This Row],[Aop]],VLOOKUP(M$2&amp;Income_Statement[[#This Row],[Aop]],Data[],M$1)/Jedinica,"")</f>
        <v/>
      </c>
      <c r="N135" s="69" t="str">
        <f>IF(VLOOKUP(N$2&amp;Income_Statement[[#This Row],[Aop]],Data[],1)=N$2&amp;Income_Statement[[#This Row],[Aop]],VLOOKUP(N$2&amp;Income_Statement[[#This Row],[Aop]],Data[],N$1)/Jedinica,"")</f>
        <v/>
      </c>
      <c r="O135" s="69" t="str">
        <f>IF(VLOOKUP(O$2&amp;Income_Statement[[#This Row],[Aop]],Data[],1)=O$2&amp;Income_Statement[[#This Row],[Aop]],VLOOKUP(O$2&amp;Income_Statement[[#This Row],[Aop]],Data[],O$1)/Jedinica,"")</f>
        <v/>
      </c>
      <c r="P135" s="69" t="str">
        <f>IF(VLOOKUP(P$2&amp;Income_Statement[[#This Row],[Aop]],Data[],1)=P$2&amp;Income_Statement[[#This Row],[Aop]],VLOOKUP(P$2&amp;Income_Statement[[#This Row],[Aop]],Data[],P$1)/Jedinica,"")</f>
        <v/>
      </c>
      <c r="Q135" s="69" t="str">
        <f>IF(VLOOKUP(Q$2&amp;Income_Statement[[#This Row],[Aop]],Data[],1)=Q$2&amp;Income_Statement[[#This Row],[Aop]],VLOOKUP(Q$2&amp;Income_Statement[[#This Row],[Aop]],Data[],Q$1)/Jedinica,"")</f>
        <v/>
      </c>
      <c r="R135" s="69" t="str">
        <f>IF(VLOOKUP(R$2&amp;Income_Statement[[#This Row],[Aop]],Data[],1)=R$2&amp;Income_Statement[[#This Row],[Aop]],VLOOKUP(R$2&amp;Income_Statement[[#This Row],[Aop]],Data[],R$1)/Jedinica,"")</f>
        <v/>
      </c>
      <c r="S135" s="69" t="str">
        <f>IF(VLOOKUP(S$2&amp;Income_Statement[[#This Row],[Aop]],Data[],1)=S$2&amp;Income_Statement[[#This Row],[Aop]],VLOOKUP(S$2&amp;Income_Statement[[#This Row],[Aop]],Data[],S$1)/Jedinica,"")</f>
        <v/>
      </c>
      <c r="T135" s="69" t="str">
        <f>IF(VLOOKUP(T$2&amp;Income_Statement[[#This Row],[Aop]],Data[],1)=T$2&amp;Income_Statement[[#This Row],[Aop]],VLOOKUP(T$2&amp;Income_Statement[[#This Row],[Aop]],Data[],T$1)/Jedinica,"")</f>
        <v/>
      </c>
    </row>
    <row r="136" spans="1:20" ht="12.75" customHeight="1" x14ac:dyDescent="0.2">
      <c r="A136" s="74">
        <v>236</v>
      </c>
      <c r="B136" s="80">
        <v>1</v>
      </c>
      <c r="C136" s="81" t="str">
        <f>VLOOKUP(Income_Statement[[#This Row],[No]],AOP_Balance,3,0)</f>
        <v>321</v>
      </c>
      <c r="D136" s="68" t="str">
        <f>VLOOKUP(Income_Statement[[#This Row],[No]],AOP_Balance,7,0)</f>
        <v xml:space="preserve">  Prosječan broj zaposlenih na osnovu časova rada</v>
      </c>
      <c r="E136" s="69">
        <f>IF(VLOOKUP(E$2&amp;Income_Statement[[#This Row],[Aop]],Data[],1)=E$2&amp;Income_Statement[[#This Row],[Aop]],VLOOKUP(E$2&amp;Income_Statement[[#This Row],[Aop]],Data[],E$1)/Jedinica,"")</f>
        <v>180</v>
      </c>
      <c r="F136" s="69">
        <f>IF(VLOOKUP(F$2&amp;Income_Statement[[#This Row],[Aop]],Data[],1)=F$2&amp;Income_Statement[[#This Row],[Aop]],VLOOKUP(F$2&amp;Income_Statement[[#This Row],[Aop]],Data[],F$1)/Jedinica,"")</f>
        <v>177</v>
      </c>
      <c r="G136" s="69">
        <f>IF(VLOOKUP(G$2&amp;Income_Statement[[#This Row],[Aop]],Data[],1)=G$2&amp;Income_Statement[[#This Row],[Aop]],VLOOKUP(G$2&amp;Income_Statement[[#This Row],[Aop]],Data[],G$1)/Jedinica,"")</f>
        <v>216</v>
      </c>
      <c r="H136" s="69">
        <f>IF(VLOOKUP(H$2&amp;Income_Statement[[#This Row],[Aop]],Data[],1)=H$2&amp;Income_Statement[[#This Row],[Aop]],VLOOKUP(H$2&amp;Income_Statement[[#This Row],[Aop]],Data[],H$1)/Jedinica,"")</f>
        <v>218</v>
      </c>
      <c r="I136" s="69">
        <f>IF(VLOOKUP(I$2&amp;Income_Statement[[#This Row],[Aop]],Data[],1)=I$2&amp;Income_Statement[[#This Row],[Aop]],VLOOKUP(I$2&amp;Income_Statement[[#This Row],[Aop]],Data[],I$1)/Jedinica,"")</f>
        <v>124</v>
      </c>
      <c r="J136" s="69">
        <f>IF(VLOOKUP(J$2&amp;Income_Statement[[#This Row],[Aop]],Data[],1)=J$2&amp;Income_Statement[[#This Row],[Aop]],VLOOKUP(J$2&amp;Income_Statement[[#This Row],[Aop]],Data[],J$1)/Jedinica,"")</f>
        <v>104</v>
      </c>
      <c r="K136" s="69">
        <f>IF(VLOOKUP(K$2&amp;Income_Statement[[#This Row],[Aop]],Data[],1)=K$2&amp;Income_Statement[[#This Row],[Aop]],VLOOKUP(K$2&amp;Income_Statement[[#This Row],[Aop]],Data[],K$1)/Jedinica,"")</f>
        <v>144</v>
      </c>
      <c r="L136" s="69">
        <f>IF(VLOOKUP(L$2&amp;Income_Statement[[#This Row],[Aop]],Data[],1)=L$2&amp;Income_Statement[[#This Row],[Aop]],VLOOKUP(L$2&amp;Income_Statement[[#This Row],[Aop]],Data[],L$1)/Jedinica,"")</f>
        <v>141</v>
      </c>
      <c r="M136" s="69">
        <f>IF(VLOOKUP(M$2&amp;Income_Statement[[#This Row],[Aop]],Data[],1)=M$2&amp;Income_Statement[[#This Row],[Aop]],VLOOKUP(M$2&amp;Income_Statement[[#This Row],[Aop]],Data[],M$1)/Jedinica,"")</f>
        <v>483</v>
      </c>
      <c r="N136" s="69">
        <f>IF(VLOOKUP(N$2&amp;Income_Statement[[#This Row],[Aop]],Data[],1)=N$2&amp;Income_Statement[[#This Row],[Aop]],VLOOKUP(N$2&amp;Income_Statement[[#This Row],[Aop]],Data[],N$1)/Jedinica,"")</f>
        <v>416</v>
      </c>
      <c r="O136" s="69">
        <f>IF(VLOOKUP(O$2&amp;Income_Statement[[#This Row],[Aop]],Data[],1)=O$2&amp;Income_Statement[[#This Row],[Aop]],VLOOKUP(O$2&amp;Income_Statement[[#This Row],[Aop]],Data[],O$1)/Jedinica,"")</f>
        <v>144</v>
      </c>
      <c r="P136" s="69">
        <f>IF(VLOOKUP(P$2&amp;Income_Statement[[#This Row],[Aop]],Data[],1)=P$2&amp;Income_Statement[[#This Row],[Aop]],VLOOKUP(P$2&amp;Income_Statement[[#This Row],[Aop]],Data[],P$1)/Jedinica,"")</f>
        <v>141</v>
      </c>
      <c r="Q136" s="69">
        <f>IF(VLOOKUP(Q$2&amp;Income_Statement[[#This Row],[Aop]],Data[],1)=Q$2&amp;Income_Statement[[#This Row],[Aop]],VLOOKUP(Q$2&amp;Income_Statement[[#This Row],[Aop]],Data[],Q$1)/Jedinica,"")</f>
        <v>240</v>
      </c>
      <c r="R136" s="69">
        <f>IF(VLOOKUP(R$2&amp;Income_Statement[[#This Row],[Aop]],Data[],1)=R$2&amp;Income_Statement[[#This Row],[Aop]],VLOOKUP(R$2&amp;Income_Statement[[#This Row],[Aop]],Data[],R$1)/Jedinica,"")</f>
        <v>217</v>
      </c>
      <c r="S136" s="69">
        <f>IF(VLOOKUP(S$2&amp;Income_Statement[[#This Row],[Aop]],Data[],1)=S$2&amp;Income_Statement[[#This Row],[Aop]],VLOOKUP(S$2&amp;Income_Statement[[#This Row],[Aop]],Data[],S$1)/Jedinica,"")</f>
        <v>492</v>
      </c>
      <c r="T136" s="69">
        <f>IF(VLOOKUP(T$2&amp;Income_Statement[[#This Row],[Aop]],Data[],1)=T$2&amp;Income_Statement[[#This Row],[Aop]],VLOOKUP(T$2&amp;Income_Statement[[#This Row],[Aop]],Data[],T$1)/Jedinica,"")</f>
        <v>486</v>
      </c>
    </row>
    <row r="137" spans="1:20" ht="12.75" customHeight="1" x14ac:dyDescent="0.2">
      <c r="A137" s="74">
        <v>237</v>
      </c>
      <c r="B137" s="80">
        <v>1</v>
      </c>
      <c r="C137" s="81" t="str">
        <f>VLOOKUP(Income_Statement[[#This Row],[No]],AOP_Balance,3,0)</f>
        <v>322</v>
      </c>
      <c r="D137" s="68" t="str">
        <f>VLOOKUP(Income_Statement[[#This Row],[No]],AOP_Balance,7,0)</f>
        <v xml:space="preserve">  Prosječan broj zaposlenih na osnovu stanja na kraju perioda</v>
      </c>
      <c r="E137" s="69">
        <f>IF(VLOOKUP(E$2&amp;Income_Statement[[#This Row],[Aop]],Data[],1)=E$2&amp;Income_Statement[[#This Row],[Aop]],VLOOKUP(E$2&amp;Income_Statement[[#This Row],[Aop]],Data[],E$1)/Jedinica,"")</f>
        <v>187</v>
      </c>
      <c r="F137" s="69">
        <f>IF(VLOOKUP(F$2&amp;Income_Statement[[#This Row],[Aop]],Data[],1)=F$2&amp;Income_Statement[[#This Row],[Aop]],VLOOKUP(F$2&amp;Income_Statement[[#This Row],[Aop]],Data[],F$1)/Jedinica,"")</f>
        <v>183</v>
      </c>
      <c r="G137" s="69" t="str">
        <f>IF(VLOOKUP(G$2&amp;Income_Statement[[#This Row],[Aop]],Data[],1)=G$2&amp;Income_Statement[[#This Row],[Aop]],VLOOKUP(G$2&amp;Income_Statement[[#This Row],[Aop]],Data[],G$1)/Jedinica,"")</f>
        <v/>
      </c>
      <c r="H137" s="69" t="str">
        <f>IF(VLOOKUP(H$2&amp;Income_Statement[[#This Row],[Aop]],Data[],1)=H$2&amp;Income_Statement[[#This Row],[Aop]],VLOOKUP(H$2&amp;Income_Statement[[#This Row],[Aop]],Data[],H$1)/Jedinica,"")</f>
        <v/>
      </c>
      <c r="I137" s="69" t="str">
        <f>IF(VLOOKUP(I$2&amp;Income_Statement[[#This Row],[Aop]],Data[],1)=I$2&amp;Income_Statement[[#This Row],[Aop]],VLOOKUP(I$2&amp;Income_Statement[[#This Row],[Aop]],Data[],I$1)/Jedinica,"")</f>
        <v/>
      </c>
      <c r="J137" s="69" t="str">
        <f>IF(VLOOKUP(J$2&amp;Income_Statement[[#This Row],[Aop]],Data[],1)=J$2&amp;Income_Statement[[#This Row],[Aop]],VLOOKUP(J$2&amp;Income_Statement[[#This Row],[Aop]],Data[],J$1)/Jedinica,"")</f>
        <v/>
      </c>
      <c r="K137" s="69">
        <f>IF(VLOOKUP(K$2&amp;Income_Statement[[#This Row],[Aop]],Data[],1)=K$2&amp;Income_Statement[[#This Row],[Aop]],VLOOKUP(K$2&amp;Income_Statement[[#This Row],[Aop]],Data[],K$1)/Jedinica,"")</f>
        <v>144</v>
      </c>
      <c r="L137" s="69">
        <f>IF(VLOOKUP(L$2&amp;Income_Statement[[#This Row],[Aop]],Data[],1)=L$2&amp;Income_Statement[[#This Row],[Aop]],VLOOKUP(L$2&amp;Income_Statement[[#This Row],[Aop]],Data[],L$1)/Jedinica,"")</f>
        <v>142</v>
      </c>
      <c r="M137" s="69">
        <f>IF(VLOOKUP(M$2&amp;Income_Statement[[#This Row],[Aop]],Data[],1)=M$2&amp;Income_Statement[[#This Row],[Aop]],VLOOKUP(M$2&amp;Income_Statement[[#This Row],[Aop]],Data[],M$1)/Jedinica,"")</f>
        <v>587</v>
      </c>
      <c r="N137" s="69">
        <f>IF(VLOOKUP(N$2&amp;Income_Statement[[#This Row],[Aop]],Data[],1)=N$2&amp;Income_Statement[[#This Row],[Aop]],VLOOKUP(N$2&amp;Income_Statement[[#This Row],[Aop]],Data[],N$1)/Jedinica,"")</f>
        <v>509</v>
      </c>
      <c r="O137" s="69">
        <f>IF(VLOOKUP(O$2&amp;Income_Statement[[#This Row],[Aop]],Data[],1)=O$2&amp;Income_Statement[[#This Row],[Aop]],VLOOKUP(O$2&amp;Income_Statement[[#This Row],[Aop]],Data[],O$1)/Jedinica,"")</f>
        <v>144</v>
      </c>
      <c r="P137" s="69">
        <f>IF(VLOOKUP(P$2&amp;Income_Statement[[#This Row],[Aop]],Data[],1)=P$2&amp;Income_Statement[[#This Row],[Aop]],VLOOKUP(P$2&amp;Income_Statement[[#This Row],[Aop]],Data[],P$1)/Jedinica,"")</f>
        <v>142</v>
      </c>
      <c r="Q137" s="69">
        <f>IF(VLOOKUP(Q$2&amp;Income_Statement[[#This Row],[Aop]],Data[],1)=Q$2&amp;Income_Statement[[#This Row],[Aop]],VLOOKUP(Q$2&amp;Income_Statement[[#This Row],[Aop]],Data[],Q$1)/Jedinica,"")</f>
        <v>244</v>
      </c>
      <c r="R137" s="69">
        <f>IF(VLOOKUP(R$2&amp;Income_Statement[[#This Row],[Aop]],Data[],1)=R$2&amp;Income_Statement[[#This Row],[Aop]],VLOOKUP(R$2&amp;Income_Statement[[#This Row],[Aop]],Data[],R$1)/Jedinica,"")</f>
        <v>221</v>
      </c>
      <c r="S137" s="69">
        <f>IF(VLOOKUP(S$2&amp;Income_Statement[[#This Row],[Aop]],Data[],1)=S$2&amp;Income_Statement[[#This Row],[Aop]],VLOOKUP(S$2&amp;Income_Statement[[#This Row],[Aop]],Data[],S$1)/Jedinica,"")</f>
        <v>491</v>
      </c>
      <c r="T137" s="69">
        <f>IF(VLOOKUP(T$2&amp;Income_Statement[[#This Row],[Aop]],Data[],1)=T$2&amp;Income_Statement[[#This Row],[Aop]],VLOOKUP(T$2&amp;Income_Statement[[#This Row],[Aop]],Data[],T$1)/Jedinica,"")</f>
        <v>505</v>
      </c>
    </row>
  </sheetData>
  <sheetProtection password="CBEB" sheet="1" objects="1" scenarios="1"/>
  <mergeCells count="8">
    <mergeCell ref="O3:P3"/>
    <mergeCell ref="Q3:R3"/>
    <mergeCell ref="S3:T3"/>
    <mergeCell ref="E3:F3"/>
    <mergeCell ref="G3:H3"/>
    <mergeCell ref="I3:J3"/>
    <mergeCell ref="K3:L3"/>
    <mergeCell ref="M3:N3"/>
  </mergeCells>
  <conditionalFormatting sqref="A6:T137">
    <cfRule type="expression" dxfId="1" priority="1" stopIfTrue="1">
      <formula>$B6&lt;3</formula>
    </cfRule>
  </conditionalFormatting>
  <dataValidations count="1">
    <dataValidation type="list" allowBlank="1" showInputMessage="1" sqref="E3 G3 I3 K3 M3 O3 Q3 S3">
      <formula1>Simbol_Naziv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/>
  </sheetPr>
  <dimension ref="A1:T50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3" sqref="C3"/>
    </sheetView>
  </sheetViews>
  <sheetFormatPr defaultRowHeight="12.75" x14ac:dyDescent="0.2"/>
  <cols>
    <col min="1" max="1" width="5.5703125" style="7" hidden="1" customWidth="1"/>
    <col min="2" max="2" width="7.42578125" style="7" hidden="1" customWidth="1"/>
    <col min="3" max="3" width="7.5703125" style="7" customWidth="1"/>
    <col min="4" max="4" width="81.42578125" style="7" customWidth="1"/>
    <col min="5" max="20" width="14.28515625" style="7" customWidth="1"/>
    <col min="21" max="16384" width="9.140625" style="7"/>
  </cols>
  <sheetData>
    <row r="1" spans="1:20" hidden="1" x14ac:dyDescent="0.2">
      <c r="A1" s="86"/>
      <c r="B1" s="86"/>
      <c r="E1" s="8">
        <v>4</v>
      </c>
      <c r="F1" s="8">
        <v>5</v>
      </c>
      <c r="G1" s="8">
        <v>4</v>
      </c>
      <c r="H1" s="8">
        <v>5</v>
      </c>
      <c r="I1" s="8">
        <v>4</v>
      </c>
      <c r="J1" s="8">
        <v>5</v>
      </c>
      <c r="K1" s="8">
        <v>4</v>
      </c>
      <c r="L1" s="8">
        <v>5</v>
      </c>
      <c r="M1" s="8">
        <v>4</v>
      </c>
      <c r="N1" s="8">
        <v>5</v>
      </c>
      <c r="O1" s="8">
        <v>4</v>
      </c>
      <c r="P1" s="8">
        <v>5</v>
      </c>
      <c r="Q1" s="8">
        <v>4</v>
      </c>
      <c r="R1" s="8">
        <v>5</v>
      </c>
      <c r="S1" s="8">
        <v>4</v>
      </c>
      <c r="T1" s="8">
        <v>5</v>
      </c>
    </row>
    <row r="2" spans="1:20" hidden="1" x14ac:dyDescent="0.2">
      <c r="A2" s="86"/>
      <c r="B2" s="86"/>
      <c r="E2" s="8" t="str">
        <f>LEFT(E3,4)</f>
        <v>BBRB</v>
      </c>
      <c r="F2" s="8" t="str">
        <f>LEFT(E3,4)</f>
        <v>BBRB</v>
      </c>
      <c r="G2" s="8" t="str">
        <f>LEFT(G3,4)</f>
        <v>NBLB</v>
      </c>
      <c r="H2" s="8" t="str">
        <f>LEFT(G3,4)</f>
        <v>NBLB</v>
      </c>
      <c r="I2" s="8" t="str">
        <f>LEFT(I3,4)</f>
        <v>NBLB</v>
      </c>
      <c r="J2" s="8" t="str">
        <f>LEFT(I3,4)</f>
        <v>NBLB</v>
      </c>
      <c r="K2" s="8" t="str">
        <f>LEFT(K3,4)</f>
        <v>NOVB</v>
      </c>
      <c r="L2" s="8" t="str">
        <f>LEFT(K3,4)</f>
        <v>NOVB</v>
      </c>
      <c r="M2" s="8" t="str">
        <f>LEFT(M3,4)</f>
        <v>IEFB</v>
      </c>
      <c r="N2" s="8" t="str">
        <f>LEFT(M3,4)</f>
        <v>IEFB</v>
      </c>
      <c r="O2" s="8" t="str">
        <f>LEFT(O3,4)</f>
        <v>NOVB</v>
      </c>
      <c r="P2" s="8" t="str">
        <f>LEFT(O3,4)</f>
        <v>NOVB</v>
      </c>
      <c r="Q2" s="8" t="str">
        <f>LEFT(Q3,4)</f>
        <v>VBBB</v>
      </c>
      <c r="R2" s="8" t="str">
        <f>LEFT(Q3,4)</f>
        <v>VBBB</v>
      </c>
      <c r="S2" s="8" t="str">
        <f>LEFT(S3,4)</f>
        <v>ZPKB</v>
      </c>
      <c r="T2" s="8" t="str">
        <f>LEFT(S3,4)</f>
        <v>ZPKB</v>
      </c>
    </row>
    <row r="3" spans="1:20" ht="38.25" customHeight="1" x14ac:dyDescent="0.2">
      <c r="A3" s="55" t="s">
        <v>21</v>
      </c>
      <c r="C3" s="72" t="str">
        <f>Current</f>
        <v>2013 (PG)</v>
      </c>
      <c r="D3" s="58" t="str">
        <f>IF(Jezik=2,"Issuer","Emitent")</f>
        <v>Emitent</v>
      </c>
      <c r="E3" s="89" t="s">
        <v>1883</v>
      </c>
      <c r="F3" s="89"/>
      <c r="G3" s="89" t="s">
        <v>1887</v>
      </c>
      <c r="H3" s="89"/>
      <c r="I3" s="89" t="s">
        <v>1887</v>
      </c>
      <c r="J3" s="89"/>
      <c r="K3" s="89" t="s">
        <v>1888</v>
      </c>
      <c r="L3" s="89"/>
      <c r="M3" s="89" t="s">
        <v>1885</v>
      </c>
      <c r="N3" s="89"/>
      <c r="O3" s="89" t="s">
        <v>1888</v>
      </c>
      <c r="P3" s="89"/>
      <c r="Q3" s="89" t="s">
        <v>1889</v>
      </c>
      <c r="R3" s="89"/>
      <c r="S3" s="89" t="s">
        <v>1890</v>
      </c>
      <c r="T3" s="89"/>
    </row>
    <row r="4" spans="1:20" ht="12.75" customHeight="1" x14ac:dyDescent="0.2">
      <c r="C4" s="59" t="s">
        <v>0</v>
      </c>
      <c r="D4" s="59" t="str">
        <f>Item</f>
        <v>Pozicija (KM)</v>
      </c>
      <c r="E4" s="60" t="str">
        <f>Net_Current</f>
        <v>Neto tekuća</v>
      </c>
      <c r="F4" s="60" t="str">
        <f>Net_Previous</f>
        <v>Neto prethodna</v>
      </c>
      <c r="G4" s="60" t="str">
        <f>Net_Current</f>
        <v>Neto tekuća</v>
      </c>
      <c r="H4" s="60" t="str">
        <f>Net_Previous</f>
        <v>Neto prethodna</v>
      </c>
      <c r="I4" s="60" t="str">
        <f>Net_Current</f>
        <v>Neto tekuća</v>
      </c>
      <c r="J4" s="60" t="str">
        <f>Net_Previous</f>
        <v>Neto prethodna</v>
      </c>
      <c r="K4" s="60" t="str">
        <f>Net_Current</f>
        <v>Neto tekuća</v>
      </c>
      <c r="L4" s="60" t="str">
        <f>Net_Previous</f>
        <v>Neto prethodna</v>
      </c>
      <c r="M4" s="60" t="str">
        <f>Net_Current</f>
        <v>Neto tekuća</v>
      </c>
      <c r="N4" s="60" t="str">
        <f>Net_Previous</f>
        <v>Neto prethodna</v>
      </c>
      <c r="O4" s="60" t="str">
        <f>Net_Current</f>
        <v>Neto tekuća</v>
      </c>
      <c r="P4" s="60" t="str">
        <f>Net_Previous</f>
        <v>Neto prethodna</v>
      </c>
      <c r="Q4" s="60" t="str">
        <f>Net_Current</f>
        <v>Neto tekuća</v>
      </c>
      <c r="R4" s="60" t="str">
        <f>Net_Previous</f>
        <v>Neto prethodna</v>
      </c>
      <c r="S4" s="60" t="str">
        <f>Net_Current</f>
        <v>Neto tekuća</v>
      </c>
      <c r="T4" s="60" t="str">
        <f>Net_Previous</f>
        <v>Neto prethodna</v>
      </c>
    </row>
    <row r="5" spans="1:20" hidden="1" x14ac:dyDescent="0.2">
      <c r="A5" s="54" t="s">
        <v>65</v>
      </c>
      <c r="B5" s="54" t="s">
        <v>102</v>
      </c>
      <c r="C5" s="57" t="s">
        <v>110</v>
      </c>
      <c r="D5" s="43" t="s">
        <v>73</v>
      </c>
      <c r="E5" s="44" t="s">
        <v>74</v>
      </c>
      <c r="F5" s="45" t="s">
        <v>75</v>
      </c>
      <c r="G5" s="44" t="s">
        <v>76</v>
      </c>
      <c r="H5" s="45" t="s">
        <v>77</v>
      </c>
      <c r="I5" s="44" t="s">
        <v>78</v>
      </c>
      <c r="J5" s="45" t="s">
        <v>79</v>
      </c>
      <c r="K5" s="44" t="s">
        <v>80</v>
      </c>
      <c r="L5" s="45" t="s">
        <v>81</v>
      </c>
      <c r="M5" s="44" t="s">
        <v>82</v>
      </c>
      <c r="N5" s="45" t="s">
        <v>83</v>
      </c>
      <c r="O5" s="44" t="s">
        <v>84</v>
      </c>
      <c r="P5" s="45" t="s">
        <v>85</v>
      </c>
      <c r="Q5" s="44" t="s">
        <v>86</v>
      </c>
      <c r="R5" s="45" t="s">
        <v>87</v>
      </c>
      <c r="S5" s="44" t="s">
        <v>88</v>
      </c>
      <c r="T5" s="46" t="s">
        <v>89</v>
      </c>
    </row>
    <row r="6" spans="1:20" ht="12.75" customHeight="1" x14ac:dyDescent="0.2">
      <c r="A6" s="74">
        <v>238</v>
      </c>
      <c r="B6" s="74">
        <v>1</v>
      </c>
      <c r="C6" s="78" t="str">
        <f>VLOOKUP(Cash_Flow_Statement[[#This Row],[No]],AOP_Balance,3,0)</f>
        <v/>
      </c>
      <c r="D6" s="56" t="str">
        <f>VLOOKUP(Cash_Flow_Statement[[#This Row],[No]],AOP_Balance,7,0)</f>
        <v xml:space="preserve">  NOVČANI TOKOVI IZ POSLOVNIH AKTIVNOSTI</v>
      </c>
      <c r="E6" s="38" t="e">
        <f>IF(VLOOKUP(E$2&amp;Cash_Flow_Statement[[#This Row],[Aop]],Data[],1)=E$2&amp;Cash_Flow_Statement[[#This Row],[Aop]],VLOOKUP(E$2&amp;Cash_Flow_Statement[[#This Row],[Aop]],Data[],E$1)/Jedinica,"")</f>
        <v>#N/A</v>
      </c>
      <c r="F6" s="38" t="e">
        <f>IF(VLOOKUP(F$2&amp;Cash_Flow_Statement[[#This Row],[Aop]],Data[],1)=F$2&amp;Cash_Flow_Statement[[#This Row],[Aop]],VLOOKUP(F$2&amp;Cash_Flow_Statement[[#This Row],[Aop]],Data[],F$1)/Jedinica,"")</f>
        <v>#N/A</v>
      </c>
      <c r="G6" s="38" t="str">
        <f>IF(VLOOKUP(G$2&amp;Cash_Flow_Statement[[#This Row],[Aop]],Data[],1)=G$2&amp;Cash_Flow_Statement[[#This Row],[Aop]],VLOOKUP(G$2&amp;Cash_Flow_Statement[[#This Row],[Aop]],Data[],G$1)/Jedinica,"")</f>
        <v/>
      </c>
      <c r="H6" s="38" t="str">
        <f>IF(VLOOKUP(H$2&amp;Cash_Flow_Statement[[#This Row],[Aop]],Data[],1)=H$2&amp;Cash_Flow_Statement[[#This Row],[Aop]],VLOOKUP(H$2&amp;Cash_Flow_Statement[[#This Row],[Aop]],Data[],H$1)/Jedinica,"")</f>
        <v/>
      </c>
      <c r="I6" s="38" t="str">
        <f>IF(VLOOKUP(I$2&amp;Cash_Flow_Statement[[#This Row],[Aop]],Data[],1)=I$2&amp;Cash_Flow_Statement[[#This Row],[Aop]],VLOOKUP(I$2&amp;Cash_Flow_Statement[[#This Row],[Aop]],Data[],I$1)/Jedinica,"")</f>
        <v/>
      </c>
      <c r="J6" s="38" t="str">
        <f>IF(VLOOKUP(J$2&amp;Cash_Flow_Statement[[#This Row],[Aop]],Data[],1)=J$2&amp;Cash_Flow_Statement[[#This Row],[Aop]],VLOOKUP(J$2&amp;Cash_Flow_Statement[[#This Row],[Aop]],Data[],J$1)/Jedinica,"")</f>
        <v/>
      </c>
      <c r="K6" s="38" t="str">
        <f>IF(VLOOKUP(K$2&amp;Cash_Flow_Statement[[#This Row],[Aop]],Data[],1)=K$2&amp;Cash_Flow_Statement[[#This Row],[Aop]],VLOOKUP(K$2&amp;Cash_Flow_Statement[[#This Row],[Aop]],Data[],K$1)/Jedinica,"")</f>
        <v/>
      </c>
      <c r="L6" s="38" t="str">
        <f>IF(VLOOKUP(L$2&amp;Cash_Flow_Statement[[#This Row],[Aop]],Data[],1)=L$2&amp;Cash_Flow_Statement[[#This Row],[Aop]],VLOOKUP(L$2&amp;Cash_Flow_Statement[[#This Row],[Aop]],Data[],L$1)/Jedinica,"")</f>
        <v/>
      </c>
      <c r="M6" s="38" t="str">
        <f>IF(VLOOKUP(M$2&amp;Cash_Flow_Statement[[#This Row],[Aop]],Data[],1)=M$2&amp;Cash_Flow_Statement[[#This Row],[Aop]],VLOOKUP(M$2&amp;Cash_Flow_Statement[[#This Row],[Aop]],Data[],M$1)/Jedinica,"")</f>
        <v/>
      </c>
      <c r="N6" s="38" t="str">
        <f>IF(VLOOKUP(N$2&amp;Cash_Flow_Statement[[#This Row],[Aop]],Data[],1)=N$2&amp;Cash_Flow_Statement[[#This Row],[Aop]],VLOOKUP(N$2&amp;Cash_Flow_Statement[[#This Row],[Aop]],Data[],N$1)/Jedinica,"")</f>
        <v/>
      </c>
      <c r="O6" s="38" t="str">
        <f>IF(VLOOKUP(O$2&amp;Cash_Flow_Statement[[#This Row],[Aop]],Data[],1)=O$2&amp;Cash_Flow_Statement[[#This Row],[Aop]],VLOOKUP(O$2&amp;Cash_Flow_Statement[[#This Row],[Aop]],Data[],O$1)/Jedinica,"")</f>
        <v/>
      </c>
      <c r="P6" s="38" t="str">
        <f>IF(VLOOKUP(P$2&amp;Cash_Flow_Statement[[#This Row],[Aop]],Data[],1)=P$2&amp;Cash_Flow_Statement[[#This Row],[Aop]],VLOOKUP(P$2&amp;Cash_Flow_Statement[[#This Row],[Aop]],Data[],P$1)/Jedinica,"")</f>
        <v/>
      </c>
      <c r="Q6" s="38" t="str">
        <f>IF(VLOOKUP(Q$2&amp;Cash_Flow_Statement[[#This Row],[Aop]],Data[],1)=Q$2&amp;Cash_Flow_Statement[[#This Row],[Aop]],VLOOKUP(Q$2&amp;Cash_Flow_Statement[[#This Row],[Aop]],Data[],Q$1)/Jedinica,"")</f>
        <v/>
      </c>
      <c r="R6" s="38" t="str">
        <f>IF(VLOOKUP(R$2&amp;Cash_Flow_Statement[[#This Row],[Aop]],Data[],1)=R$2&amp;Cash_Flow_Statement[[#This Row],[Aop]],VLOOKUP(R$2&amp;Cash_Flow_Statement[[#This Row],[Aop]],Data[],R$1)/Jedinica,"")</f>
        <v/>
      </c>
      <c r="S6" s="38" t="str">
        <f>IF(VLOOKUP(S$2&amp;Cash_Flow_Statement[[#This Row],[Aop]],Data[],1)=S$2&amp;Cash_Flow_Statement[[#This Row],[Aop]],VLOOKUP(S$2&amp;Cash_Flow_Statement[[#This Row],[Aop]],Data[],S$1)/Jedinica,"")</f>
        <v/>
      </c>
      <c r="T6" s="38" t="str">
        <f>IF(VLOOKUP(T$2&amp;Cash_Flow_Statement[[#This Row],[Aop]],Data[],1)=T$2&amp;Cash_Flow_Statement[[#This Row],[Aop]],VLOOKUP(T$2&amp;Cash_Flow_Statement[[#This Row],[Aop]],Data[],T$1)/Jedinica,"")</f>
        <v/>
      </c>
    </row>
    <row r="7" spans="1:20" ht="12.75" customHeight="1" x14ac:dyDescent="0.2">
      <c r="A7" s="74">
        <v>239</v>
      </c>
      <c r="B7" s="74">
        <v>2</v>
      </c>
      <c r="C7" s="78" t="str">
        <f>VLOOKUP(Cash_Flow_Statement[[#This Row],[No]],AOP_Balance,3,0)</f>
        <v>501</v>
      </c>
      <c r="D7" s="56" t="str">
        <f>VLOOKUP(Cash_Flow_Statement[[#This Row],[No]],AOP_Balance,7,0)</f>
        <v xml:space="preserve">    Primici kamata, naknada i provizija po kreditima i poslovima lizinga</v>
      </c>
      <c r="E7" s="38">
        <f>IF(VLOOKUP(E$2&amp;Cash_Flow_Statement[[#This Row],[Aop]],Data[],1)=E$2&amp;Cash_Flow_Statement[[#This Row],[Aop]],VLOOKUP(E$2&amp;Cash_Flow_Statement[[#This Row],[Aop]],Data[],E$1)/Jedinica,"")</f>
        <v>11444</v>
      </c>
      <c r="F7" s="38">
        <f>IF(VLOOKUP(F$2&amp;Cash_Flow_Statement[[#This Row],[Aop]],Data[],1)=F$2&amp;Cash_Flow_Statement[[#This Row],[Aop]],VLOOKUP(F$2&amp;Cash_Flow_Statement[[#This Row],[Aop]],Data[],F$1)/Jedinica,"")</f>
        <v>9411</v>
      </c>
      <c r="G7" s="38">
        <f>IF(VLOOKUP(G$2&amp;Cash_Flow_Statement[[#This Row],[Aop]],Data[],1)=G$2&amp;Cash_Flow_Statement[[#This Row],[Aop]],VLOOKUP(G$2&amp;Cash_Flow_Statement[[#This Row],[Aop]],Data[],G$1)/Jedinica,"")</f>
        <v>26784574</v>
      </c>
      <c r="H7" s="38">
        <f>IF(VLOOKUP(H$2&amp;Cash_Flow_Statement[[#This Row],[Aop]],Data[],1)=H$2&amp;Cash_Flow_Statement[[#This Row],[Aop]],VLOOKUP(H$2&amp;Cash_Flow_Statement[[#This Row],[Aop]],Data[],H$1)/Jedinica,"")</f>
        <v>23376171</v>
      </c>
      <c r="I7" s="38">
        <f>IF(VLOOKUP(I$2&amp;Cash_Flow_Statement[[#This Row],[Aop]],Data[],1)=I$2&amp;Cash_Flow_Statement[[#This Row],[Aop]],VLOOKUP(I$2&amp;Cash_Flow_Statement[[#This Row],[Aop]],Data[],I$1)/Jedinica,"")</f>
        <v>26784574</v>
      </c>
      <c r="J7" s="38">
        <f>IF(VLOOKUP(J$2&amp;Cash_Flow_Statement[[#This Row],[Aop]],Data[],1)=J$2&amp;Cash_Flow_Statement[[#This Row],[Aop]],VLOOKUP(J$2&amp;Cash_Flow_Statement[[#This Row],[Aop]],Data[],J$1)/Jedinica,"")</f>
        <v>23376171</v>
      </c>
      <c r="K7" s="38">
        <f>IF(VLOOKUP(K$2&amp;Cash_Flow_Statement[[#This Row],[Aop]],Data[],1)=K$2&amp;Cash_Flow_Statement[[#This Row],[Aop]],VLOOKUP(K$2&amp;Cash_Flow_Statement[[#This Row],[Aop]],Data[],K$1)/Jedinica,"")</f>
        <v>35263523</v>
      </c>
      <c r="L7" s="38">
        <f>IF(VLOOKUP(L$2&amp;Cash_Flow_Statement[[#This Row],[Aop]],Data[],1)=L$2&amp;Cash_Flow_Statement[[#This Row],[Aop]],VLOOKUP(L$2&amp;Cash_Flow_Statement[[#This Row],[Aop]],Data[],L$1)/Jedinica,"")</f>
        <v>31033775</v>
      </c>
      <c r="M7" s="38">
        <f>IF(VLOOKUP(M$2&amp;Cash_Flow_Statement[[#This Row],[Aop]],Data[],1)=M$2&amp;Cash_Flow_Statement[[#This Row],[Aop]],VLOOKUP(M$2&amp;Cash_Flow_Statement[[#This Row],[Aop]],Data[],M$1)/Jedinica,"")</f>
        <v>4812710</v>
      </c>
      <c r="N7" s="38">
        <f>IF(VLOOKUP(N$2&amp;Cash_Flow_Statement[[#This Row],[Aop]],Data[],1)=N$2&amp;Cash_Flow_Statement[[#This Row],[Aop]],VLOOKUP(N$2&amp;Cash_Flow_Statement[[#This Row],[Aop]],Data[],N$1)/Jedinica,"")</f>
        <v>2608569</v>
      </c>
      <c r="O7" s="38">
        <f>IF(VLOOKUP(O$2&amp;Cash_Flow_Statement[[#This Row],[Aop]],Data[],1)=O$2&amp;Cash_Flow_Statement[[#This Row],[Aop]],VLOOKUP(O$2&amp;Cash_Flow_Statement[[#This Row],[Aop]],Data[],O$1)/Jedinica,"")</f>
        <v>35263523</v>
      </c>
      <c r="P7" s="38">
        <f>IF(VLOOKUP(P$2&amp;Cash_Flow_Statement[[#This Row],[Aop]],Data[],1)=P$2&amp;Cash_Flow_Statement[[#This Row],[Aop]],VLOOKUP(P$2&amp;Cash_Flow_Statement[[#This Row],[Aop]],Data[],P$1)/Jedinica,"")</f>
        <v>31033775</v>
      </c>
      <c r="Q7" s="38">
        <f>IF(VLOOKUP(Q$2&amp;Cash_Flow_Statement[[#This Row],[Aop]],Data[],1)=Q$2&amp;Cash_Flow_Statement[[#This Row],[Aop]],VLOOKUP(Q$2&amp;Cash_Flow_Statement[[#This Row],[Aop]],Data[],Q$1)/Jedinica,"")</f>
        <v>642822</v>
      </c>
      <c r="R7" s="38">
        <f>IF(VLOOKUP(R$2&amp;Cash_Flow_Statement[[#This Row],[Aop]],Data[],1)=R$2&amp;Cash_Flow_Statement[[#This Row],[Aop]],VLOOKUP(R$2&amp;Cash_Flow_Statement[[#This Row],[Aop]],Data[],R$1)/Jedinica,"")</f>
        <v>629168</v>
      </c>
      <c r="S7" s="38">
        <f>IF(VLOOKUP(S$2&amp;Cash_Flow_Statement[[#This Row],[Aop]],Data[],1)=S$2&amp;Cash_Flow_Statement[[#This Row],[Aop]],VLOOKUP(S$2&amp;Cash_Flow_Statement[[#This Row],[Aop]],Data[],S$1)/Jedinica,"")</f>
        <v>15105429</v>
      </c>
      <c r="T7" s="38">
        <f>IF(VLOOKUP(T$2&amp;Cash_Flow_Statement[[#This Row],[Aop]],Data[],1)=T$2&amp;Cash_Flow_Statement[[#This Row],[Aop]],VLOOKUP(T$2&amp;Cash_Flow_Statement[[#This Row],[Aop]],Data[],T$1)/Jedinica,"")</f>
        <v>12643141</v>
      </c>
    </row>
    <row r="8" spans="1:20" ht="12.75" customHeight="1" x14ac:dyDescent="0.2">
      <c r="A8" s="74">
        <v>240</v>
      </c>
      <c r="B8" s="74">
        <v>2</v>
      </c>
      <c r="C8" s="82" t="str">
        <f>VLOOKUP(Cash_Flow_Statement[[#This Row],[No]],AOP_Balance,3,0)</f>
        <v>502</v>
      </c>
      <c r="D8" s="56" t="str">
        <f>VLOOKUP(Cash_Flow_Statement[[#This Row],[No]],AOP_Balance,7,0)</f>
        <v xml:space="preserve">    Isplate kamata</v>
      </c>
      <c r="E8" s="38">
        <f>IF(VLOOKUP(E$2&amp;Cash_Flow_Statement[[#This Row],[Aop]],Data[],1)=E$2&amp;Cash_Flow_Statement[[#This Row],[Aop]],VLOOKUP(E$2&amp;Cash_Flow_Statement[[#This Row],[Aop]],Data[],E$1)/Jedinica,"")</f>
        <v>3849</v>
      </c>
      <c r="F8" s="38">
        <f>IF(VLOOKUP(F$2&amp;Cash_Flow_Statement[[#This Row],[Aop]],Data[],1)=F$2&amp;Cash_Flow_Statement[[#This Row],[Aop]],VLOOKUP(F$2&amp;Cash_Flow_Statement[[#This Row],[Aop]],Data[],F$1)/Jedinica,"")</f>
        <v>3447</v>
      </c>
      <c r="G8" s="38">
        <f>IF(VLOOKUP(G$2&amp;Cash_Flow_Statement[[#This Row],[Aop]],Data[],1)=G$2&amp;Cash_Flow_Statement[[#This Row],[Aop]],VLOOKUP(G$2&amp;Cash_Flow_Statement[[#This Row],[Aop]],Data[],G$1)/Jedinica,"")</f>
        <v>12815651</v>
      </c>
      <c r="H8" s="38">
        <f>IF(VLOOKUP(H$2&amp;Cash_Flow_Statement[[#This Row],[Aop]],Data[],1)=H$2&amp;Cash_Flow_Statement[[#This Row],[Aop]],VLOOKUP(H$2&amp;Cash_Flow_Statement[[#This Row],[Aop]],Data[],H$1)/Jedinica,"")</f>
        <v>13137144</v>
      </c>
      <c r="I8" s="38">
        <f>IF(VLOOKUP(I$2&amp;Cash_Flow_Statement[[#This Row],[Aop]],Data[],1)=I$2&amp;Cash_Flow_Statement[[#This Row],[Aop]],VLOOKUP(I$2&amp;Cash_Flow_Statement[[#This Row],[Aop]],Data[],I$1)/Jedinica,"")</f>
        <v>12815651</v>
      </c>
      <c r="J8" s="38">
        <f>IF(VLOOKUP(J$2&amp;Cash_Flow_Statement[[#This Row],[Aop]],Data[],1)=J$2&amp;Cash_Flow_Statement[[#This Row],[Aop]],VLOOKUP(J$2&amp;Cash_Flow_Statement[[#This Row],[Aop]],Data[],J$1)/Jedinica,"")</f>
        <v>13137144</v>
      </c>
      <c r="K8" s="38">
        <f>IF(VLOOKUP(K$2&amp;Cash_Flow_Statement[[#This Row],[Aop]],Data[],1)=K$2&amp;Cash_Flow_Statement[[#This Row],[Aop]],VLOOKUP(K$2&amp;Cash_Flow_Statement[[#This Row],[Aop]],Data[],K$1)/Jedinica,"")</f>
        <v>2423531</v>
      </c>
      <c r="L8" s="38">
        <f>IF(VLOOKUP(L$2&amp;Cash_Flow_Statement[[#This Row],[Aop]],Data[],1)=L$2&amp;Cash_Flow_Statement[[#This Row],[Aop]],VLOOKUP(L$2&amp;Cash_Flow_Statement[[#This Row],[Aop]],Data[],L$1)/Jedinica,"")</f>
        <v>2217184</v>
      </c>
      <c r="M8" s="38">
        <f>IF(VLOOKUP(M$2&amp;Cash_Flow_Statement[[#This Row],[Aop]],Data[],1)=M$2&amp;Cash_Flow_Statement[[#This Row],[Aop]],VLOOKUP(M$2&amp;Cash_Flow_Statement[[#This Row],[Aop]],Data[],M$1)/Jedinica,"")</f>
        <v>1162696</v>
      </c>
      <c r="N8" s="38">
        <f>IF(VLOOKUP(N$2&amp;Cash_Flow_Statement[[#This Row],[Aop]],Data[],1)=N$2&amp;Cash_Flow_Statement[[#This Row],[Aop]],VLOOKUP(N$2&amp;Cash_Flow_Statement[[#This Row],[Aop]],Data[],N$1)/Jedinica,"")</f>
        <v>789103</v>
      </c>
      <c r="O8" s="38">
        <f>IF(VLOOKUP(O$2&amp;Cash_Flow_Statement[[#This Row],[Aop]],Data[],1)=O$2&amp;Cash_Flow_Statement[[#This Row],[Aop]],VLOOKUP(O$2&amp;Cash_Flow_Statement[[#This Row],[Aop]],Data[],O$1)/Jedinica,"")</f>
        <v>2423531</v>
      </c>
      <c r="P8" s="38">
        <f>IF(VLOOKUP(P$2&amp;Cash_Flow_Statement[[#This Row],[Aop]],Data[],1)=P$2&amp;Cash_Flow_Statement[[#This Row],[Aop]],VLOOKUP(P$2&amp;Cash_Flow_Statement[[#This Row],[Aop]],Data[],P$1)/Jedinica,"")</f>
        <v>2217184</v>
      </c>
      <c r="Q8" s="38">
        <f>IF(VLOOKUP(Q$2&amp;Cash_Flow_Statement[[#This Row],[Aop]],Data[],1)=Q$2&amp;Cash_Flow_Statement[[#This Row],[Aop]],VLOOKUP(Q$2&amp;Cash_Flow_Statement[[#This Row],[Aop]],Data[],Q$1)/Jedinica,"")</f>
        <v>5900488</v>
      </c>
      <c r="R8" s="38">
        <f>IF(VLOOKUP(R$2&amp;Cash_Flow_Statement[[#This Row],[Aop]],Data[],1)=R$2&amp;Cash_Flow_Statement[[#This Row],[Aop]],VLOOKUP(R$2&amp;Cash_Flow_Statement[[#This Row],[Aop]],Data[],R$1)/Jedinica,"")</f>
        <v>6031298</v>
      </c>
      <c r="S8" s="38">
        <f>IF(VLOOKUP(S$2&amp;Cash_Flow_Statement[[#This Row],[Aop]],Data[],1)=S$2&amp;Cash_Flow_Statement[[#This Row],[Aop]],VLOOKUP(S$2&amp;Cash_Flow_Statement[[#This Row],[Aop]],Data[],S$1)/Jedinica,"")</f>
        <v>4748984</v>
      </c>
      <c r="T8" s="38">
        <f>IF(VLOOKUP(T$2&amp;Cash_Flow_Statement[[#This Row],[Aop]],Data[],1)=T$2&amp;Cash_Flow_Statement[[#This Row],[Aop]],VLOOKUP(T$2&amp;Cash_Flow_Statement[[#This Row],[Aop]],Data[],T$1)/Jedinica,"")</f>
        <v>3593805</v>
      </c>
    </row>
    <row r="9" spans="1:20" ht="12.75" customHeight="1" x14ac:dyDescent="0.2">
      <c r="A9" s="74">
        <v>241</v>
      </c>
      <c r="B9" s="74">
        <v>2</v>
      </c>
      <c r="C9" s="82" t="str">
        <f>VLOOKUP(Cash_Flow_Statement[[#This Row],[No]],AOP_Balance,3,0)</f>
        <v>503</v>
      </c>
      <c r="D9" s="56" t="str">
        <f>VLOOKUP(Cash_Flow_Statement[[#This Row],[No]],AOP_Balance,7,0)</f>
        <v xml:space="preserve">    Naplate po kreditima koji su ranije bili otpisani (glavnica i kamata)</v>
      </c>
      <c r="E9" s="38">
        <f>IF(VLOOKUP(E$2&amp;Cash_Flow_Statement[[#This Row],[Aop]],Data[],1)=E$2&amp;Cash_Flow_Statement[[#This Row],[Aop]],VLOOKUP(E$2&amp;Cash_Flow_Statement[[#This Row],[Aop]],Data[],E$1)/Jedinica,"")</f>
        <v>20</v>
      </c>
      <c r="F9" s="38">
        <f>IF(VLOOKUP(F$2&amp;Cash_Flow_Statement[[#This Row],[Aop]],Data[],1)=F$2&amp;Cash_Flow_Statement[[#This Row],[Aop]],VLOOKUP(F$2&amp;Cash_Flow_Statement[[#This Row],[Aop]],Data[],F$1)/Jedinica,"")</f>
        <v>239</v>
      </c>
      <c r="G9" s="38">
        <f>IF(VLOOKUP(G$2&amp;Cash_Flow_Statement[[#This Row],[Aop]],Data[],1)=G$2&amp;Cash_Flow_Statement[[#This Row],[Aop]],VLOOKUP(G$2&amp;Cash_Flow_Statement[[#This Row],[Aop]],Data[],G$1)/Jedinica,"")</f>
        <v>11776530</v>
      </c>
      <c r="H9" s="38">
        <f>IF(VLOOKUP(H$2&amp;Cash_Flow_Statement[[#This Row],[Aop]],Data[],1)=H$2&amp;Cash_Flow_Statement[[#This Row],[Aop]],VLOOKUP(H$2&amp;Cash_Flow_Statement[[#This Row],[Aop]],Data[],H$1)/Jedinica,"")</f>
        <v>7603374</v>
      </c>
      <c r="I9" s="38">
        <f>IF(VLOOKUP(I$2&amp;Cash_Flow_Statement[[#This Row],[Aop]],Data[],1)=I$2&amp;Cash_Flow_Statement[[#This Row],[Aop]],VLOOKUP(I$2&amp;Cash_Flow_Statement[[#This Row],[Aop]],Data[],I$1)/Jedinica,"")</f>
        <v>11776530</v>
      </c>
      <c r="J9" s="38">
        <f>IF(VLOOKUP(J$2&amp;Cash_Flow_Statement[[#This Row],[Aop]],Data[],1)=J$2&amp;Cash_Flow_Statement[[#This Row],[Aop]],VLOOKUP(J$2&amp;Cash_Flow_Statement[[#This Row],[Aop]],Data[],J$1)/Jedinica,"")</f>
        <v>7603374</v>
      </c>
      <c r="K9" s="38">
        <f>IF(VLOOKUP(K$2&amp;Cash_Flow_Statement[[#This Row],[Aop]],Data[],1)=K$2&amp;Cash_Flow_Statement[[#This Row],[Aop]],VLOOKUP(K$2&amp;Cash_Flow_Statement[[#This Row],[Aop]],Data[],K$1)/Jedinica,"")</f>
        <v>32601238</v>
      </c>
      <c r="L9" s="38">
        <f>IF(VLOOKUP(L$2&amp;Cash_Flow_Statement[[#This Row],[Aop]],Data[],1)=L$2&amp;Cash_Flow_Statement[[#This Row],[Aop]],VLOOKUP(L$2&amp;Cash_Flow_Statement[[#This Row],[Aop]],Data[],L$1)/Jedinica,"")</f>
        <v>28333623</v>
      </c>
      <c r="M9" s="38">
        <f>IF(VLOOKUP(M$2&amp;Cash_Flow_Statement[[#This Row],[Aop]],Data[],1)=M$2&amp;Cash_Flow_Statement[[#This Row],[Aop]],VLOOKUP(M$2&amp;Cash_Flow_Statement[[#This Row],[Aop]],Data[],M$1)/Jedinica,"")</f>
        <v>3650014</v>
      </c>
      <c r="N9" s="38">
        <f>IF(VLOOKUP(N$2&amp;Cash_Flow_Statement[[#This Row],[Aop]],Data[],1)=N$2&amp;Cash_Flow_Statement[[#This Row],[Aop]],VLOOKUP(N$2&amp;Cash_Flow_Statement[[#This Row],[Aop]],Data[],N$1)/Jedinica,"")</f>
        <v>1818097</v>
      </c>
      <c r="O9" s="38">
        <f>IF(VLOOKUP(O$2&amp;Cash_Flow_Statement[[#This Row],[Aop]],Data[],1)=O$2&amp;Cash_Flow_Statement[[#This Row],[Aop]],VLOOKUP(O$2&amp;Cash_Flow_Statement[[#This Row],[Aop]],Data[],O$1)/Jedinica,"")</f>
        <v>32601238</v>
      </c>
      <c r="P9" s="38">
        <f>IF(VLOOKUP(P$2&amp;Cash_Flow_Statement[[#This Row],[Aop]],Data[],1)=P$2&amp;Cash_Flow_Statement[[#This Row],[Aop]],VLOOKUP(P$2&amp;Cash_Flow_Statement[[#This Row],[Aop]],Data[],P$1)/Jedinica,"")</f>
        <v>28333623</v>
      </c>
      <c r="Q9" s="38">
        <f>IF(VLOOKUP(Q$2&amp;Cash_Flow_Statement[[#This Row],[Aop]],Data[],1)=Q$2&amp;Cash_Flow_Statement[[#This Row],[Aop]],VLOOKUP(Q$2&amp;Cash_Flow_Statement[[#This Row],[Aop]],Data[],Q$1)/Jedinica,"")</f>
        <v>16320740</v>
      </c>
      <c r="R9" s="38">
        <f>IF(VLOOKUP(R$2&amp;Cash_Flow_Statement[[#This Row],[Aop]],Data[],1)=R$2&amp;Cash_Flow_Statement[[#This Row],[Aop]],VLOOKUP(R$2&amp;Cash_Flow_Statement[[#This Row],[Aop]],Data[],R$1)/Jedinica,"")</f>
        <v>18640895</v>
      </c>
      <c r="S9" s="38">
        <f>IF(VLOOKUP(S$2&amp;Cash_Flow_Statement[[#This Row],[Aop]],Data[],1)=S$2&amp;Cash_Flow_Statement[[#This Row],[Aop]],VLOOKUP(S$2&amp;Cash_Flow_Statement[[#This Row],[Aop]],Data[],S$1)/Jedinica,"")</f>
        <v>10321003</v>
      </c>
      <c r="T9" s="38">
        <f>IF(VLOOKUP(T$2&amp;Cash_Flow_Statement[[#This Row],[Aop]],Data[],1)=T$2&amp;Cash_Flow_Statement[[#This Row],[Aop]],VLOOKUP(T$2&amp;Cash_Flow_Statement[[#This Row],[Aop]],Data[],T$1)/Jedinica,"")</f>
        <v>9008611</v>
      </c>
    </row>
    <row r="10" spans="1:20" ht="12.75" customHeight="1" x14ac:dyDescent="0.2">
      <c r="A10" s="74">
        <v>242</v>
      </c>
      <c r="B10" s="74">
        <v>2</v>
      </c>
      <c r="C10" s="82" t="str">
        <f>VLOOKUP(Cash_Flow_Statement[[#This Row],[No]],AOP_Balance,3,0)</f>
        <v>504</v>
      </c>
      <c r="D10" s="56" t="str">
        <f>VLOOKUP(Cash_Flow_Statement[[#This Row],[No]],AOP_Balance,7,0)</f>
        <v xml:space="preserve">    Novčane isplate zaposlenim i dobavljačima</v>
      </c>
      <c r="E10" s="38">
        <f>IF(VLOOKUP(E$2&amp;Cash_Flow_Statement[[#This Row],[Aop]],Data[],1)=E$2&amp;Cash_Flow_Statement[[#This Row],[Aop]],VLOOKUP(E$2&amp;Cash_Flow_Statement[[#This Row],[Aop]],Data[],E$1)/Jedinica,"")</f>
        <v>5546</v>
      </c>
      <c r="F10" s="38">
        <f>IF(VLOOKUP(F$2&amp;Cash_Flow_Statement[[#This Row],[Aop]],Data[],1)=F$2&amp;Cash_Flow_Statement[[#This Row],[Aop]],VLOOKUP(F$2&amp;Cash_Flow_Statement[[#This Row],[Aop]],Data[],F$1)/Jedinica,"")</f>
        <v>4605</v>
      </c>
      <c r="G10" s="38">
        <f>IF(VLOOKUP(G$2&amp;Cash_Flow_Statement[[#This Row],[Aop]],Data[],1)=G$2&amp;Cash_Flow_Statement[[#This Row],[Aop]],VLOOKUP(G$2&amp;Cash_Flow_Statement[[#This Row],[Aop]],Data[],G$1)/Jedinica,"")</f>
        <v>2192393</v>
      </c>
      <c r="H10" s="38">
        <f>IF(VLOOKUP(H$2&amp;Cash_Flow_Statement[[#This Row],[Aop]],Data[],1)=H$2&amp;Cash_Flow_Statement[[#This Row],[Aop]],VLOOKUP(H$2&amp;Cash_Flow_Statement[[#This Row],[Aop]],Data[],H$1)/Jedinica,"")</f>
        <v>2635653</v>
      </c>
      <c r="I10" s="38">
        <f>IF(VLOOKUP(I$2&amp;Cash_Flow_Statement[[#This Row],[Aop]],Data[],1)=I$2&amp;Cash_Flow_Statement[[#This Row],[Aop]],VLOOKUP(I$2&amp;Cash_Flow_Statement[[#This Row],[Aop]],Data[],I$1)/Jedinica,"")</f>
        <v>2192393</v>
      </c>
      <c r="J10" s="38">
        <f>IF(VLOOKUP(J$2&amp;Cash_Flow_Statement[[#This Row],[Aop]],Data[],1)=J$2&amp;Cash_Flow_Statement[[#This Row],[Aop]],VLOOKUP(J$2&amp;Cash_Flow_Statement[[#This Row],[Aop]],Data[],J$1)/Jedinica,"")</f>
        <v>2635653</v>
      </c>
      <c r="K10" s="38">
        <f>IF(VLOOKUP(K$2&amp;Cash_Flow_Statement[[#This Row],[Aop]],Data[],1)=K$2&amp;Cash_Flow_Statement[[#This Row],[Aop]],VLOOKUP(K$2&amp;Cash_Flow_Statement[[#This Row],[Aop]],Data[],K$1)/Jedinica,"")</f>
        <v>238754</v>
      </c>
      <c r="L10" s="38">
        <f>IF(VLOOKUP(L$2&amp;Cash_Flow_Statement[[#This Row],[Aop]],Data[],1)=L$2&amp;Cash_Flow_Statement[[#This Row],[Aop]],VLOOKUP(L$2&amp;Cash_Flow_Statement[[#This Row],[Aop]],Data[],L$1)/Jedinica,"")</f>
        <v>482968</v>
      </c>
      <c r="M10" s="38">
        <f>IF(VLOOKUP(M$2&amp;Cash_Flow_Statement[[#This Row],[Aop]],Data[],1)=M$2&amp;Cash_Flow_Statement[[#This Row],[Aop]],VLOOKUP(M$2&amp;Cash_Flow_Statement[[#This Row],[Aop]],Data[],M$1)/Jedinica,"")</f>
        <v>0</v>
      </c>
      <c r="N10" s="38">
        <f>IF(VLOOKUP(N$2&amp;Cash_Flow_Statement[[#This Row],[Aop]],Data[],1)=N$2&amp;Cash_Flow_Statement[[#This Row],[Aop]],VLOOKUP(N$2&amp;Cash_Flow_Statement[[#This Row],[Aop]],Data[],N$1)/Jedinica,"")</f>
        <v>1369</v>
      </c>
      <c r="O10" s="38">
        <f>IF(VLOOKUP(O$2&amp;Cash_Flow_Statement[[#This Row],[Aop]],Data[],1)=O$2&amp;Cash_Flow_Statement[[#This Row],[Aop]],VLOOKUP(O$2&amp;Cash_Flow_Statement[[#This Row],[Aop]],Data[],O$1)/Jedinica,"")</f>
        <v>238754</v>
      </c>
      <c r="P10" s="38">
        <f>IF(VLOOKUP(P$2&amp;Cash_Flow_Statement[[#This Row],[Aop]],Data[],1)=P$2&amp;Cash_Flow_Statement[[#This Row],[Aop]],VLOOKUP(P$2&amp;Cash_Flow_Statement[[#This Row],[Aop]],Data[],P$1)/Jedinica,"")</f>
        <v>482968</v>
      </c>
      <c r="Q10" s="38">
        <f>IF(VLOOKUP(Q$2&amp;Cash_Flow_Statement[[#This Row],[Aop]],Data[],1)=Q$2&amp;Cash_Flow_Statement[[#This Row],[Aop]],VLOOKUP(Q$2&amp;Cash_Flow_Statement[[#This Row],[Aop]],Data[],Q$1)/Jedinica,"")</f>
        <v>1627386</v>
      </c>
      <c r="R10" s="38">
        <f>IF(VLOOKUP(R$2&amp;Cash_Flow_Statement[[#This Row],[Aop]],Data[],1)=R$2&amp;Cash_Flow_Statement[[#This Row],[Aop]],VLOOKUP(R$2&amp;Cash_Flow_Statement[[#This Row],[Aop]],Data[],R$1)/Jedinica,"")</f>
        <v>2246303</v>
      </c>
      <c r="S10" s="38">
        <f>IF(VLOOKUP(S$2&amp;Cash_Flow_Statement[[#This Row],[Aop]],Data[],1)=S$2&amp;Cash_Flow_Statement[[#This Row],[Aop]],VLOOKUP(S$2&amp;Cash_Flow_Statement[[#This Row],[Aop]],Data[],S$1)/Jedinica,"")</f>
        <v>35442</v>
      </c>
      <c r="T10" s="38">
        <f>IF(VLOOKUP(T$2&amp;Cash_Flow_Statement[[#This Row],[Aop]],Data[],1)=T$2&amp;Cash_Flow_Statement[[#This Row],[Aop]],VLOOKUP(T$2&amp;Cash_Flow_Statement[[#This Row],[Aop]],Data[],T$1)/Jedinica,"")</f>
        <v>40725</v>
      </c>
    </row>
    <row r="11" spans="1:20" ht="12.75" customHeight="1" x14ac:dyDescent="0.2">
      <c r="A11" s="74">
        <v>243</v>
      </c>
      <c r="B11" s="74">
        <v>2</v>
      </c>
      <c r="C11" s="82" t="str">
        <f>VLOOKUP(Cash_Flow_Statement[[#This Row],[No]],AOP_Balance,3,0)</f>
        <v>505</v>
      </c>
      <c r="D11" s="56" t="str">
        <f>VLOOKUP(Cash_Flow_Statement[[#This Row],[No]],AOP_Balance,7,0)</f>
        <v xml:space="preserve">    Isplate po vanbilansnim ugovorima</v>
      </c>
      <c r="E11" s="38" t="str">
        <f>IF(VLOOKUP(E$2&amp;Cash_Flow_Statement[[#This Row],[Aop]],Data[],1)=E$2&amp;Cash_Flow_Statement[[#This Row],[Aop]],VLOOKUP(E$2&amp;Cash_Flow_Statement[[#This Row],[Aop]],Data[],E$1)/Jedinica,"")</f>
        <v/>
      </c>
      <c r="F11" s="38" t="str">
        <f>IF(VLOOKUP(F$2&amp;Cash_Flow_Statement[[#This Row],[Aop]],Data[],1)=F$2&amp;Cash_Flow_Statement[[#This Row],[Aop]],VLOOKUP(F$2&amp;Cash_Flow_Statement[[#This Row],[Aop]],Data[],F$1)/Jedinica,"")</f>
        <v/>
      </c>
      <c r="G11" s="38">
        <f>IF(VLOOKUP(G$2&amp;Cash_Flow_Statement[[#This Row],[Aop]],Data[],1)=G$2&amp;Cash_Flow_Statement[[#This Row],[Aop]],VLOOKUP(G$2&amp;Cash_Flow_Statement[[#This Row],[Aop]],Data[],G$1)/Jedinica,"")</f>
        <v>5213637</v>
      </c>
      <c r="H11" s="38">
        <f>IF(VLOOKUP(H$2&amp;Cash_Flow_Statement[[#This Row],[Aop]],Data[],1)=H$2&amp;Cash_Flow_Statement[[#This Row],[Aop]],VLOOKUP(H$2&amp;Cash_Flow_Statement[[#This Row],[Aop]],Data[],H$1)/Jedinica,"")</f>
        <v>4649914</v>
      </c>
      <c r="I11" s="38">
        <f>IF(VLOOKUP(I$2&amp;Cash_Flow_Statement[[#This Row],[Aop]],Data[],1)=I$2&amp;Cash_Flow_Statement[[#This Row],[Aop]],VLOOKUP(I$2&amp;Cash_Flow_Statement[[#This Row],[Aop]],Data[],I$1)/Jedinica,"")</f>
        <v>5213637</v>
      </c>
      <c r="J11" s="38">
        <f>IF(VLOOKUP(J$2&amp;Cash_Flow_Statement[[#This Row],[Aop]],Data[],1)=J$2&amp;Cash_Flow_Statement[[#This Row],[Aop]],VLOOKUP(J$2&amp;Cash_Flow_Statement[[#This Row],[Aop]],Data[],J$1)/Jedinica,"")</f>
        <v>4649914</v>
      </c>
      <c r="K11" s="38">
        <f>IF(VLOOKUP(K$2&amp;Cash_Flow_Statement[[#This Row],[Aop]],Data[],1)=K$2&amp;Cash_Flow_Statement[[#This Row],[Aop]],VLOOKUP(K$2&amp;Cash_Flow_Statement[[#This Row],[Aop]],Data[],K$1)/Jedinica,"")</f>
        <v>17939185</v>
      </c>
      <c r="L11" s="38">
        <f>IF(VLOOKUP(L$2&amp;Cash_Flow_Statement[[#This Row],[Aop]],Data[],1)=L$2&amp;Cash_Flow_Statement[[#This Row],[Aop]],VLOOKUP(L$2&amp;Cash_Flow_Statement[[#This Row],[Aop]],Data[],L$1)/Jedinica,"")</f>
        <v>12741972</v>
      </c>
      <c r="M11" s="38">
        <f>IF(VLOOKUP(M$2&amp;Cash_Flow_Statement[[#This Row],[Aop]],Data[],1)=M$2&amp;Cash_Flow_Statement[[#This Row],[Aop]],VLOOKUP(M$2&amp;Cash_Flow_Statement[[#This Row],[Aop]],Data[],M$1)/Jedinica,"")</f>
        <v>1810129</v>
      </c>
      <c r="N11" s="38">
        <f>IF(VLOOKUP(N$2&amp;Cash_Flow_Statement[[#This Row],[Aop]],Data[],1)=N$2&amp;Cash_Flow_Statement[[#This Row],[Aop]],VLOOKUP(N$2&amp;Cash_Flow_Statement[[#This Row],[Aop]],Data[],N$1)/Jedinica,"")</f>
        <v>636428</v>
      </c>
      <c r="O11" s="38">
        <f>IF(VLOOKUP(O$2&amp;Cash_Flow_Statement[[#This Row],[Aop]],Data[],1)=O$2&amp;Cash_Flow_Statement[[#This Row],[Aop]],VLOOKUP(O$2&amp;Cash_Flow_Statement[[#This Row],[Aop]],Data[],O$1)/Jedinica,"")</f>
        <v>17939185</v>
      </c>
      <c r="P11" s="38">
        <f>IF(VLOOKUP(P$2&amp;Cash_Flow_Statement[[#This Row],[Aop]],Data[],1)=P$2&amp;Cash_Flow_Statement[[#This Row],[Aop]],VLOOKUP(P$2&amp;Cash_Flow_Statement[[#This Row],[Aop]],Data[],P$1)/Jedinica,"")</f>
        <v>12741972</v>
      </c>
      <c r="Q11" s="38">
        <f>IF(VLOOKUP(Q$2&amp;Cash_Flow_Statement[[#This Row],[Aop]],Data[],1)=Q$2&amp;Cash_Flow_Statement[[#This Row],[Aop]],VLOOKUP(Q$2&amp;Cash_Flow_Statement[[#This Row],[Aop]],Data[],Q$1)/Jedinica,"")</f>
        <v>9625145</v>
      </c>
      <c r="R11" s="38">
        <f>IF(VLOOKUP(R$2&amp;Cash_Flow_Statement[[#This Row],[Aop]],Data[],1)=R$2&amp;Cash_Flow_Statement[[#This Row],[Aop]],VLOOKUP(R$2&amp;Cash_Flow_Statement[[#This Row],[Aop]],Data[],R$1)/Jedinica,"")</f>
        <v>10235348</v>
      </c>
      <c r="S11" s="38">
        <f>IF(VLOOKUP(S$2&amp;Cash_Flow_Statement[[#This Row],[Aop]],Data[],1)=S$2&amp;Cash_Flow_Statement[[#This Row],[Aop]],VLOOKUP(S$2&amp;Cash_Flow_Statement[[#This Row],[Aop]],Data[],S$1)/Jedinica,"")</f>
        <v>5978857</v>
      </c>
      <c r="T11" s="38">
        <f>IF(VLOOKUP(T$2&amp;Cash_Flow_Statement[[#This Row],[Aop]],Data[],1)=T$2&amp;Cash_Flow_Statement[[#This Row],[Aop]],VLOOKUP(T$2&amp;Cash_Flow_Statement[[#This Row],[Aop]],Data[],T$1)/Jedinica,"")</f>
        <v>4755076</v>
      </c>
    </row>
    <row r="12" spans="1:20" ht="12.75" customHeight="1" x14ac:dyDescent="0.2">
      <c r="A12" s="74">
        <v>244</v>
      </c>
      <c r="B12" s="74">
        <v>2</v>
      </c>
      <c r="C12" s="82" t="str">
        <f>VLOOKUP(Cash_Flow_Statement[[#This Row],[No]],AOP_Balance,3,0)</f>
        <v>506</v>
      </c>
      <c r="D12" s="56" t="str">
        <f>VLOOKUP(Cash_Flow_Statement[[#This Row],[No]],AOP_Balance,7,0)</f>
        <v xml:space="preserve">    Primici i isplate po vanrednim stavkama</v>
      </c>
      <c r="E12" s="38">
        <f>IF(VLOOKUP(E$2&amp;Cash_Flow_Statement[[#This Row],[Aop]],Data[],1)=E$2&amp;Cash_Flow_Statement[[#This Row],[Aop]],VLOOKUP(E$2&amp;Cash_Flow_Statement[[#This Row],[Aop]],Data[],E$1)/Jedinica,"")</f>
        <v>-2191</v>
      </c>
      <c r="F12" s="38">
        <f>IF(VLOOKUP(F$2&amp;Cash_Flow_Statement[[#This Row],[Aop]],Data[],1)=F$2&amp;Cash_Flow_Statement[[#This Row],[Aop]],VLOOKUP(F$2&amp;Cash_Flow_Statement[[#This Row],[Aop]],Data[],F$1)/Jedinica,"")</f>
        <v>-398</v>
      </c>
      <c r="G12" s="38">
        <f>IF(VLOOKUP(G$2&amp;Cash_Flow_Statement[[#This Row],[Aop]],Data[],1)=G$2&amp;Cash_Flow_Statement[[#This Row],[Aop]],VLOOKUP(G$2&amp;Cash_Flow_Statement[[#This Row],[Aop]],Data[],G$1)/Jedinica,"")</f>
        <v>72048</v>
      </c>
      <c r="H12" s="38">
        <f>IF(VLOOKUP(H$2&amp;Cash_Flow_Statement[[#This Row],[Aop]],Data[],1)=H$2&amp;Cash_Flow_Statement[[#This Row],[Aop]],VLOOKUP(H$2&amp;Cash_Flow_Statement[[#This Row],[Aop]],Data[],H$1)/Jedinica,"")</f>
        <v>12327</v>
      </c>
      <c r="I12" s="38">
        <f>IF(VLOOKUP(I$2&amp;Cash_Flow_Statement[[#This Row],[Aop]],Data[],1)=I$2&amp;Cash_Flow_Statement[[#This Row],[Aop]],VLOOKUP(I$2&amp;Cash_Flow_Statement[[#This Row],[Aop]],Data[],I$1)/Jedinica,"")</f>
        <v>72048</v>
      </c>
      <c r="J12" s="38">
        <f>IF(VLOOKUP(J$2&amp;Cash_Flow_Statement[[#This Row],[Aop]],Data[],1)=J$2&amp;Cash_Flow_Statement[[#This Row],[Aop]],VLOOKUP(J$2&amp;Cash_Flow_Statement[[#This Row],[Aop]],Data[],J$1)/Jedinica,"")</f>
        <v>12327</v>
      </c>
      <c r="K12" s="38">
        <f>IF(VLOOKUP(K$2&amp;Cash_Flow_Statement[[#This Row],[Aop]],Data[],1)=K$2&amp;Cash_Flow_Statement[[#This Row],[Aop]],VLOOKUP(K$2&amp;Cash_Flow_Statement[[#This Row],[Aop]],Data[],K$1)/Jedinica,"")</f>
        <v>7810705</v>
      </c>
      <c r="L12" s="38">
        <f>IF(VLOOKUP(L$2&amp;Cash_Flow_Statement[[#This Row],[Aop]],Data[],1)=L$2&amp;Cash_Flow_Statement[[#This Row],[Aop]],VLOOKUP(L$2&amp;Cash_Flow_Statement[[#This Row],[Aop]],Data[],L$1)/Jedinica,"")</f>
        <v>6986849</v>
      </c>
      <c r="M12" s="38">
        <f>IF(VLOOKUP(M$2&amp;Cash_Flow_Statement[[#This Row],[Aop]],Data[],1)=M$2&amp;Cash_Flow_Statement[[#This Row],[Aop]],VLOOKUP(M$2&amp;Cash_Flow_Statement[[#This Row],[Aop]],Data[],M$1)/Jedinica,"")</f>
        <v>207503</v>
      </c>
      <c r="N12" s="38">
        <f>IF(VLOOKUP(N$2&amp;Cash_Flow_Statement[[#This Row],[Aop]],Data[],1)=N$2&amp;Cash_Flow_Statement[[#This Row],[Aop]],VLOOKUP(N$2&amp;Cash_Flow_Statement[[#This Row],[Aop]],Data[],N$1)/Jedinica,"")</f>
        <v>93447</v>
      </c>
      <c r="O12" s="38">
        <f>IF(VLOOKUP(O$2&amp;Cash_Flow_Statement[[#This Row],[Aop]],Data[],1)=O$2&amp;Cash_Flow_Statement[[#This Row],[Aop]],VLOOKUP(O$2&amp;Cash_Flow_Statement[[#This Row],[Aop]],Data[],O$1)/Jedinica,"")</f>
        <v>7810705</v>
      </c>
      <c r="P12" s="38">
        <f>IF(VLOOKUP(P$2&amp;Cash_Flow_Statement[[#This Row],[Aop]],Data[],1)=P$2&amp;Cash_Flow_Statement[[#This Row],[Aop]],VLOOKUP(P$2&amp;Cash_Flow_Statement[[#This Row],[Aop]],Data[],P$1)/Jedinica,"")</f>
        <v>6986849</v>
      </c>
      <c r="Q12" s="38">
        <f>IF(VLOOKUP(Q$2&amp;Cash_Flow_Statement[[#This Row],[Aop]],Data[],1)=Q$2&amp;Cash_Flow_Statement[[#This Row],[Aop]],VLOOKUP(Q$2&amp;Cash_Flow_Statement[[#This Row],[Aop]],Data[],Q$1)/Jedinica,"")</f>
        <v>3069</v>
      </c>
      <c r="R12" s="38">
        <f>IF(VLOOKUP(R$2&amp;Cash_Flow_Statement[[#This Row],[Aop]],Data[],1)=R$2&amp;Cash_Flow_Statement[[#This Row],[Aop]],VLOOKUP(R$2&amp;Cash_Flow_Statement[[#This Row],[Aop]],Data[],R$1)/Jedinica,"")</f>
        <v>5387</v>
      </c>
      <c r="S12" s="38">
        <f>IF(VLOOKUP(S$2&amp;Cash_Flow_Statement[[#This Row],[Aop]],Data[],1)=S$2&amp;Cash_Flow_Statement[[#This Row],[Aop]],VLOOKUP(S$2&amp;Cash_Flow_Statement[[#This Row],[Aop]],Data[],S$1)/Jedinica,"")</f>
        <v>1463286</v>
      </c>
      <c r="T12" s="38">
        <f>IF(VLOOKUP(T$2&amp;Cash_Flow_Statement[[#This Row],[Aop]],Data[],1)=T$2&amp;Cash_Flow_Statement[[#This Row],[Aop]],VLOOKUP(T$2&amp;Cash_Flow_Statement[[#This Row],[Aop]],Data[],T$1)/Jedinica,"")</f>
        <v>665690</v>
      </c>
    </row>
    <row r="13" spans="1:20" ht="12.75" customHeight="1" x14ac:dyDescent="0.2">
      <c r="A13" s="74">
        <v>245</v>
      </c>
      <c r="B13" s="74">
        <v>2</v>
      </c>
      <c r="C13" s="82" t="str">
        <f>VLOOKUP(Cash_Flow_Statement[[#This Row],[No]],AOP_Balance,3,0)</f>
        <v>507</v>
      </c>
      <c r="D13" s="52" t="str">
        <f>VLOOKUP(Cash_Flow_Statement[[#This Row],[No]],AOP_Balance,7,0)</f>
        <v xml:space="preserve">    (Povećanje) smanjenje u operativnoj aktivi</v>
      </c>
      <c r="E13" s="38" t="str">
        <f>IF(VLOOKUP(E$2&amp;Cash_Flow_Statement[[#This Row],[Aop]],Data[],1)=E$2&amp;Cash_Flow_Statement[[#This Row],[Aop]],VLOOKUP(E$2&amp;Cash_Flow_Statement[[#This Row],[Aop]],Data[],E$1)/Jedinica,"")</f>
        <v/>
      </c>
      <c r="F13" s="38" t="str">
        <f>IF(VLOOKUP(F$2&amp;Cash_Flow_Statement[[#This Row],[Aop]],Data[],1)=F$2&amp;Cash_Flow_Statement[[#This Row],[Aop]],VLOOKUP(F$2&amp;Cash_Flow_Statement[[#This Row],[Aop]],Data[],F$1)/Jedinica,"")</f>
        <v/>
      </c>
      <c r="G13" s="38">
        <f>IF(VLOOKUP(G$2&amp;Cash_Flow_Statement[[#This Row],[Aop]],Data[],1)=G$2&amp;Cash_Flow_Statement[[#This Row],[Aop]],VLOOKUP(G$2&amp;Cash_Flow_Statement[[#This Row],[Aop]],Data[],G$1)/Jedinica,"")</f>
        <v>72048</v>
      </c>
      <c r="H13" s="38">
        <f>IF(VLOOKUP(H$2&amp;Cash_Flow_Statement[[#This Row],[Aop]],Data[],1)=H$2&amp;Cash_Flow_Statement[[#This Row],[Aop]],VLOOKUP(H$2&amp;Cash_Flow_Statement[[#This Row],[Aop]],Data[],H$1)/Jedinica,"")</f>
        <v>12327</v>
      </c>
      <c r="I13" s="38">
        <f>IF(VLOOKUP(I$2&amp;Cash_Flow_Statement[[#This Row],[Aop]],Data[],1)=I$2&amp;Cash_Flow_Statement[[#This Row],[Aop]],VLOOKUP(I$2&amp;Cash_Flow_Statement[[#This Row],[Aop]],Data[],I$1)/Jedinica,"")</f>
        <v>72048</v>
      </c>
      <c r="J13" s="38">
        <f>IF(VLOOKUP(J$2&amp;Cash_Flow_Statement[[#This Row],[Aop]],Data[],1)=J$2&amp;Cash_Flow_Statement[[#This Row],[Aop]],VLOOKUP(J$2&amp;Cash_Flow_Statement[[#This Row],[Aop]],Data[],J$1)/Jedinica,"")</f>
        <v>12327</v>
      </c>
      <c r="K13" s="38">
        <f>IF(VLOOKUP(K$2&amp;Cash_Flow_Statement[[#This Row],[Aop]],Data[],1)=K$2&amp;Cash_Flow_Statement[[#This Row],[Aop]],VLOOKUP(K$2&amp;Cash_Flow_Statement[[#This Row],[Aop]],Data[],K$1)/Jedinica,"")</f>
        <v>3331062</v>
      </c>
      <c r="L13" s="38">
        <f>IF(VLOOKUP(L$2&amp;Cash_Flow_Statement[[#This Row],[Aop]],Data[],1)=L$2&amp;Cash_Flow_Statement[[#This Row],[Aop]],VLOOKUP(L$2&amp;Cash_Flow_Statement[[#This Row],[Aop]],Data[],L$1)/Jedinica,"")</f>
        <v>525186</v>
      </c>
      <c r="M13" s="38">
        <f>IF(VLOOKUP(M$2&amp;Cash_Flow_Statement[[#This Row],[Aop]],Data[],1)=M$2&amp;Cash_Flow_Statement[[#This Row],[Aop]],VLOOKUP(M$2&amp;Cash_Flow_Statement[[#This Row],[Aop]],Data[],M$1)/Jedinica,"")</f>
        <v>801784</v>
      </c>
      <c r="N13" s="38">
        <f>IF(VLOOKUP(N$2&amp;Cash_Flow_Statement[[#This Row],[Aop]],Data[],1)=N$2&amp;Cash_Flow_Statement[[#This Row],[Aop]],VLOOKUP(N$2&amp;Cash_Flow_Statement[[#This Row],[Aop]],Data[],N$1)/Jedinica,"")</f>
        <v>452063</v>
      </c>
      <c r="O13" s="38">
        <f>IF(VLOOKUP(O$2&amp;Cash_Flow_Statement[[#This Row],[Aop]],Data[],1)=O$2&amp;Cash_Flow_Statement[[#This Row],[Aop]],VLOOKUP(O$2&amp;Cash_Flow_Statement[[#This Row],[Aop]],Data[],O$1)/Jedinica,"")</f>
        <v>3331062</v>
      </c>
      <c r="P13" s="38">
        <f>IF(VLOOKUP(P$2&amp;Cash_Flow_Statement[[#This Row],[Aop]],Data[],1)=P$2&amp;Cash_Flow_Statement[[#This Row],[Aop]],VLOOKUP(P$2&amp;Cash_Flow_Statement[[#This Row],[Aop]],Data[],P$1)/Jedinica,"")</f>
        <v>525186</v>
      </c>
      <c r="Q13" s="38">
        <f>IF(VLOOKUP(Q$2&amp;Cash_Flow_Statement[[#This Row],[Aop]],Data[],1)=Q$2&amp;Cash_Flow_Statement[[#This Row],[Aop]],VLOOKUP(Q$2&amp;Cash_Flow_Statement[[#This Row],[Aop]],Data[],Q$1)/Jedinica,"")</f>
        <v>3636906</v>
      </c>
      <c r="R13" s="38">
        <f>IF(VLOOKUP(R$2&amp;Cash_Flow_Statement[[#This Row],[Aop]],Data[],1)=R$2&amp;Cash_Flow_Statement[[#This Row],[Aop]],VLOOKUP(R$2&amp;Cash_Flow_Statement[[#This Row],[Aop]],Data[],R$1)/Jedinica,"")</f>
        <v>3705040</v>
      </c>
      <c r="S13" s="38">
        <f>IF(VLOOKUP(S$2&amp;Cash_Flow_Statement[[#This Row],[Aop]],Data[],1)=S$2&amp;Cash_Flow_Statement[[#This Row],[Aop]],VLOOKUP(S$2&amp;Cash_Flow_Statement[[#This Row],[Aop]],Data[],S$1)/Jedinica,"")</f>
        <v>1415836</v>
      </c>
      <c r="T13" s="38">
        <f>IF(VLOOKUP(T$2&amp;Cash_Flow_Statement[[#This Row],[Aop]],Data[],1)=T$2&amp;Cash_Flow_Statement[[#This Row],[Aop]],VLOOKUP(T$2&amp;Cash_Flow_Statement[[#This Row],[Aop]],Data[],T$1)/Jedinica,"")</f>
        <v>1251610</v>
      </c>
    </row>
    <row r="14" spans="1:20" ht="12.75" customHeight="1" x14ac:dyDescent="0.2">
      <c r="A14" s="74">
        <v>246</v>
      </c>
      <c r="B14" s="74">
        <v>2</v>
      </c>
      <c r="C14" s="82" t="str">
        <f>VLOOKUP(Cash_Flow_Statement[[#This Row],[No]],AOP_Balance,3,0)</f>
        <v>508</v>
      </c>
      <c r="D14" s="56" t="str">
        <f>VLOOKUP(Cash_Flow_Statement[[#This Row],[No]],AOP_Balance,7,0)</f>
        <v xml:space="preserve">    Novčane pozajmice i krediti dati klijentima i naplate istih</v>
      </c>
      <c r="E14" s="38">
        <f>IF(VLOOKUP(E$2&amp;Cash_Flow_Statement[[#This Row],[Aop]],Data[],1)=E$2&amp;Cash_Flow_Statement[[#This Row],[Aop]],VLOOKUP(E$2&amp;Cash_Flow_Statement[[#This Row],[Aop]],Data[],E$1)/Jedinica,"")</f>
        <v>-14425</v>
      </c>
      <c r="F14" s="38">
        <f>IF(VLOOKUP(F$2&amp;Cash_Flow_Statement[[#This Row],[Aop]],Data[],1)=F$2&amp;Cash_Flow_Statement[[#This Row],[Aop]],VLOOKUP(F$2&amp;Cash_Flow_Statement[[#This Row],[Aop]],Data[],F$1)/Jedinica,"")</f>
        <v>-29507</v>
      </c>
      <c r="G14" s="38">
        <f>IF(VLOOKUP(G$2&amp;Cash_Flow_Statement[[#This Row],[Aop]],Data[],1)=G$2&amp;Cash_Flow_Statement[[#This Row],[Aop]],VLOOKUP(G$2&amp;Cash_Flow_Statement[[#This Row],[Aop]],Data[],G$1)/Jedinica,"")</f>
        <v>2872955</v>
      </c>
      <c r="H14" s="38">
        <f>IF(VLOOKUP(H$2&amp;Cash_Flow_Statement[[#This Row],[Aop]],Data[],1)=H$2&amp;Cash_Flow_Statement[[#This Row],[Aop]],VLOOKUP(H$2&amp;Cash_Flow_Statement[[#This Row],[Aop]],Data[],H$1)/Jedinica,"")</f>
        <v>2808880</v>
      </c>
      <c r="I14" s="38">
        <f>IF(VLOOKUP(I$2&amp;Cash_Flow_Statement[[#This Row],[Aop]],Data[],1)=I$2&amp;Cash_Flow_Statement[[#This Row],[Aop]],VLOOKUP(I$2&amp;Cash_Flow_Statement[[#This Row],[Aop]],Data[],I$1)/Jedinica,"")</f>
        <v>2872955</v>
      </c>
      <c r="J14" s="38">
        <f>IF(VLOOKUP(J$2&amp;Cash_Flow_Statement[[#This Row],[Aop]],Data[],1)=J$2&amp;Cash_Flow_Statement[[#This Row],[Aop]],VLOOKUP(J$2&amp;Cash_Flow_Statement[[#This Row],[Aop]],Data[],J$1)/Jedinica,"")</f>
        <v>2808880</v>
      </c>
      <c r="K14" s="38">
        <f>IF(VLOOKUP(K$2&amp;Cash_Flow_Statement[[#This Row],[Aop]],Data[],1)=K$2&amp;Cash_Flow_Statement[[#This Row],[Aop]],VLOOKUP(K$2&amp;Cash_Flow_Statement[[#This Row],[Aop]],Data[],K$1)/Jedinica,"")</f>
        <v>6797418</v>
      </c>
      <c r="L14" s="38">
        <f>IF(VLOOKUP(L$2&amp;Cash_Flow_Statement[[#This Row],[Aop]],Data[],1)=L$2&amp;Cash_Flow_Statement[[#This Row],[Aop]],VLOOKUP(L$2&amp;Cash_Flow_Statement[[#This Row],[Aop]],Data[],L$1)/Jedinica,"")</f>
        <v>5229937</v>
      </c>
      <c r="M14" s="38">
        <f>IF(VLOOKUP(M$2&amp;Cash_Flow_Statement[[#This Row],[Aop]],Data[],1)=M$2&amp;Cash_Flow_Statement[[#This Row],[Aop]],VLOOKUP(M$2&amp;Cash_Flow_Statement[[#This Row],[Aop]],Data[],M$1)/Jedinica,"")</f>
        <v>800842</v>
      </c>
      <c r="N14" s="38">
        <f>IF(VLOOKUP(N$2&amp;Cash_Flow_Statement[[#This Row],[Aop]],Data[],1)=N$2&amp;Cash_Flow_Statement[[#This Row],[Aop]],VLOOKUP(N$2&amp;Cash_Flow_Statement[[#This Row],[Aop]],Data[],N$1)/Jedinica,"")</f>
        <v>90918</v>
      </c>
      <c r="O14" s="38">
        <f>IF(VLOOKUP(O$2&amp;Cash_Flow_Statement[[#This Row],[Aop]],Data[],1)=O$2&amp;Cash_Flow_Statement[[#This Row],[Aop]],VLOOKUP(O$2&amp;Cash_Flow_Statement[[#This Row],[Aop]],Data[],O$1)/Jedinica,"")</f>
        <v>6797418</v>
      </c>
      <c r="P14" s="38">
        <f>IF(VLOOKUP(P$2&amp;Cash_Flow_Statement[[#This Row],[Aop]],Data[],1)=P$2&amp;Cash_Flow_Statement[[#This Row],[Aop]],VLOOKUP(P$2&amp;Cash_Flow_Statement[[#This Row],[Aop]],Data[],P$1)/Jedinica,"")</f>
        <v>5229937</v>
      </c>
      <c r="Q14" s="38">
        <f>IF(VLOOKUP(Q$2&amp;Cash_Flow_Statement[[#This Row],[Aop]],Data[],1)=Q$2&amp;Cash_Flow_Statement[[#This Row],[Aop]],VLOOKUP(Q$2&amp;Cash_Flow_Statement[[#This Row],[Aop]],Data[],Q$1)/Jedinica,"")</f>
        <v>5736752</v>
      </c>
      <c r="R14" s="38">
        <f>IF(VLOOKUP(R$2&amp;Cash_Flow_Statement[[#This Row],[Aop]],Data[],1)=R$2&amp;Cash_Flow_Statement[[#This Row],[Aop]],VLOOKUP(R$2&amp;Cash_Flow_Statement[[#This Row],[Aop]],Data[],R$1)/Jedinica,"")</f>
        <v>6209850</v>
      </c>
      <c r="S14" s="38">
        <f>IF(VLOOKUP(S$2&amp;Cash_Flow_Statement[[#This Row],[Aop]],Data[],1)=S$2&amp;Cash_Flow_Statement[[#This Row],[Aop]],VLOOKUP(S$2&amp;Cash_Flow_Statement[[#This Row],[Aop]],Data[],S$1)/Jedinica,"")</f>
        <v>3099735</v>
      </c>
      <c r="T14" s="38">
        <f>IF(VLOOKUP(T$2&amp;Cash_Flow_Statement[[#This Row],[Aop]],Data[],1)=T$2&amp;Cash_Flow_Statement[[#This Row],[Aop]],VLOOKUP(T$2&amp;Cash_Flow_Statement[[#This Row],[Aop]],Data[],T$1)/Jedinica,"")</f>
        <v>2837776</v>
      </c>
    </row>
    <row r="15" spans="1:20" ht="12.75" customHeight="1" x14ac:dyDescent="0.2">
      <c r="A15" s="74">
        <v>247</v>
      </c>
      <c r="B15" s="74">
        <v>2</v>
      </c>
      <c r="C15" s="82" t="str">
        <f>VLOOKUP(Cash_Flow_Statement[[#This Row],[No]],AOP_Balance,3,0)</f>
        <v>509</v>
      </c>
      <c r="D15" s="56" t="str">
        <f>VLOOKUP(Cash_Flow_Statement[[#This Row],[No]],AOP_Balance,7,0)</f>
        <v xml:space="preserve">    Računi depozita kod državnih institucija -propisi i monetarni zahtjevi-</v>
      </c>
      <c r="E15" s="38" t="str">
        <f>IF(VLOOKUP(E$2&amp;Cash_Flow_Statement[[#This Row],[Aop]],Data[],1)=E$2&amp;Cash_Flow_Statement[[#This Row],[Aop]],VLOOKUP(E$2&amp;Cash_Flow_Statement[[#This Row],[Aop]],Data[],E$1)/Jedinica,"")</f>
        <v/>
      </c>
      <c r="F15" s="38" t="str">
        <f>IF(VLOOKUP(F$2&amp;Cash_Flow_Statement[[#This Row],[Aop]],Data[],1)=F$2&amp;Cash_Flow_Statement[[#This Row],[Aop]],VLOOKUP(F$2&amp;Cash_Flow_Statement[[#This Row],[Aop]],Data[],F$1)/Jedinica,"")</f>
        <v/>
      </c>
      <c r="G15" s="38">
        <f>IF(VLOOKUP(G$2&amp;Cash_Flow_Statement[[#This Row],[Aop]],Data[],1)=G$2&amp;Cash_Flow_Statement[[#This Row],[Aop]],VLOOKUP(G$2&amp;Cash_Flow_Statement[[#This Row],[Aop]],Data[],G$1)/Jedinica,"")</f>
        <v>21570937</v>
      </c>
      <c r="H15" s="38">
        <f>IF(VLOOKUP(H$2&amp;Cash_Flow_Statement[[#This Row],[Aop]],Data[],1)=H$2&amp;Cash_Flow_Statement[[#This Row],[Aop]],VLOOKUP(H$2&amp;Cash_Flow_Statement[[#This Row],[Aop]],Data[],H$1)/Jedinica,"")</f>
        <v>18726257</v>
      </c>
      <c r="I15" s="38">
        <f>IF(VLOOKUP(I$2&amp;Cash_Flow_Statement[[#This Row],[Aop]],Data[],1)=I$2&amp;Cash_Flow_Statement[[#This Row],[Aop]],VLOOKUP(I$2&amp;Cash_Flow_Statement[[#This Row],[Aop]],Data[],I$1)/Jedinica,"")</f>
        <v>21570937</v>
      </c>
      <c r="J15" s="38">
        <f>IF(VLOOKUP(J$2&amp;Cash_Flow_Statement[[#This Row],[Aop]],Data[],1)=J$2&amp;Cash_Flow_Statement[[#This Row],[Aop]],VLOOKUP(J$2&amp;Cash_Flow_Statement[[#This Row],[Aop]],Data[],J$1)/Jedinica,"")</f>
        <v>18726257</v>
      </c>
      <c r="K15" s="38">
        <f>IF(VLOOKUP(K$2&amp;Cash_Flow_Statement[[#This Row],[Aop]],Data[],1)=K$2&amp;Cash_Flow_Statement[[#This Row],[Aop]],VLOOKUP(K$2&amp;Cash_Flow_Statement[[#This Row],[Aop]],Data[],K$1)/Jedinica,"")</f>
        <v>17324338</v>
      </c>
      <c r="L15" s="38">
        <f>IF(VLOOKUP(L$2&amp;Cash_Flow_Statement[[#This Row],[Aop]],Data[],1)=L$2&amp;Cash_Flow_Statement[[#This Row],[Aop]],VLOOKUP(L$2&amp;Cash_Flow_Statement[[#This Row],[Aop]],Data[],L$1)/Jedinica,"")</f>
        <v>18291803</v>
      </c>
      <c r="M15" s="38">
        <f>IF(VLOOKUP(M$2&amp;Cash_Flow_Statement[[#This Row],[Aop]],Data[],1)=M$2&amp;Cash_Flow_Statement[[#This Row],[Aop]],VLOOKUP(M$2&amp;Cash_Flow_Statement[[#This Row],[Aop]],Data[],M$1)/Jedinica,"")</f>
        <v>3002581</v>
      </c>
      <c r="N15" s="38">
        <f>IF(VLOOKUP(N$2&amp;Cash_Flow_Statement[[#This Row],[Aop]],Data[],1)=N$2&amp;Cash_Flow_Statement[[#This Row],[Aop]],VLOOKUP(N$2&amp;Cash_Flow_Statement[[#This Row],[Aop]],Data[],N$1)/Jedinica,"")</f>
        <v>1972141</v>
      </c>
      <c r="O15" s="38">
        <f>IF(VLOOKUP(O$2&amp;Cash_Flow_Statement[[#This Row],[Aop]],Data[],1)=O$2&amp;Cash_Flow_Statement[[#This Row],[Aop]],VLOOKUP(O$2&amp;Cash_Flow_Statement[[#This Row],[Aop]],Data[],O$1)/Jedinica,"")</f>
        <v>17324338</v>
      </c>
      <c r="P15" s="38">
        <f>IF(VLOOKUP(P$2&amp;Cash_Flow_Statement[[#This Row],[Aop]],Data[],1)=P$2&amp;Cash_Flow_Statement[[#This Row],[Aop]],VLOOKUP(P$2&amp;Cash_Flow_Statement[[#This Row],[Aop]],Data[],P$1)/Jedinica,"")</f>
        <v>18291803</v>
      </c>
      <c r="Q15" s="38">
        <f>IF(VLOOKUP(Q$2&amp;Cash_Flow_Statement[[#This Row],[Aop]],Data[],1)=Q$2&amp;Cash_Flow_Statement[[#This Row],[Aop]],VLOOKUP(Q$2&amp;Cash_Flow_Statement[[#This Row],[Aop]],Data[],Q$1)/Jedinica,"")</f>
        <v>14223469</v>
      </c>
      <c r="R15" s="38">
        <f>IF(VLOOKUP(R$2&amp;Cash_Flow_Statement[[#This Row],[Aop]],Data[],1)=R$2&amp;Cash_Flow_Statement[[#This Row],[Aop]],VLOOKUP(R$2&amp;Cash_Flow_Statement[[#This Row],[Aop]],Data[],R$1)/Jedinica,"")</f>
        <v>16683148</v>
      </c>
      <c r="S15" s="38">
        <f>IF(VLOOKUP(S$2&amp;Cash_Flow_Statement[[#This Row],[Aop]],Data[],1)=S$2&amp;Cash_Flow_Statement[[#This Row],[Aop]],VLOOKUP(S$2&amp;Cash_Flow_Statement[[#This Row],[Aop]],Data[],S$1)/Jedinica,"")</f>
        <v>9126572</v>
      </c>
      <c r="T15" s="38">
        <f>IF(VLOOKUP(T$2&amp;Cash_Flow_Statement[[#This Row],[Aop]],Data[],1)=T$2&amp;Cash_Flow_Statement[[#This Row],[Aop]],VLOOKUP(T$2&amp;Cash_Flow_Statement[[#This Row],[Aop]],Data[],T$1)/Jedinica,"")</f>
        <v>7888065</v>
      </c>
    </row>
    <row r="16" spans="1:20" ht="12.75" customHeight="1" x14ac:dyDescent="0.2">
      <c r="A16" s="74">
        <v>248</v>
      </c>
      <c r="B16" s="74">
        <v>2</v>
      </c>
      <c r="C16" s="82" t="str">
        <f>VLOOKUP(Cash_Flow_Statement[[#This Row],[No]],AOP_Balance,3,0)</f>
        <v>510</v>
      </c>
      <c r="D16" s="56" t="str">
        <f>VLOOKUP(Cash_Flow_Statement[[#This Row],[No]],AOP_Balance,7,0)</f>
        <v xml:space="preserve">    Depoziti klijenata</v>
      </c>
      <c r="E16" s="38">
        <f>IF(VLOOKUP(E$2&amp;Cash_Flow_Statement[[#This Row],[Aop]],Data[],1)=E$2&amp;Cash_Flow_Statement[[#This Row],[Aop]],VLOOKUP(E$2&amp;Cash_Flow_Statement[[#This Row],[Aop]],Data[],E$1)/Jedinica,"")</f>
        <v>25577</v>
      </c>
      <c r="F16" s="38">
        <f>IF(VLOOKUP(F$2&amp;Cash_Flow_Statement[[#This Row],[Aop]],Data[],1)=F$2&amp;Cash_Flow_Statement[[#This Row],[Aop]],VLOOKUP(F$2&amp;Cash_Flow_Statement[[#This Row],[Aop]],Data[],F$1)/Jedinica,"")</f>
        <v>10640</v>
      </c>
      <c r="G16" s="38">
        <f>IF(VLOOKUP(G$2&amp;Cash_Flow_Statement[[#This Row],[Aop]],Data[],1)=G$2&amp;Cash_Flow_Statement[[#This Row],[Aop]],VLOOKUP(G$2&amp;Cash_Flow_Statement[[#This Row],[Aop]],Data[],G$1)/Jedinica,"")</f>
        <v>-61029</v>
      </c>
      <c r="H16" s="38">
        <f>IF(VLOOKUP(H$2&amp;Cash_Flow_Statement[[#This Row],[Aop]],Data[],1)=H$2&amp;Cash_Flow_Statement[[#This Row],[Aop]],VLOOKUP(H$2&amp;Cash_Flow_Statement[[#This Row],[Aop]],Data[],H$1)/Jedinica,"")</f>
        <v>-8999</v>
      </c>
      <c r="I16" s="38">
        <f>IF(VLOOKUP(I$2&amp;Cash_Flow_Statement[[#This Row],[Aop]],Data[],1)=I$2&amp;Cash_Flow_Statement[[#This Row],[Aop]],VLOOKUP(I$2&amp;Cash_Flow_Statement[[#This Row],[Aop]],Data[],I$1)/Jedinica,"")</f>
        <v>-61029</v>
      </c>
      <c r="J16" s="38">
        <f>IF(VLOOKUP(J$2&amp;Cash_Flow_Statement[[#This Row],[Aop]],Data[],1)=J$2&amp;Cash_Flow_Statement[[#This Row],[Aop]],VLOOKUP(J$2&amp;Cash_Flow_Statement[[#This Row],[Aop]],Data[],J$1)/Jedinica,"")</f>
        <v>-8999</v>
      </c>
      <c r="K16" s="38">
        <f>IF(VLOOKUP(K$2&amp;Cash_Flow_Statement[[#This Row],[Aop]],Data[],1)=K$2&amp;Cash_Flow_Statement[[#This Row],[Aop]],VLOOKUP(K$2&amp;Cash_Flow_Statement[[#This Row],[Aop]],Data[],K$1)/Jedinica,"")</f>
        <v>102123</v>
      </c>
      <c r="L16" s="38">
        <f>IF(VLOOKUP(L$2&amp;Cash_Flow_Statement[[#This Row],[Aop]],Data[],1)=L$2&amp;Cash_Flow_Statement[[#This Row],[Aop]],VLOOKUP(L$2&amp;Cash_Flow_Statement[[#This Row],[Aop]],Data[],L$1)/Jedinica,"")</f>
        <v>103975</v>
      </c>
      <c r="M16" s="38">
        <f>IF(VLOOKUP(M$2&amp;Cash_Flow_Statement[[#This Row],[Aop]],Data[],1)=M$2&amp;Cash_Flow_Statement[[#This Row],[Aop]],VLOOKUP(M$2&amp;Cash_Flow_Statement[[#This Row],[Aop]],Data[],M$1)/Jedinica,"")</f>
        <v>6546</v>
      </c>
      <c r="N16" s="38">
        <f>IF(VLOOKUP(N$2&amp;Cash_Flow_Statement[[#This Row],[Aop]],Data[],1)=N$2&amp;Cash_Flow_Statement[[#This Row],[Aop]],VLOOKUP(N$2&amp;Cash_Flow_Statement[[#This Row],[Aop]],Data[],N$1)/Jedinica,"")</f>
        <v>9424</v>
      </c>
      <c r="O16" s="38">
        <f>IF(VLOOKUP(O$2&amp;Cash_Flow_Statement[[#This Row],[Aop]],Data[],1)=O$2&amp;Cash_Flow_Statement[[#This Row],[Aop]],VLOOKUP(O$2&amp;Cash_Flow_Statement[[#This Row],[Aop]],Data[],O$1)/Jedinica,"")</f>
        <v>102123</v>
      </c>
      <c r="P16" s="38">
        <f>IF(VLOOKUP(P$2&amp;Cash_Flow_Statement[[#This Row],[Aop]],Data[],1)=P$2&amp;Cash_Flow_Statement[[#This Row],[Aop]],VLOOKUP(P$2&amp;Cash_Flow_Statement[[#This Row],[Aop]],Data[],P$1)/Jedinica,"")</f>
        <v>103975</v>
      </c>
      <c r="Q16" s="38">
        <f>IF(VLOOKUP(Q$2&amp;Cash_Flow_Statement[[#This Row],[Aop]],Data[],1)=Q$2&amp;Cash_Flow_Statement[[#This Row],[Aop]],VLOOKUP(Q$2&amp;Cash_Flow_Statement[[#This Row],[Aop]],Data[],Q$1)/Jedinica,"")</f>
        <v>16193</v>
      </c>
      <c r="R16" s="38">
        <f>IF(VLOOKUP(R$2&amp;Cash_Flow_Statement[[#This Row],[Aop]],Data[],1)=R$2&amp;Cash_Flow_Statement[[#This Row],[Aop]],VLOOKUP(R$2&amp;Cash_Flow_Statement[[#This Row],[Aop]],Data[],R$1)/Jedinica,"")</f>
        <v>-13968</v>
      </c>
      <c r="S16" s="38" t="str">
        <f>IF(VLOOKUP(S$2&amp;Cash_Flow_Statement[[#This Row],[Aop]],Data[],1)=S$2&amp;Cash_Flow_Statement[[#This Row],[Aop]],VLOOKUP(S$2&amp;Cash_Flow_Statement[[#This Row],[Aop]],Data[],S$1)/Jedinica,"")</f>
        <v/>
      </c>
      <c r="T16" s="38" t="str">
        <f>IF(VLOOKUP(T$2&amp;Cash_Flow_Statement[[#This Row],[Aop]],Data[],1)=T$2&amp;Cash_Flow_Statement[[#This Row],[Aop]],VLOOKUP(T$2&amp;Cash_Flow_Statement[[#This Row],[Aop]],Data[],T$1)/Jedinica,"")</f>
        <v/>
      </c>
    </row>
    <row r="17" spans="1:20" ht="12.75" customHeight="1" x14ac:dyDescent="0.2">
      <c r="A17" s="74">
        <v>249</v>
      </c>
      <c r="B17" s="74">
        <v>2</v>
      </c>
      <c r="C17" s="82" t="str">
        <f>VLOOKUP(Cash_Flow_Statement[[#This Row],[No]],AOP_Balance,3,0)</f>
        <v>511</v>
      </c>
      <c r="D17" s="56" t="str">
        <f>VLOOKUP(Cash_Flow_Statement[[#This Row],[No]],AOP_Balance,7,0)</f>
        <v xml:space="preserve">    Plaćeni porez na dobit</v>
      </c>
      <c r="E17" s="38">
        <f>IF(VLOOKUP(E$2&amp;Cash_Flow_Statement[[#This Row],[Aop]],Data[],1)=E$2&amp;Cash_Flow_Statement[[#This Row],[Aop]],VLOOKUP(E$2&amp;Cash_Flow_Statement[[#This Row],[Aop]],Data[],E$1)/Jedinica,"")</f>
        <v>69</v>
      </c>
      <c r="F17" s="38">
        <f>IF(VLOOKUP(F$2&amp;Cash_Flow_Statement[[#This Row],[Aop]],Data[],1)=F$2&amp;Cash_Flow_Statement[[#This Row],[Aop]],VLOOKUP(F$2&amp;Cash_Flow_Statement[[#This Row],[Aop]],Data[],F$1)/Jedinica,"")</f>
        <v>543</v>
      </c>
      <c r="G17" s="38">
        <f>IF(VLOOKUP(G$2&amp;Cash_Flow_Statement[[#This Row],[Aop]],Data[],1)=G$2&amp;Cash_Flow_Statement[[#This Row],[Aop]],VLOOKUP(G$2&amp;Cash_Flow_Statement[[#This Row],[Aop]],Data[],G$1)/Jedinica,"")</f>
        <v>5855854</v>
      </c>
      <c r="H17" s="38">
        <f>IF(VLOOKUP(H$2&amp;Cash_Flow_Statement[[#This Row],[Aop]],Data[],1)=H$2&amp;Cash_Flow_Statement[[#This Row],[Aop]],VLOOKUP(H$2&amp;Cash_Flow_Statement[[#This Row],[Aop]],Data[],H$1)/Jedinica,"")</f>
        <v>6277341</v>
      </c>
      <c r="I17" s="38">
        <f>IF(VLOOKUP(I$2&amp;Cash_Flow_Statement[[#This Row],[Aop]],Data[],1)=I$2&amp;Cash_Flow_Statement[[#This Row],[Aop]],VLOOKUP(I$2&amp;Cash_Flow_Statement[[#This Row],[Aop]],Data[],I$1)/Jedinica,"")</f>
        <v>5855854</v>
      </c>
      <c r="J17" s="38">
        <f>IF(VLOOKUP(J$2&amp;Cash_Flow_Statement[[#This Row],[Aop]],Data[],1)=J$2&amp;Cash_Flow_Statement[[#This Row],[Aop]],VLOOKUP(J$2&amp;Cash_Flow_Statement[[#This Row],[Aop]],Data[],J$1)/Jedinica,"")</f>
        <v>6277341</v>
      </c>
      <c r="K17" s="38">
        <f>IF(VLOOKUP(K$2&amp;Cash_Flow_Statement[[#This Row],[Aop]],Data[],1)=K$2&amp;Cash_Flow_Statement[[#This Row],[Aop]],VLOOKUP(K$2&amp;Cash_Flow_Statement[[#This Row],[Aop]],Data[],K$1)/Jedinica,"")</f>
        <v>13242628</v>
      </c>
      <c r="L17" s="38">
        <f>IF(VLOOKUP(L$2&amp;Cash_Flow_Statement[[#This Row],[Aop]],Data[],1)=L$2&amp;Cash_Flow_Statement[[#This Row],[Aop]],VLOOKUP(L$2&amp;Cash_Flow_Statement[[#This Row],[Aop]],Data[],L$1)/Jedinica,"")</f>
        <v>9200745</v>
      </c>
      <c r="M17" s="38">
        <f>IF(VLOOKUP(M$2&amp;Cash_Flow_Statement[[#This Row],[Aop]],Data[],1)=M$2&amp;Cash_Flow_Statement[[#This Row],[Aop]],VLOOKUP(M$2&amp;Cash_Flow_Statement[[#This Row],[Aop]],Data[],M$1)/Jedinica,"")</f>
        <v>772296</v>
      </c>
      <c r="N17" s="38">
        <f>IF(VLOOKUP(N$2&amp;Cash_Flow_Statement[[#This Row],[Aop]],Data[],1)=N$2&amp;Cash_Flow_Statement[[#This Row],[Aop]],VLOOKUP(N$2&amp;Cash_Flow_Statement[[#This Row],[Aop]],Data[],N$1)/Jedinica,"")</f>
        <v>463407</v>
      </c>
      <c r="O17" s="38">
        <f>IF(VLOOKUP(O$2&amp;Cash_Flow_Statement[[#This Row],[Aop]],Data[],1)=O$2&amp;Cash_Flow_Statement[[#This Row],[Aop]],VLOOKUP(O$2&amp;Cash_Flow_Statement[[#This Row],[Aop]],Data[],O$1)/Jedinica,"")</f>
        <v>13242628</v>
      </c>
      <c r="P17" s="38">
        <f>IF(VLOOKUP(P$2&amp;Cash_Flow_Statement[[#This Row],[Aop]],Data[],1)=P$2&amp;Cash_Flow_Statement[[#This Row],[Aop]],VLOOKUP(P$2&amp;Cash_Flow_Statement[[#This Row],[Aop]],Data[],P$1)/Jedinica,"")</f>
        <v>9200745</v>
      </c>
      <c r="Q17" s="38">
        <f>IF(VLOOKUP(Q$2&amp;Cash_Flow_Statement[[#This Row],[Aop]],Data[],1)=Q$2&amp;Cash_Flow_Statement[[#This Row],[Aop]],VLOOKUP(Q$2&amp;Cash_Flow_Statement[[#This Row],[Aop]],Data[],Q$1)/Jedinica,"")</f>
        <v>3069</v>
      </c>
      <c r="R17" s="38">
        <f>IF(VLOOKUP(R$2&amp;Cash_Flow_Statement[[#This Row],[Aop]],Data[],1)=R$2&amp;Cash_Flow_Statement[[#This Row],[Aop]],VLOOKUP(R$2&amp;Cash_Flow_Statement[[#This Row],[Aop]],Data[],R$1)/Jedinica,"")</f>
        <v>5387</v>
      </c>
      <c r="S17" s="38">
        <f>IF(VLOOKUP(S$2&amp;Cash_Flow_Statement[[#This Row],[Aop]],Data[],1)=S$2&amp;Cash_Flow_Statement[[#This Row],[Aop]],VLOOKUP(S$2&amp;Cash_Flow_Statement[[#This Row],[Aop]],Data[],S$1)/Jedinica,"")</f>
        <v>4683819</v>
      </c>
      <c r="T17" s="38">
        <f>IF(VLOOKUP(T$2&amp;Cash_Flow_Statement[[#This Row],[Aop]],Data[],1)=T$2&amp;Cash_Flow_Statement[[#This Row],[Aop]],VLOOKUP(T$2&amp;Cash_Flow_Statement[[#This Row],[Aop]],Data[],T$1)/Jedinica,"")</f>
        <v>4053415</v>
      </c>
    </row>
    <row r="18" spans="1:20" ht="12.75" customHeight="1" x14ac:dyDescent="0.2">
      <c r="A18" s="74">
        <v>250</v>
      </c>
      <c r="B18" s="74">
        <v>2</v>
      </c>
      <c r="C18" s="82" t="str">
        <f>VLOOKUP(Cash_Flow_Statement[[#This Row],[No]],AOP_Balance,3,0)</f>
        <v>512</v>
      </c>
      <c r="D18" s="56" t="str">
        <f>VLOOKUP(Cash_Flow_Statement[[#This Row],[No]],AOP_Balance,7,0)</f>
        <v xml:space="preserve">    Neto novčana sredstva iz poslovnih aktivnosti</v>
      </c>
      <c r="E18" s="38">
        <f>IF(VLOOKUP(E$2&amp;Cash_Flow_Statement[[#This Row],[Aop]],Data[],1)=E$2&amp;Cash_Flow_Statement[[#This Row],[Aop]],VLOOKUP(E$2&amp;Cash_Flow_Statement[[#This Row],[Aop]],Data[],E$1)/Jedinica,"")</f>
        <v>10961</v>
      </c>
      <c r="F18" s="38">
        <f>IF(VLOOKUP(F$2&amp;Cash_Flow_Statement[[#This Row],[Aop]],Data[],1)=F$2&amp;Cash_Flow_Statement[[#This Row],[Aop]],VLOOKUP(F$2&amp;Cash_Flow_Statement[[#This Row],[Aop]],Data[],F$1)/Jedinica,"")</f>
        <v>-18210</v>
      </c>
      <c r="G18" s="38">
        <f>IF(VLOOKUP(G$2&amp;Cash_Flow_Statement[[#This Row],[Aop]],Data[],1)=G$2&amp;Cash_Flow_Statement[[#This Row],[Aop]],VLOOKUP(G$2&amp;Cash_Flow_Statement[[#This Row],[Aop]],Data[],G$1)/Jedinica,"")</f>
        <v>-72048</v>
      </c>
      <c r="H18" s="38">
        <f>IF(VLOOKUP(H$2&amp;Cash_Flow_Statement[[#This Row],[Aop]],Data[],1)=H$2&amp;Cash_Flow_Statement[[#This Row],[Aop]],VLOOKUP(H$2&amp;Cash_Flow_Statement[[#This Row],[Aop]],Data[],H$1)/Jedinica,"")</f>
        <v>-12327</v>
      </c>
      <c r="I18" s="38">
        <f>IF(VLOOKUP(I$2&amp;Cash_Flow_Statement[[#This Row],[Aop]],Data[],1)=I$2&amp;Cash_Flow_Statement[[#This Row],[Aop]],VLOOKUP(I$2&amp;Cash_Flow_Statement[[#This Row],[Aop]],Data[],I$1)/Jedinica,"")</f>
        <v>-72048</v>
      </c>
      <c r="J18" s="38">
        <f>IF(VLOOKUP(J$2&amp;Cash_Flow_Statement[[#This Row],[Aop]],Data[],1)=J$2&amp;Cash_Flow_Statement[[#This Row],[Aop]],VLOOKUP(J$2&amp;Cash_Flow_Statement[[#This Row],[Aop]],Data[],J$1)/Jedinica,"")</f>
        <v>-12327</v>
      </c>
      <c r="K18" s="38">
        <f>IF(VLOOKUP(K$2&amp;Cash_Flow_Statement[[#This Row],[Aop]],Data[],1)=K$2&amp;Cash_Flow_Statement[[#This Row],[Aop]],VLOOKUP(K$2&amp;Cash_Flow_Statement[[#This Row],[Aop]],Data[],K$1)/Jedinica,"")</f>
        <v>4086504</v>
      </c>
      <c r="L18" s="38">
        <f>IF(VLOOKUP(L$2&amp;Cash_Flow_Statement[[#This Row],[Aop]],Data[],1)=L$2&amp;Cash_Flow_Statement[[#This Row],[Aop]],VLOOKUP(L$2&amp;Cash_Flow_Statement[[#This Row],[Aop]],Data[],L$1)/Jedinica,"")</f>
        <v>3667029</v>
      </c>
      <c r="M18" s="38">
        <f>IF(VLOOKUP(M$2&amp;Cash_Flow_Statement[[#This Row],[Aop]],Data[],1)=M$2&amp;Cash_Flow_Statement[[#This Row],[Aop]],VLOOKUP(M$2&amp;Cash_Flow_Statement[[#This Row],[Aop]],Data[],M$1)/Jedinica,"")</f>
        <v>226218</v>
      </c>
      <c r="N18" s="38">
        <f>IF(VLOOKUP(N$2&amp;Cash_Flow_Statement[[#This Row],[Aop]],Data[],1)=N$2&amp;Cash_Flow_Statement[[#This Row],[Aop]],VLOOKUP(N$2&amp;Cash_Flow_Statement[[#This Row],[Aop]],Data[],N$1)/Jedinica,"")</f>
        <v>151917</v>
      </c>
      <c r="O18" s="38">
        <f>IF(VLOOKUP(O$2&amp;Cash_Flow_Statement[[#This Row],[Aop]],Data[],1)=O$2&amp;Cash_Flow_Statement[[#This Row],[Aop]],VLOOKUP(O$2&amp;Cash_Flow_Statement[[#This Row],[Aop]],Data[],O$1)/Jedinica,"")</f>
        <v>4086504</v>
      </c>
      <c r="P18" s="38">
        <f>IF(VLOOKUP(P$2&amp;Cash_Flow_Statement[[#This Row],[Aop]],Data[],1)=P$2&amp;Cash_Flow_Statement[[#This Row],[Aop]],VLOOKUP(P$2&amp;Cash_Flow_Statement[[#This Row],[Aop]],Data[],P$1)/Jedinica,"")</f>
        <v>3667029</v>
      </c>
      <c r="Q18" s="38">
        <f>IF(VLOOKUP(Q$2&amp;Cash_Flow_Statement[[#This Row],[Aop]],Data[],1)=Q$2&amp;Cash_Flow_Statement[[#This Row],[Aop]],VLOOKUP(Q$2&amp;Cash_Flow_Statement[[#This Row],[Aop]],Data[],Q$1)/Jedinica,"")</f>
        <v>642822</v>
      </c>
      <c r="R18" s="38">
        <f>IF(VLOOKUP(R$2&amp;Cash_Flow_Statement[[#This Row],[Aop]],Data[],1)=R$2&amp;Cash_Flow_Statement[[#This Row],[Aop]],VLOOKUP(R$2&amp;Cash_Flow_Statement[[#This Row],[Aop]],Data[],R$1)/Jedinica,"")</f>
        <v>629168</v>
      </c>
      <c r="S18" s="38">
        <f>IF(VLOOKUP(S$2&amp;Cash_Flow_Statement[[#This Row],[Aop]],Data[],1)=S$2&amp;Cash_Flow_Statement[[#This Row],[Aop]],VLOOKUP(S$2&amp;Cash_Flow_Statement[[#This Row],[Aop]],Data[],S$1)/Jedinica,"")</f>
        <v>1496139</v>
      </c>
      <c r="T18" s="38">
        <f>IF(VLOOKUP(T$2&amp;Cash_Flow_Statement[[#This Row],[Aop]],Data[],1)=T$2&amp;Cash_Flow_Statement[[#This Row],[Aop]],VLOOKUP(T$2&amp;Cash_Flow_Statement[[#This Row],[Aop]],Data[],T$1)/Jedinica,"")</f>
        <v>1343606</v>
      </c>
    </row>
    <row r="19" spans="1:20" ht="12.75" customHeight="1" x14ac:dyDescent="0.2">
      <c r="A19" s="74">
        <v>251</v>
      </c>
      <c r="B19" s="74">
        <v>1</v>
      </c>
      <c r="C19" s="82" t="str">
        <f>VLOOKUP(Cash_Flow_Statement[[#This Row],[No]],AOP_Balance,3,0)</f>
        <v/>
      </c>
      <c r="D19" s="56" t="str">
        <f>VLOOKUP(Cash_Flow_Statement[[#This Row],[No]],AOP_Balance,7,0)</f>
        <v xml:space="preserve">  NOVČANI TOKOVI IZ AKTIVNOSTI INVESTIRANJA</v>
      </c>
      <c r="E19" s="38" t="e">
        <f>IF(VLOOKUP(E$2&amp;Cash_Flow_Statement[[#This Row],[Aop]],Data[],1)=E$2&amp;Cash_Flow_Statement[[#This Row],[Aop]],VLOOKUP(E$2&amp;Cash_Flow_Statement[[#This Row],[Aop]],Data[],E$1)/Jedinica,"")</f>
        <v>#N/A</v>
      </c>
      <c r="F19" s="38" t="e">
        <f>IF(VLOOKUP(F$2&amp;Cash_Flow_Statement[[#This Row],[Aop]],Data[],1)=F$2&amp;Cash_Flow_Statement[[#This Row],[Aop]],VLOOKUP(F$2&amp;Cash_Flow_Statement[[#This Row],[Aop]],Data[],F$1)/Jedinica,"")</f>
        <v>#N/A</v>
      </c>
      <c r="G19" s="38" t="str">
        <f>IF(VLOOKUP(G$2&amp;Cash_Flow_Statement[[#This Row],[Aop]],Data[],1)=G$2&amp;Cash_Flow_Statement[[#This Row],[Aop]],VLOOKUP(G$2&amp;Cash_Flow_Statement[[#This Row],[Aop]],Data[],G$1)/Jedinica,"")</f>
        <v/>
      </c>
      <c r="H19" s="38" t="str">
        <f>IF(VLOOKUP(H$2&amp;Cash_Flow_Statement[[#This Row],[Aop]],Data[],1)=H$2&amp;Cash_Flow_Statement[[#This Row],[Aop]],VLOOKUP(H$2&amp;Cash_Flow_Statement[[#This Row],[Aop]],Data[],H$1)/Jedinica,"")</f>
        <v/>
      </c>
      <c r="I19" s="38" t="str">
        <f>IF(VLOOKUP(I$2&amp;Cash_Flow_Statement[[#This Row],[Aop]],Data[],1)=I$2&amp;Cash_Flow_Statement[[#This Row],[Aop]],VLOOKUP(I$2&amp;Cash_Flow_Statement[[#This Row],[Aop]],Data[],I$1)/Jedinica,"")</f>
        <v/>
      </c>
      <c r="J19" s="38" t="str">
        <f>IF(VLOOKUP(J$2&amp;Cash_Flow_Statement[[#This Row],[Aop]],Data[],1)=J$2&amp;Cash_Flow_Statement[[#This Row],[Aop]],VLOOKUP(J$2&amp;Cash_Flow_Statement[[#This Row],[Aop]],Data[],J$1)/Jedinica,"")</f>
        <v/>
      </c>
      <c r="K19" s="38" t="str">
        <f>IF(VLOOKUP(K$2&amp;Cash_Flow_Statement[[#This Row],[Aop]],Data[],1)=K$2&amp;Cash_Flow_Statement[[#This Row],[Aop]],VLOOKUP(K$2&amp;Cash_Flow_Statement[[#This Row],[Aop]],Data[],K$1)/Jedinica,"")</f>
        <v/>
      </c>
      <c r="L19" s="38" t="str">
        <f>IF(VLOOKUP(L$2&amp;Cash_Flow_Statement[[#This Row],[Aop]],Data[],1)=L$2&amp;Cash_Flow_Statement[[#This Row],[Aop]],VLOOKUP(L$2&amp;Cash_Flow_Statement[[#This Row],[Aop]],Data[],L$1)/Jedinica,"")</f>
        <v/>
      </c>
      <c r="M19" s="38" t="str">
        <f>IF(VLOOKUP(M$2&amp;Cash_Flow_Statement[[#This Row],[Aop]],Data[],1)=M$2&amp;Cash_Flow_Statement[[#This Row],[Aop]],VLOOKUP(M$2&amp;Cash_Flow_Statement[[#This Row],[Aop]],Data[],M$1)/Jedinica,"")</f>
        <v/>
      </c>
      <c r="N19" s="38" t="str">
        <f>IF(VLOOKUP(N$2&amp;Cash_Flow_Statement[[#This Row],[Aop]],Data[],1)=N$2&amp;Cash_Flow_Statement[[#This Row],[Aop]],VLOOKUP(N$2&amp;Cash_Flow_Statement[[#This Row],[Aop]],Data[],N$1)/Jedinica,"")</f>
        <v/>
      </c>
      <c r="O19" s="38" t="str">
        <f>IF(VLOOKUP(O$2&amp;Cash_Flow_Statement[[#This Row],[Aop]],Data[],1)=O$2&amp;Cash_Flow_Statement[[#This Row],[Aop]],VLOOKUP(O$2&amp;Cash_Flow_Statement[[#This Row],[Aop]],Data[],O$1)/Jedinica,"")</f>
        <v/>
      </c>
      <c r="P19" s="38" t="str">
        <f>IF(VLOOKUP(P$2&amp;Cash_Flow_Statement[[#This Row],[Aop]],Data[],1)=P$2&amp;Cash_Flow_Statement[[#This Row],[Aop]],VLOOKUP(P$2&amp;Cash_Flow_Statement[[#This Row],[Aop]],Data[],P$1)/Jedinica,"")</f>
        <v/>
      </c>
      <c r="Q19" s="38" t="str">
        <f>IF(VLOOKUP(Q$2&amp;Cash_Flow_Statement[[#This Row],[Aop]],Data[],1)=Q$2&amp;Cash_Flow_Statement[[#This Row],[Aop]],VLOOKUP(Q$2&amp;Cash_Flow_Statement[[#This Row],[Aop]],Data[],Q$1)/Jedinica,"")</f>
        <v/>
      </c>
      <c r="R19" s="38" t="str">
        <f>IF(VLOOKUP(R$2&amp;Cash_Flow_Statement[[#This Row],[Aop]],Data[],1)=R$2&amp;Cash_Flow_Statement[[#This Row],[Aop]],VLOOKUP(R$2&amp;Cash_Flow_Statement[[#This Row],[Aop]],Data[],R$1)/Jedinica,"")</f>
        <v/>
      </c>
      <c r="S19" s="38" t="str">
        <f>IF(VLOOKUP(S$2&amp;Cash_Flow_Statement[[#This Row],[Aop]],Data[],1)=S$2&amp;Cash_Flow_Statement[[#This Row],[Aop]],VLOOKUP(S$2&amp;Cash_Flow_Statement[[#This Row],[Aop]],Data[],S$1)/Jedinica,"")</f>
        <v/>
      </c>
      <c r="T19" s="38" t="str">
        <f>IF(VLOOKUP(T$2&amp;Cash_Flow_Statement[[#This Row],[Aop]],Data[],1)=T$2&amp;Cash_Flow_Statement[[#This Row],[Aop]],VLOOKUP(T$2&amp;Cash_Flow_Statement[[#This Row],[Aop]],Data[],T$1)/Jedinica,"")</f>
        <v/>
      </c>
    </row>
    <row r="20" spans="1:20" ht="12.75" customHeight="1" x14ac:dyDescent="0.2">
      <c r="A20" s="74">
        <v>252</v>
      </c>
      <c r="B20" s="74">
        <v>2</v>
      </c>
      <c r="C20" s="82" t="str">
        <f>VLOOKUP(Cash_Flow_Statement[[#This Row],[No]],AOP_Balance,3,0)</f>
        <v>513</v>
      </c>
      <c r="D20" s="56" t="str">
        <f>VLOOKUP(Cash_Flow_Statement[[#This Row],[No]],AOP_Balance,7,0)</f>
        <v xml:space="preserve">    Kratkoročni plasmani finansijskim insitucijama</v>
      </c>
      <c r="E20" s="38" t="str">
        <f>IF(VLOOKUP(E$2&amp;Cash_Flow_Statement[[#This Row],[Aop]],Data[],1)=E$2&amp;Cash_Flow_Statement[[#This Row],[Aop]],VLOOKUP(E$2&amp;Cash_Flow_Statement[[#This Row],[Aop]],Data[],E$1)/Jedinica,"")</f>
        <v/>
      </c>
      <c r="F20" s="38" t="str">
        <f>IF(VLOOKUP(F$2&amp;Cash_Flow_Statement[[#This Row],[Aop]],Data[],1)=F$2&amp;Cash_Flow_Statement[[#This Row],[Aop]],VLOOKUP(F$2&amp;Cash_Flow_Statement[[#This Row],[Aop]],Data[],F$1)/Jedinica,"")</f>
        <v/>
      </c>
      <c r="G20" s="38">
        <f>IF(VLOOKUP(G$2&amp;Cash_Flow_Statement[[#This Row],[Aop]],Data[],1)=G$2&amp;Cash_Flow_Statement[[#This Row],[Aop]],VLOOKUP(G$2&amp;Cash_Flow_Statement[[#This Row],[Aop]],Data[],G$1)/Jedinica,"")</f>
        <v>508912</v>
      </c>
      <c r="H20" s="38">
        <f>IF(VLOOKUP(H$2&amp;Cash_Flow_Statement[[#This Row],[Aop]],Data[],1)=H$2&amp;Cash_Flow_Statement[[#This Row],[Aop]],VLOOKUP(H$2&amp;Cash_Flow_Statement[[#This Row],[Aop]],Data[],H$1)/Jedinica,"")</f>
        <v>2937049</v>
      </c>
      <c r="I20" s="38">
        <f>IF(VLOOKUP(I$2&amp;Cash_Flow_Statement[[#This Row],[Aop]],Data[],1)=I$2&amp;Cash_Flow_Statement[[#This Row],[Aop]],VLOOKUP(I$2&amp;Cash_Flow_Statement[[#This Row],[Aop]],Data[],I$1)/Jedinica,"")</f>
        <v>508912</v>
      </c>
      <c r="J20" s="38">
        <f>IF(VLOOKUP(J$2&amp;Cash_Flow_Statement[[#This Row],[Aop]],Data[],1)=J$2&amp;Cash_Flow_Statement[[#This Row],[Aop]],VLOOKUP(J$2&amp;Cash_Flow_Statement[[#This Row],[Aop]],Data[],J$1)/Jedinica,"")</f>
        <v>2937049</v>
      </c>
      <c r="K20" s="38">
        <f>IF(VLOOKUP(K$2&amp;Cash_Flow_Statement[[#This Row],[Aop]],Data[],1)=K$2&amp;Cash_Flow_Statement[[#This Row],[Aop]],VLOOKUP(K$2&amp;Cash_Flow_Statement[[#This Row],[Aop]],Data[],K$1)/Jedinica,"")</f>
        <v>5895449</v>
      </c>
      <c r="L20" s="38">
        <f>IF(VLOOKUP(L$2&amp;Cash_Flow_Statement[[#This Row],[Aop]],Data[],1)=L$2&amp;Cash_Flow_Statement[[#This Row],[Aop]],VLOOKUP(L$2&amp;Cash_Flow_Statement[[#This Row],[Aop]],Data[],L$1)/Jedinica,"")</f>
        <v>3375758</v>
      </c>
      <c r="M20" s="38">
        <f>IF(VLOOKUP(M$2&amp;Cash_Flow_Statement[[#This Row],[Aop]],Data[],1)=M$2&amp;Cash_Flow_Statement[[#This Row],[Aop]],VLOOKUP(M$2&amp;Cash_Flow_Statement[[#This Row],[Aop]],Data[],M$1)/Jedinica,"")</f>
        <v>346442</v>
      </c>
      <c r="N20" s="38">
        <f>IF(VLOOKUP(N$2&amp;Cash_Flow_Statement[[#This Row],[Aop]],Data[],1)=N$2&amp;Cash_Flow_Statement[[#This Row],[Aop]],VLOOKUP(N$2&amp;Cash_Flow_Statement[[#This Row],[Aop]],Data[],N$1)/Jedinica,"")</f>
        <v>176774</v>
      </c>
      <c r="O20" s="38">
        <f>IF(VLOOKUP(O$2&amp;Cash_Flow_Statement[[#This Row],[Aop]],Data[],1)=O$2&amp;Cash_Flow_Statement[[#This Row],[Aop]],VLOOKUP(O$2&amp;Cash_Flow_Statement[[#This Row],[Aop]],Data[],O$1)/Jedinica,"")</f>
        <v>5895449</v>
      </c>
      <c r="P20" s="38">
        <f>IF(VLOOKUP(P$2&amp;Cash_Flow_Statement[[#This Row],[Aop]],Data[],1)=P$2&amp;Cash_Flow_Statement[[#This Row],[Aop]],VLOOKUP(P$2&amp;Cash_Flow_Statement[[#This Row],[Aop]],Data[],P$1)/Jedinica,"")</f>
        <v>3375758</v>
      </c>
      <c r="Q20" s="38">
        <f>IF(VLOOKUP(Q$2&amp;Cash_Flow_Statement[[#This Row],[Aop]],Data[],1)=Q$2&amp;Cash_Flow_Statement[[#This Row],[Aop]],VLOOKUP(Q$2&amp;Cash_Flow_Statement[[#This Row],[Aop]],Data[],Q$1)/Jedinica,"")</f>
        <v>64282</v>
      </c>
      <c r="R20" s="38">
        <f>IF(VLOOKUP(R$2&amp;Cash_Flow_Statement[[#This Row],[Aop]],Data[],1)=R$2&amp;Cash_Flow_Statement[[#This Row],[Aop]],VLOOKUP(R$2&amp;Cash_Flow_Statement[[#This Row],[Aop]],Data[],R$1)/Jedinica,"")</f>
        <v>62916</v>
      </c>
      <c r="S20" s="38">
        <f>IF(VLOOKUP(S$2&amp;Cash_Flow_Statement[[#This Row],[Aop]],Data[],1)=S$2&amp;Cash_Flow_Statement[[#This Row],[Aop]],VLOOKUP(S$2&amp;Cash_Flow_Statement[[#This Row],[Aop]],Data[],S$1)/Jedinica,"")</f>
        <v>1481857</v>
      </c>
      <c r="T20" s="38">
        <f>IF(VLOOKUP(T$2&amp;Cash_Flow_Statement[[#This Row],[Aop]],Data[],1)=T$2&amp;Cash_Flow_Statement[[#This Row],[Aop]],VLOOKUP(T$2&amp;Cash_Flow_Statement[[#This Row],[Aop]],Data[],T$1)/Jedinica,"")</f>
        <v>1307144</v>
      </c>
    </row>
    <row r="21" spans="1:20" ht="12.75" customHeight="1" x14ac:dyDescent="0.2">
      <c r="A21" s="74">
        <v>253</v>
      </c>
      <c r="B21" s="74">
        <v>2</v>
      </c>
      <c r="C21" s="82" t="str">
        <f>VLOOKUP(Cash_Flow_Statement[[#This Row],[No]],AOP_Balance,3,0)</f>
        <v>514</v>
      </c>
      <c r="D21" s="56" t="str">
        <f>VLOOKUP(Cash_Flow_Statement[[#This Row],[No]],AOP_Balance,7,0)</f>
        <v xml:space="preserve">    Primici kamata</v>
      </c>
      <c r="E21" s="38" t="str">
        <f>IF(VLOOKUP(E$2&amp;Cash_Flow_Statement[[#This Row],[Aop]],Data[],1)=E$2&amp;Cash_Flow_Statement[[#This Row],[Aop]],VLOOKUP(E$2&amp;Cash_Flow_Statement[[#This Row],[Aop]],Data[],E$1)/Jedinica,"")</f>
        <v/>
      </c>
      <c r="F21" s="38" t="str">
        <f>IF(VLOOKUP(F$2&amp;Cash_Flow_Statement[[#This Row],[Aop]],Data[],1)=F$2&amp;Cash_Flow_Statement[[#This Row],[Aop]],VLOOKUP(F$2&amp;Cash_Flow_Statement[[#This Row],[Aop]],Data[],F$1)/Jedinica,"")</f>
        <v/>
      </c>
      <c r="G21" s="38">
        <f>IF(VLOOKUP(G$2&amp;Cash_Flow_Statement[[#This Row],[Aop]],Data[],1)=G$2&amp;Cash_Flow_Statement[[#This Row],[Aop]],VLOOKUP(G$2&amp;Cash_Flow_Statement[[#This Row],[Aop]],Data[],G$1)/Jedinica,"")</f>
        <v>-72048</v>
      </c>
      <c r="H21" s="38">
        <f>IF(VLOOKUP(H$2&amp;Cash_Flow_Statement[[#This Row],[Aop]],Data[],1)=H$2&amp;Cash_Flow_Statement[[#This Row],[Aop]],VLOOKUP(H$2&amp;Cash_Flow_Statement[[#This Row],[Aop]],Data[],H$1)/Jedinica,"")</f>
        <v>-12327</v>
      </c>
      <c r="I21" s="38">
        <f>IF(VLOOKUP(I$2&amp;Cash_Flow_Statement[[#This Row],[Aop]],Data[],1)=I$2&amp;Cash_Flow_Statement[[#This Row],[Aop]],VLOOKUP(I$2&amp;Cash_Flow_Statement[[#This Row],[Aop]],Data[],I$1)/Jedinica,"")</f>
        <v>-72048</v>
      </c>
      <c r="J21" s="38">
        <f>IF(VLOOKUP(J$2&amp;Cash_Flow_Statement[[#This Row],[Aop]],Data[],1)=J$2&amp;Cash_Flow_Statement[[#This Row],[Aop]],VLOOKUP(J$2&amp;Cash_Flow_Statement[[#This Row],[Aop]],Data[],J$1)/Jedinica,"")</f>
        <v>-12327</v>
      </c>
      <c r="K21" s="38">
        <f>IF(VLOOKUP(K$2&amp;Cash_Flow_Statement[[#This Row],[Aop]],Data[],1)=K$2&amp;Cash_Flow_Statement[[#This Row],[Aop]],VLOOKUP(K$2&amp;Cash_Flow_Statement[[#This Row],[Aop]],Data[],K$1)/Jedinica,"")</f>
        <v>3260675</v>
      </c>
      <c r="L21" s="38">
        <f>IF(VLOOKUP(L$2&amp;Cash_Flow_Statement[[#This Row],[Aop]],Data[],1)=L$2&amp;Cash_Flow_Statement[[#This Row],[Aop]],VLOOKUP(L$2&amp;Cash_Flow_Statement[[#This Row],[Aop]],Data[],L$1)/Jedinica,"")</f>
        <v>2157958</v>
      </c>
      <c r="M21" s="38">
        <f>IF(VLOOKUP(M$2&amp;Cash_Flow_Statement[[#This Row],[Aop]],Data[],1)=M$2&amp;Cash_Flow_Statement[[#This Row],[Aop]],VLOOKUP(M$2&amp;Cash_Flow_Statement[[#This Row],[Aop]],Data[],M$1)/Jedinica,"")</f>
        <v>199636</v>
      </c>
      <c r="N21" s="38">
        <f>IF(VLOOKUP(N$2&amp;Cash_Flow_Statement[[#This Row],[Aop]],Data[],1)=N$2&amp;Cash_Flow_Statement[[#This Row],[Aop]],VLOOKUP(N$2&amp;Cash_Flow_Statement[[#This Row],[Aop]],Data[],N$1)/Jedinica,"")</f>
        <v>134716</v>
      </c>
      <c r="O21" s="38">
        <f>IF(VLOOKUP(O$2&amp;Cash_Flow_Statement[[#This Row],[Aop]],Data[],1)=O$2&amp;Cash_Flow_Statement[[#This Row],[Aop]],VLOOKUP(O$2&amp;Cash_Flow_Statement[[#This Row],[Aop]],Data[],O$1)/Jedinica,"")</f>
        <v>3260675</v>
      </c>
      <c r="P21" s="38">
        <f>IF(VLOOKUP(P$2&amp;Cash_Flow_Statement[[#This Row],[Aop]],Data[],1)=P$2&amp;Cash_Flow_Statement[[#This Row],[Aop]],VLOOKUP(P$2&amp;Cash_Flow_Statement[[#This Row],[Aop]],Data[],P$1)/Jedinica,"")</f>
        <v>2157958</v>
      </c>
      <c r="Q21" s="38">
        <f>IF(VLOOKUP(Q$2&amp;Cash_Flow_Statement[[#This Row],[Aop]],Data[],1)=Q$2&amp;Cash_Flow_Statement[[#This Row],[Aop]],VLOOKUP(Q$2&amp;Cash_Flow_Statement[[#This Row],[Aop]],Data[],Q$1)/Jedinica,"")</f>
        <v>578540</v>
      </c>
      <c r="R21" s="38">
        <f>IF(VLOOKUP(R$2&amp;Cash_Flow_Statement[[#This Row],[Aop]],Data[],1)=R$2&amp;Cash_Flow_Statement[[#This Row],[Aop]],VLOOKUP(R$2&amp;Cash_Flow_Statement[[#This Row],[Aop]],Data[],R$1)/Jedinica,"")</f>
        <v>566252</v>
      </c>
      <c r="S21" s="38">
        <f>IF(VLOOKUP(S$2&amp;Cash_Flow_Statement[[#This Row],[Aop]],Data[],1)=S$2&amp;Cash_Flow_Statement[[#This Row],[Aop]],VLOOKUP(S$2&amp;Cash_Flow_Statement[[#This Row],[Aop]],Data[],S$1)/Jedinica,"")</f>
        <v>1705823</v>
      </c>
      <c r="T21" s="38">
        <f>IF(VLOOKUP(T$2&amp;Cash_Flow_Statement[[#This Row],[Aop]],Data[],1)=T$2&amp;Cash_Flow_Statement[[#This Row],[Aop]],VLOOKUP(T$2&amp;Cash_Flow_Statement[[#This Row],[Aop]],Data[],T$1)/Jedinica,"")</f>
        <v>1402665</v>
      </c>
    </row>
    <row r="22" spans="1:20" ht="12.75" customHeight="1" x14ac:dyDescent="0.2">
      <c r="A22" s="74">
        <v>254</v>
      </c>
      <c r="B22" s="74">
        <v>2</v>
      </c>
      <c r="C22" s="82" t="str">
        <f>VLOOKUP(Cash_Flow_Statement[[#This Row],[No]],AOP_Balance,3,0)</f>
        <v>515</v>
      </c>
      <c r="D22" s="56" t="str">
        <f>VLOOKUP(Cash_Flow_Statement[[#This Row],[No]],AOP_Balance,7,0)</f>
        <v xml:space="preserve">    Primici dividendi</v>
      </c>
      <c r="E22" s="38">
        <f>IF(VLOOKUP(E$2&amp;Cash_Flow_Statement[[#This Row],[Aop]],Data[],1)=E$2&amp;Cash_Flow_Statement[[#This Row],[Aop]],VLOOKUP(E$2&amp;Cash_Flow_Statement[[#This Row],[Aop]],Data[],E$1)/Jedinica,"")</f>
        <v>26</v>
      </c>
      <c r="F22" s="38">
        <f>IF(VLOOKUP(F$2&amp;Cash_Flow_Statement[[#This Row],[Aop]],Data[],1)=F$2&amp;Cash_Flow_Statement[[#This Row],[Aop]],VLOOKUP(F$2&amp;Cash_Flow_Statement[[#This Row],[Aop]],Data[],F$1)/Jedinica,"")</f>
        <v>13</v>
      </c>
      <c r="G22" s="38">
        <f>IF(VLOOKUP(G$2&amp;Cash_Flow_Statement[[#This Row],[Aop]],Data[],1)=G$2&amp;Cash_Flow_Statement[[#This Row],[Aop]],VLOOKUP(G$2&amp;Cash_Flow_Statement[[#This Row],[Aop]],Data[],G$1)/Jedinica,"")</f>
        <v>12944011</v>
      </c>
      <c r="H22" s="38">
        <f>IF(VLOOKUP(H$2&amp;Cash_Flow_Statement[[#This Row],[Aop]],Data[],1)=H$2&amp;Cash_Flow_Statement[[#This Row],[Aop]],VLOOKUP(H$2&amp;Cash_Flow_Statement[[#This Row],[Aop]],Data[],H$1)/Jedinica,"")</f>
        <v>6268092</v>
      </c>
      <c r="I22" s="38">
        <f>IF(VLOOKUP(I$2&amp;Cash_Flow_Statement[[#This Row],[Aop]],Data[],1)=I$2&amp;Cash_Flow_Statement[[#This Row],[Aop]],VLOOKUP(I$2&amp;Cash_Flow_Statement[[#This Row],[Aop]],Data[],I$1)/Jedinica,"")</f>
        <v>12944011</v>
      </c>
      <c r="J22" s="38">
        <f>IF(VLOOKUP(J$2&amp;Cash_Flow_Statement[[#This Row],[Aop]],Data[],1)=J$2&amp;Cash_Flow_Statement[[#This Row],[Aop]],VLOOKUP(J$2&amp;Cash_Flow_Statement[[#This Row],[Aop]],Data[],J$1)/Jedinica,"")</f>
        <v>6268092</v>
      </c>
      <c r="K22" s="38">
        <f>IF(VLOOKUP(K$2&amp;Cash_Flow_Statement[[#This Row],[Aop]],Data[],1)=K$2&amp;Cash_Flow_Statement[[#This Row],[Aop]],VLOOKUP(K$2&amp;Cash_Flow_Statement[[#This Row],[Aop]],Data[],K$1)/Jedinica,"")</f>
        <v>5055524</v>
      </c>
      <c r="L22" s="38">
        <f>IF(VLOOKUP(L$2&amp;Cash_Flow_Statement[[#This Row],[Aop]],Data[],1)=L$2&amp;Cash_Flow_Statement[[#This Row],[Aop]],VLOOKUP(L$2&amp;Cash_Flow_Statement[[#This Row],[Aop]],Data[],L$1)/Jedinica,"")</f>
        <v>6066994</v>
      </c>
      <c r="M22" s="38">
        <f>IF(VLOOKUP(M$2&amp;Cash_Flow_Statement[[#This Row],[Aop]],Data[],1)=M$2&amp;Cash_Flow_Statement[[#This Row],[Aop]],VLOOKUP(M$2&amp;Cash_Flow_Statement[[#This Row],[Aop]],Data[],M$1)/Jedinica,"")</f>
        <v>142492</v>
      </c>
      <c r="N22" s="38">
        <f>IF(VLOOKUP(N$2&amp;Cash_Flow_Statement[[#This Row],[Aop]],Data[],1)=N$2&amp;Cash_Flow_Statement[[#This Row],[Aop]],VLOOKUP(N$2&amp;Cash_Flow_Statement[[#This Row],[Aop]],Data[],N$1)/Jedinica,"")</f>
        <v>93297</v>
      </c>
      <c r="O22" s="38">
        <f>IF(VLOOKUP(O$2&amp;Cash_Flow_Statement[[#This Row],[Aop]],Data[],1)=O$2&amp;Cash_Flow_Statement[[#This Row],[Aop]],VLOOKUP(O$2&amp;Cash_Flow_Statement[[#This Row],[Aop]],Data[],O$1)/Jedinica,"")</f>
        <v>5055524</v>
      </c>
      <c r="P22" s="38">
        <f>IF(VLOOKUP(P$2&amp;Cash_Flow_Statement[[#This Row],[Aop]],Data[],1)=P$2&amp;Cash_Flow_Statement[[#This Row],[Aop]],VLOOKUP(P$2&amp;Cash_Flow_Statement[[#This Row],[Aop]],Data[],P$1)/Jedinica,"")</f>
        <v>6066994</v>
      </c>
      <c r="Q22" s="38">
        <f>IF(VLOOKUP(Q$2&amp;Cash_Flow_Statement[[#This Row],[Aop]],Data[],1)=Q$2&amp;Cash_Flow_Statement[[#This Row],[Aop]],VLOOKUP(Q$2&amp;Cash_Flow_Statement[[#This Row],[Aop]],Data[],Q$1)/Jedinica,"")</f>
        <v>7486190</v>
      </c>
      <c r="R22" s="38">
        <f>IF(VLOOKUP(R$2&amp;Cash_Flow_Statement[[#This Row],[Aop]],Data[],1)=R$2&amp;Cash_Flow_Statement[[#This Row],[Aop]],VLOOKUP(R$2&amp;Cash_Flow_Statement[[#This Row],[Aop]],Data[],R$1)/Jedinica,"")</f>
        <v>6727192</v>
      </c>
      <c r="S22" s="38">
        <f>IF(VLOOKUP(S$2&amp;Cash_Flow_Statement[[#This Row],[Aop]],Data[],1)=S$2&amp;Cash_Flow_Statement[[#This Row],[Aop]],VLOOKUP(S$2&amp;Cash_Flow_Statement[[#This Row],[Aop]],Data[],S$1)/Jedinica,"")</f>
        <v>1793940</v>
      </c>
      <c r="T22" s="38">
        <f>IF(VLOOKUP(T$2&amp;Cash_Flow_Statement[[#This Row],[Aop]],Data[],1)=T$2&amp;Cash_Flow_Statement[[#This Row],[Aop]],VLOOKUP(T$2&amp;Cash_Flow_Statement[[#This Row],[Aop]],Data[],T$1)/Jedinica,"")</f>
        <v>1430327</v>
      </c>
    </row>
    <row r="23" spans="1:20" ht="12.75" customHeight="1" x14ac:dyDescent="0.2">
      <c r="A23" s="74">
        <v>255</v>
      </c>
      <c r="B23" s="74">
        <v>2</v>
      </c>
      <c r="C23" s="82" t="str">
        <f>VLOOKUP(Cash_Flow_Statement[[#This Row],[No]],AOP_Balance,3,0)</f>
        <v>516</v>
      </c>
      <c r="D23" s="52" t="str">
        <f>VLOOKUP(Cash_Flow_Statement[[#This Row],[No]],AOP_Balance,7,0)</f>
        <v xml:space="preserve">    Ulaganja u vrijednosne papire koji se drže do dospijeća</v>
      </c>
      <c r="E23" s="38" t="str">
        <f>IF(VLOOKUP(E$2&amp;Cash_Flow_Statement[[#This Row],[Aop]],Data[],1)=E$2&amp;Cash_Flow_Statement[[#This Row],[Aop]],VLOOKUP(E$2&amp;Cash_Flow_Statement[[#This Row],[Aop]],Data[],E$1)/Jedinica,"")</f>
        <v/>
      </c>
      <c r="F23" s="38" t="str">
        <f>IF(VLOOKUP(F$2&amp;Cash_Flow_Statement[[#This Row],[Aop]],Data[],1)=F$2&amp;Cash_Flow_Statement[[#This Row],[Aop]],VLOOKUP(F$2&amp;Cash_Flow_Statement[[#This Row],[Aop]],Data[],F$1)/Jedinica,"")</f>
        <v/>
      </c>
      <c r="G23" s="38">
        <f>IF(VLOOKUP(G$2&amp;Cash_Flow_Statement[[#This Row],[Aop]],Data[],1)=G$2&amp;Cash_Flow_Statement[[#This Row],[Aop]],VLOOKUP(G$2&amp;Cash_Flow_Statement[[#This Row],[Aop]],Data[],G$1)/Jedinica,"")</f>
        <v>95155</v>
      </c>
      <c r="H23" s="38">
        <f>IF(VLOOKUP(H$2&amp;Cash_Flow_Statement[[#This Row],[Aop]],Data[],1)=H$2&amp;Cash_Flow_Statement[[#This Row],[Aop]],VLOOKUP(H$2&amp;Cash_Flow_Statement[[#This Row],[Aop]],Data[],H$1)/Jedinica,"")</f>
        <v>98605</v>
      </c>
      <c r="I23" s="38">
        <f>IF(VLOOKUP(I$2&amp;Cash_Flow_Statement[[#This Row],[Aop]],Data[],1)=I$2&amp;Cash_Flow_Statement[[#This Row],[Aop]],VLOOKUP(I$2&amp;Cash_Flow_Statement[[#This Row],[Aop]],Data[],I$1)/Jedinica,"")</f>
        <v>95155</v>
      </c>
      <c r="J23" s="38">
        <f>IF(VLOOKUP(J$2&amp;Cash_Flow_Statement[[#This Row],[Aop]],Data[],1)=J$2&amp;Cash_Flow_Statement[[#This Row],[Aop]],VLOOKUP(J$2&amp;Cash_Flow_Statement[[#This Row],[Aop]],Data[],J$1)/Jedinica,"")</f>
        <v>98605</v>
      </c>
      <c r="K23" s="38">
        <f>IF(VLOOKUP(K$2&amp;Cash_Flow_Statement[[#This Row],[Aop]],Data[],1)=K$2&amp;Cash_Flow_Statement[[#This Row],[Aop]],VLOOKUP(K$2&amp;Cash_Flow_Statement[[#This Row],[Aop]],Data[],K$1)/Jedinica,"")</f>
        <v>235048</v>
      </c>
      <c r="L23" s="38">
        <f>IF(VLOOKUP(L$2&amp;Cash_Flow_Statement[[#This Row],[Aop]],Data[],1)=L$2&amp;Cash_Flow_Statement[[#This Row],[Aop]],VLOOKUP(L$2&amp;Cash_Flow_Statement[[#This Row],[Aop]],Data[],L$1)/Jedinica,"")</f>
        <v>226889</v>
      </c>
      <c r="M23" s="38">
        <f>IF(VLOOKUP(M$2&amp;Cash_Flow_Statement[[#This Row],[Aop]],Data[],1)=M$2&amp;Cash_Flow_Statement[[#This Row],[Aop]],VLOOKUP(M$2&amp;Cash_Flow_Statement[[#This Row],[Aop]],Data[],M$1)/Jedinica,"")</f>
        <v>59</v>
      </c>
      <c r="N23" s="38">
        <f>IF(VLOOKUP(N$2&amp;Cash_Flow_Statement[[#This Row],[Aop]],Data[],1)=N$2&amp;Cash_Flow_Statement[[#This Row],[Aop]],VLOOKUP(N$2&amp;Cash_Flow_Statement[[#This Row],[Aop]],Data[],N$1)/Jedinica,"")</f>
        <v>0</v>
      </c>
      <c r="O23" s="38">
        <f>IF(VLOOKUP(O$2&amp;Cash_Flow_Statement[[#This Row],[Aop]],Data[],1)=O$2&amp;Cash_Flow_Statement[[#This Row],[Aop]],VLOOKUP(O$2&amp;Cash_Flow_Statement[[#This Row],[Aop]],Data[],O$1)/Jedinica,"")</f>
        <v>235048</v>
      </c>
      <c r="P23" s="38">
        <f>IF(VLOOKUP(P$2&amp;Cash_Flow_Statement[[#This Row],[Aop]],Data[],1)=P$2&amp;Cash_Flow_Statement[[#This Row],[Aop]],VLOOKUP(P$2&amp;Cash_Flow_Statement[[#This Row],[Aop]],Data[],P$1)/Jedinica,"")</f>
        <v>226889</v>
      </c>
      <c r="Q23" s="38">
        <f>IF(VLOOKUP(Q$2&amp;Cash_Flow_Statement[[#This Row],[Aop]],Data[],1)=Q$2&amp;Cash_Flow_Statement[[#This Row],[Aop]],VLOOKUP(Q$2&amp;Cash_Flow_Statement[[#This Row],[Aop]],Data[],Q$1)/Jedinica,"")</f>
        <v>1119734</v>
      </c>
      <c r="R23" s="38">
        <f>IF(VLOOKUP(R$2&amp;Cash_Flow_Statement[[#This Row],[Aop]],Data[],1)=R$2&amp;Cash_Flow_Statement[[#This Row],[Aop]],VLOOKUP(R$2&amp;Cash_Flow_Statement[[#This Row],[Aop]],Data[],R$1)/Jedinica,"")</f>
        <v>1234036</v>
      </c>
      <c r="S23" s="38">
        <f>IF(VLOOKUP(S$2&amp;Cash_Flow_Statement[[#This Row],[Aop]],Data[],1)=S$2&amp;Cash_Flow_Statement[[#This Row],[Aop]],VLOOKUP(S$2&amp;Cash_Flow_Statement[[#This Row],[Aop]],Data[],S$1)/Jedinica,"")</f>
        <v>700929</v>
      </c>
      <c r="T23" s="38">
        <f>IF(VLOOKUP(T$2&amp;Cash_Flow_Statement[[#This Row],[Aop]],Data[],1)=T$2&amp;Cash_Flow_Statement[[#This Row],[Aop]],VLOOKUP(T$2&amp;Cash_Flow_Statement[[#This Row],[Aop]],Data[],T$1)/Jedinica,"")</f>
        <v>486600</v>
      </c>
    </row>
    <row r="24" spans="1:20" ht="12.75" customHeight="1" x14ac:dyDescent="0.2">
      <c r="A24" s="74">
        <v>256</v>
      </c>
      <c r="B24" s="74">
        <v>2</v>
      </c>
      <c r="C24" s="82" t="str">
        <f>VLOOKUP(Cash_Flow_Statement[[#This Row],[No]],AOP_Balance,3,0)</f>
        <v>517</v>
      </c>
      <c r="D24" s="56" t="str">
        <f>VLOOKUP(Cash_Flow_Statement[[#This Row],[No]],AOP_Balance,7,0)</f>
        <v xml:space="preserve">    Naplativi dospjeli vrijednosni papiri koji se drže do roka dospijeća</v>
      </c>
      <c r="E24" s="38" t="str">
        <f>IF(VLOOKUP(E$2&amp;Cash_Flow_Statement[[#This Row],[Aop]],Data[],1)=E$2&amp;Cash_Flow_Statement[[#This Row],[Aop]],VLOOKUP(E$2&amp;Cash_Flow_Statement[[#This Row],[Aop]],Data[],E$1)/Jedinica,"")</f>
        <v/>
      </c>
      <c r="F24" s="38" t="str">
        <f>IF(VLOOKUP(F$2&amp;Cash_Flow_Statement[[#This Row],[Aop]],Data[],1)=F$2&amp;Cash_Flow_Statement[[#This Row],[Aop]],VLOOKUP(F$2&amp;Cash_Flow_Statement[[#This Row],[Aop]],Data[],F$1)/Jedinica,"")</f>
        <v/>
      </c>
      <c r="G24" s="38">
        <f>IF(VLOOKUP(G$2&amp;Cash_Flow_Statement[[#This Row],[Aop]],Data[],1)=G$2&amp;Cash_Flow_Statement[[#This Row],[Aop]],VLOOKUP(G$2&amp;Cash_Flow_Statement[[#This Row],[Aop]],Data[],G$1)/Jedinica,"")</f>
        <v>34980</v>
      </c>
      <c r="H24" s="38">
        <f>IF(VLOOKUP(H$2&amp;Cash_Flow_Statement[[#This Row],[Aop]],Data[],1)=H$2&amp;Cash_Flow_Statement[[#This Row],[Aop]],VLOOKUP(H$2&amp;Cash_Flow_Statement[[#This Row],[Aop]],Data[],H$1)/Jedinica,"")</f>
        <v>34012</v>
      </c>
      <c r="I24" s="38">
        <f>IF(VLOOKUP(I$2&amp;Cash_Flow_Statement[[#This Row],[Aop]],Data[],1)=I$2&amp;Cash_Flow_Statement[[#This Row],[Aop]],VLOOKUP(I$2&amp;Cash_Flow_Statement[[#This Row],[Aop]],Data[],I$1)/Jedinica,"")</f>
        <v>34980</v>
      </c>
      <c r="J24" s="38">
        <f>IF(VLOOKUP(J$2&amp;Cash_Flow_Statement[[#This Row],[Aop]],Data[],1)=J$2&amp;Cash_Flow_Statement[[#This Row],[Aop]],VLOOKUP(J$2&amp;Cash_Flow_Statement[[#This Row],[Aop]],Data[],J$1)/Jedinica,"")</f>
        <v>34012</v>
      </c>
      <c r="K24" s="38">
        <f>IF(VLOOKUP(K$2&amp;Cash_Flow_Statement[[#This Row],[Aop]],Data[],1)=K$2&amp;Cash_Flow_Statement[[#This Row],[Aop]],VLOOKUP(K$2&amp;Cash_Flow_Statement[[#This Row],[Aop]],Data[],K$1)/Jedinica,"")</f>
        <v>34260</v>
      </c>
      <c r="L24" s="38">
        <f>IF(VLOOKUP(L$2&amp;Cash_Flow_Statement[[#This Row],[Aop]],Data[],1)=L$2&amp;Cash_Flow_Statement[[#This Row],[Aop]],VLOOKUP(L$2&amp;Cash_Flow_Statement[[#This Row],[Aop]],Data[],L$1)/Jedinica,"")</f>
        <v>61256</v>
      </c>
      <c r="M24" s="38">
        <f>IF(VLOOKUP(M$2&amp;Cash_Flow_Statement[[#This Row],[Aop]],Data[],1)=M$2&amp;Cash_Flow_Statement[[#This Row],[Aop]],VLOOKUP(M$2&amp;Cash_Flow_Statement[[#This Row],[Aop]],Data[],M$1)/Jedinica,"")</f>
        <v>43463</v>
      </c>
      <c r="N24" s="38">
        <f>IF(VLOOKUP(N$2&amp;Cash_Flow_Statement[[#This Row],[Aop]],Data[],1)=N$2&amp;Cash_Flow_Statement[[#This Row],[Aop]],VLOOKUP(N$2&amp;Cash_Flow_Statement[[#This Row],[Aop]],Data[],N$1)/Jedinica,"")</f>
        <v>4325</v>
      </c>
      <c r="O24" s="38">
        <f>IF(VLOOKUP(O$2&amp;Cash_Flow_Statement[[#This Row],[Aop]],Data[],1)=O$2&amp;Cash_Flow_Statement[[#This Row],[Aop]],VLOOKUP(O$2&amp;Cash_Flow_Statement[[#This Row],[Aop]],Data[],O$1)/Jedinica,"")</f>
        <v>34260</v>
      </c>
      <c r="P24" s="38">
        <f>IF(VLOOKUP(P$2&amp;Cash_Flow_Statement[[#This Row],[Aop]],Data[],1)=P$2&amp;Cash_Flow_Statement[[#This Row],[Aop]],VLOOKUP(P$2&amp;Cash_Flow_Statement[[#This Row],[Aop]],Data[],P$1)/Jedinica,"")</f>
        <v>61256</v>
      </c>
      <c r="Q24" s="38">
        <f>IF(VLOOKUP(Q$2&amp;Cash_Flow_Statement[[#This Row],[Aop]],Data[],1)=Q$2&amp;Cash_Flow_Statement[[#This Row],[Aop]],VLOOKUP(Q$2&amp;Cash_Flow_Statement[[#This Row],[Aop]],Data[],Q$1)/Jedinica,"")</f>
        <v>104734</v>
      </c>
      <c r="R24" s="38">
        <f>IF(VLOOKUP(R$2&amp;Cash_Flow_Statement[[#This Row],[Aop]],Data[],1)=R$2&amp;Cash_Flow_Statement[[#This Row],[Aop]],VLOOKUP(R$2&amp;Cash_Flow_Statement[[#This Row],[Aop]],Data[],R$1)/Jedinica,"")</f>
        <v>108598</v>
      </c>
      <c r="S24" s="38">
        <f>IF(VLOOKUP(S$2&amp;Cash_Flow_Statement[[#This Row],[Aop]],Data[],1)=S$2&amp;Cash_Flow_Statement[[#This Row],[Aop]],VLOOKUP(S$2&amp;Cash_Flow_Statement[[#This Row],[Aop]],Data[],S$1)/Jedinica,"")</f>
        <v>34345</v>
      </c>
      <c r="T24" s="38">
        <f>IF(VLOOKUP(T$2&amp;Cash_Flow_Statement[[#This Row],[Aop]],Data[],1)=T$2&amp;Cash_Flow_Statement[[#This Row],[Aop]],VLOOKUP(T$2&amp;Cash_Flow_Statement[[#This Row],[Aop]],Data[],T$1)/Jedinica,"")</f>
        <v>15523</v>
      </c>
    </row>
    <row r="25" spans="1:20" ht="12.75" customHeight="1" x14ac:dyDescent="0.2">
      <c r="A25" s="74">
        <v>257</v>
      </c>
      <c r="B25" s="74">
        <v>2</v>
      </c>
      <c r="C25" s="82" t="str">
        <f>VLOOKUP(Cash_Flow_Statement[[#This Row],[No]],AOP_Balance,3,0)</f>
        <v>518</v>
      </c>
      <c r="D25" s="56" t="str">
        <f>VLOOKUP(Cash_Flow_Statement[[#This Row],[No]],AOP_Balance,7,0)</f>
        <v xml:space="preserve">    Kupovina (prodaja) nematerijalne aktive</v>
      </c>
      <c r="E25" s="38">
        <f>IF(VLOOKUP(E$2&amp;Cash_Flow_Statement[[#This Row],[Aop]],Data[],1)=E$2&amp;Cash_Flow_Statement[[#This Row],[Aop]],VLOOKUP(E$2&amp;Cash_Flow_Statement[[#This Row],[Aop]],Data[],E$1)/Jedinica,"")</f>
        <v>-41</v>
      </c>
      <c r="F25" s="38">
        <f>IF(VLOOKUP(F$2&amp;Cash_Flow_Statement[[#This Row],[Aop]],Data[],1)=F$2&amp;Cash_Flow_Statement[[#This Row],[Aop]],VLOOKUP(F$2&amp;Cash_Flow_Statement[[#This Row],[Aop]],Data[],F$1)/Jedinica,"")</f>
        <v>-83</v>
      </c>
      <c r="G25" s="38">
        <f>IF(VLOOKUP(G$2&amp;Cash_Flow_Statement[[#This Row],[Aop]],Data[],1)=G$2&amp;Cash_Flow_Statement[[#This Row],[Aop]],VLOOKUP(G$2&amp;Cash_Flow_Statement[[#This Row],[Aop]],Data[],G$1)/Jedinica,"")</f>
        <v>498700</v>
      </c>
      <c r="H25" s="38">
        <f>IF(VLOOKUP(H$2&amp;Cash_Flow_Statement[[#This Row],[Aop]],Data[],1)=H$2&amp;Cash_Flow_Statement[[#This Row],[Aop]],VLOOKUP(H$2&amp;Cash_Flow_Statement[[#This Row],[Aop]],Data[],H$1)/Jedinica,"")</f>
        <v>328412</v>
      </c>
      <c r="I25" s="38">
        <f>IF(VLOOKUP(I$2&amp;Cash_Flow_Statement[[#This Row],[Aop]],Data[],1)=I$2&amp;Cash_Flow_Statement[[#This Row],[Aop]],VLOOKUP(I$2&amp;Cash_Flow_Statement[[#This Row],[Aop]],Data[],I$1)/Jedinica,"")</f>
        <v>498700</v>
      </c>
      <c r="J25" s="38">
        <f>IF(VLOOKUP(J$2&amp;Cash_Flow_Statement[[#This Row],[Aop]],Data[],1)=J$2&amp;Cash_Flow_Statement[[#This Row],[Aop]],VLOOKUP(J$2&amp;Cash_Flow_Statement[[#This Row],[Aop]],Data[],J$1)/Jedinica,"")</f>
        <v>328412</v>
      </c>
      <c r="K25" s="38">
        <f>IF(VLOOKUP(K$2&amp;Cash_Flow_Statement[[#This Row],[Aop]],Data[],1)=K$2&amp;Cash_Flow_Statement[[#This Row],[Aop]],VLOOKUP(K$2&amp;Cash_Flow_Statement[[#This Row],[Aop]],Data[],K$1)/Jedinica,"")</f>
        <v>1639133</v>
      </c>
      <c r="L25" s="38">
        <f>IF(VLOOKUP(L$2&amp;Cash_Flow_Statement[[#This Row],[Aop]],Data[],1)=L$2&amp;Cash_Flow_Statement[[#This Row],[Aop]],VLOOKUP(L$2&amp;Cash_Flow_Statement[[#This Row],[Aop]],Data[],L$1)/Jedinica,"")</f>
        <v>1385838</v>
      </c>
      <c r="M25" s="38">
        <f>IF(VLOOKUP(M$2&amp;Cash_Flow_Statement[[#This Row],[Aop]],Data[],1)=M$2&amp;Cash_Flow_Statement[[#This Row],[Aop]],VLOOKUP(M$2&amp;Cash_Flow_Statement[[#This Row],[Aop]],Data[],M$1)/Jedinica,"")</f>
        <v>157416</v>
      </c>
      <c r="N25" s="38">
        <f>IF(VLOOKUP(N$2&amp;Cash_Flow_Statement[[#This Row],[Aop]],Data[],1)=N$2&amp;Cash_Flow_Statement[[#This Row],[Aop]],VLOOKUP(N$2&amp;Cash_Flow_Statement[[#This Row],[Aop]],Data[],N$1)/Jedinica,"")</f>
        <v>79515</v>
      </c>
      <c r="O25" s="38">
        <f>IF(VLOOKUP(O$2&amp;Cash_Flow_Statement[[#This Row],[Aop]],Data[],1)=O$2&amp;Cash_Flow_Statement[[#This Row],[Aop]],VLOOKUP(O$2&amp;Cash_Flow_Statement[[#This Row],[Aop]],Data[],O$1)/Jedinica,"")</f>
        <v>1639133</v>
      </c>
      <c r="P25" s="38">
        <f>IF(VLOOKUP(P$2&amp;Cash_Flow_Statement[[#This Row],[Aop]],Data[],1)=P$2&amp;Cash_Flow_Statement[[#This Row],[Aop]],VLOOKUP(P$2&amp;Cash_Flow_Statement[[#This Row],[Aop]],Data[],P$1)/Jedinica,"")</f>
        <v>1385838</v>
      </c>
      <c r="Q25" s="38">
        <f>IF(VLOOKUP(Q$2&amp;Cash_Flow_Statement[[#This Row],[Aop]],Data[],1)=Q$2&amp;Cash_Flow_Statement[[#This Row],[Aop]],VLOOKUP(Q$2&amp;Cash_Flow_Statement[[#This Row],[Aop]],Data[],Q$1)/Jedinica,"")</f>
        <v>919995</v>
      </c>
      <c r="R25" s="38">
        <f>IF(VLOOKUP(R$2&amp;Cash_Flow_Statement[[#This Row],[Aop]],Data[],1)=R$2&amp;Cash_Flow_Statement[[#This Row],[Aop]],VLOOKUP(R$2&amp;Cash_Flow_Statement[[#This Row],[Aop]],Data[],R$1)/Jedinica,"")</f>
        <v>823309</v>
      </c>
      <c r="S25" s="38">
        <f>IF(VLOOKUP(S$2&amp;Cash_Flow_Statement[[#This Row],[Aop]],Data[],1)=S$2&amp;Cash_Flow_Statement[[#This Row],[Aop]],VLOOKUP(S$2&amp;Cash_Flow_Statement[[#This Row],[Aop]],Data[],S$1)/Jedinica,"")</f>
        <v>35702</v>
      </c>
      <c r="T25" s="38">
        <f>IF(VLOOKUP(T$2&amp;Cash_Flow_Statement[[#This Row],[Aop]],Data[],1)=T$2&amp;Cash_Flow_Statement[[#This Row],[Aop]],VLOOKUP(T$2&amp;Cash_Flow_Statement[[#This Row],[Aop]],Data[],T$1)/Jedinica,"")</f>
        <v>0</v>
      </c>
    </row>
    <row r="26" spans="1:20" ht="12.75" customHeight="1" x14ac:dyDescent="0.2">
      <c r="A26" s="74">
        <v>258</v>
      </c>
      <c r="B26" s="74">
        <v>2</v>
      </c>
      <c r="C26" s="82" t="str">
        <f>VLOOKUP(Cash_Flow_Statement[[#This Row],[No]],AOP_Balance,3,0)</f>
        <v>519</v>
      </c>
      <c r="D26" s="56" t="str">
        <f>VLOOKUP(Cash_Flow_Statement[[#This Row],[No]],AOP_Balance,7,0)</f>
        <v xml:space="preserve">    Kupovina (prodaja) materijalne aktive</v>
      </c>
      <c r="E26" s="38">
        <f>IF(VLOOKUP(E$2&amp;Cash_Flow_Statement[[#This Row],[Aop]],Data[],1)=E$2&amp;Cash_Flow_Statement[[#This Row],[Aop]],VLOOKUP(E$2&amp;Cash_Flow_Statement[[#This Row],[Aop]],Data[],E$1)/Jedinica,"")</f>
        <v>-409</v>
      </c>
      <c r="F26" s="38">
        <f>IF(VLOOKUP(F$2&amp;Cash_Flow_Statement[[#This Row],[Aop]],Data[],1)=F$2&amp;Cash_Flow_Statement[[#This Row],[Aop]],VLOOKUP(F$2&amp;Cash_Flow_Statement[[#This Row],[Aop]],Data[],F$1)/Jedinica,"")</f>
        <v>-223</v>
      </c>
      <c r="G26" s="38">
        <f>IF(VLOOKUP(G$2&amp;Cash_Flow_Statement[[#This Row],[Aop]],Data[],1)=G$2&amp;Cash_Flow_Statement[[#This Row],[Aop]],VLOOKUP(G$2&amp;Cash_Flow_Statement[[#This Row],[Aop]],Data[],G$1)/Jedinica,"")</f>
        <v>94</v>
      </c>
      <c r="H26" s="38">
        <f>IF(VLOOKUP(H$2&amp;Cash_Flow_Statement[[#This Row],[Aop]],Data[],1)=H$2&amp;Cash_Flow_Statement[[#This Row],[Aop]],VLOOKUP(H$2&amp;Cash_Flow_Statement[[#This Row],[Aop]],Data[],H$1)/Jedinica,"")</f>
        <v>54</v>
      </c>
      <c r="I26" s="38">
        <f>IF(VLOOKUP(I$2&amp;Cash_Flow_Statement[[#This Row],[Aop]],Data[],1)=I$2&amp;Cash_Flow_Statement[[#This Row],[Aop]],VLOOKUP(I$2&amp;Cash_Flow_Statement[[#This Row],[Aop]],Data[],I$1)/Jedinica,"")</f>
        <v>94</v>
      </c>
      <c r="J26" s="38">
        <f>IF(VLOOKUP(J$2&amp;Cash_Flow_Statement[[#This Row],[Aop]],Data[],1)=J$2&amp;Cash_Flow_Statement[[#This Row],[Aop]],VLOOKUP(J$2&amp;Cash_Flow_Statement[[#This Row],[Aop]],Data[],J$1)/Jedinica,"")</f>
        <v>54</v>
      </c>
      <c r="K26" s="38">
        <f>IF(VLOOKUP(K$2&amp;Cash_Flow_Statement[[#This Row],[Aop]],Data[],1)=K$2&amp;Cash_Flow_Statement[[#This Row],[Aop]],VLOOKUP(K$2&amp;Cash_Flow_Statement[[#This Row],[Aop]],Data[],K$1)/Jedinica,"")</f>
        <v>11334187</v>
      </c>
      <c r="L26" s="38">
        <f>IF(VLOOKUP(L$2&amp;Cash_Flow_Statement[[#This Row],[Aop]],Data[],1)=L$2&amp;Cash_Flow_Statement[[#This Row],[Aop]],VLOOKUP(L$2&amp;Cash_Flow_Statement[[#This Row],[Aop]],Data[],L$1)/Jedinica,"")</f>
        <v>7526762</v>
      </c>
      <c r="M26" s="38">
        <f>IF(VLOOKUP(M$2&amp;Cash_Flow_Statement[[#This Row],[Aop]],Data[],1)=M$2&amp;Cash_Flow_Statement[[#This Row],[Aop]],VLOOKUP(M$2&amp;Cash_Flow_Statement[[#This Row],[Aop]],Data[],M$1)/Jedinica,"")</f>
        <v>571358</v>
      </c>
      <c r="N26" s="38">
        <f>IF(VLOOKUP(N$2&amp;Cash_Flow_Statement[[#This Row],[Aop]],Data[],1)=N$2&amp;Cash_Flow_Statement[[#This Row],[Aop]],VLOOKUP(N$2&amp;Cash_Flow_Statement[[#This Row],[Aop]],Data[],N$1)/Jedinica,"")</f>
        <v>379567</v>
      </c>
      <c r="O26" s="38">
        <f>IF(VLOOKUP(O$2&amp;Cash_Flow_Statement[[#This Row],[Aop]],Data[],1)=O$2&amp;Cash_Flow_Statement[[#This Row],[Aop]],VLOOKUP(O$2&amp;Cash_Flow_Statement[[#This Row],[Aop]],Data[],O$1)/Jedinica,"")</f>
        <v>11334187</v>
      </c>
      <c r="P26" s="38">
        <f>IF(VLOOKUP(P$2&amp;Cash_Flow_Statement[[#This Row],[Aop]],Data[],1)=P$2&amp;Cash_Flow_Statement[[#This Row],[Aop]],VLOOKUP(P$2&amp;Cash_Flow_Statement[[#This Row],[Aop]],Data[],P$1)/Jedinica,"")</f>
        <v>7526762</v>
      </c>
      <c r="Q26" s="38">
        <f>IF(VLOOKUP(Q$2&amp;Cash_Flow_Statement[[#This Row],[Aop]],Data[],1)=Q$2&amp;Cash_Flow_Statement[[#This Row],[Aop]],VLOOKUP(Q$2&amp;Cash_Flow_Statement[[#This Row],[Aop]],Data[],Q$1)/Jedinica,"")</f>
        <v>223</v>
      </c>
      <c r="R26" s="38">
        <f>IF(VLOOKUP(R$2&amp;Cash_Flow_Statement[[#This Row],[Aop]],Data[],1)=R$2&amp;Cash_Flow_Statement[[#This Row],[Aop]],VLOOKUP(R$2&amp;Cash_Flow_Statement[[#This Row],[Aop]],Data[],R$1)/Jedinica,"")</f>
        <v>198</v>
      </c>
      <c r="S26" s="38">
        <f>IF(VLOOKUP(S$2&amp;Cash_Flow_Statement[[#This Row],[Aop]],Data[],1)=S$2&amp;Cash_Flow_Statement[[#This Row],[Aop]],VLOOKUP(S$2&amp;Cash_Flow_Statement[[#This Row],[Aop]],Data[],S$1)/Jedinica,"")</f>
        <v>75</v>
      </c>
      <c r="T26" s="38">
        <f>IF(VLOOKUP(T$2&amp;Cash_Flow_Statement[[#This Row],[Aop]],Data[],1)=T$2&amp;Cash_Flow_Statement[[#This Row],[Aop]],VLOOKUP(T$2&amp;Cash_Flow_Statement[[#This Row],[Aop]],Data[],T$1)/Jedinica,"")</f>
        <v>60</v>
      </c>
    </row>
    <row r="27" spans="1:20" ht="12.75" customHeight="1" x14ac:dyDescent="0.2">
      <c r="A27" s="74">
        <v>259</v>
      </c>
      <c r="B27" s="74">
        <v>2</v>
      </c>
      <c r="C27" s="82" t="str">
        <f>VLOOKUP(Cash_Flow_Statement[[#This Row],[No]],AOP_Balance,3,0)</f>
        <v>520</v>
      </c>
      <c r="D27" s="56" t="str">
        <f>VLOOKUP(Cash_Flow_Statement[[#This Row],[No]],AOP_Balance,7,0)</f>
        <v xml:space="preserve">    Sticanje (prodaja) učešća u supsidijarnim licima</v>
      </c>
      <c r="E27" s="38" t="str">
        <f>IF(VLOOKUP(E$2&amp;Cash_Flow_Statement[[#This Row],[Aop]],Data[],1)=E$2&amp;Cash_Flow_Statement[[#This Row],[Aop]],VLOOKUP(E$2&amp;Cash_Flow_Statement[[#This Row],[Aop]],Data[],E$1)/Jedinica,"")</f>
        <v/>
      </c>
      <c r="F27" s="38" t="str">
        <f>IF(VLOOKUP(F$2&amp;Cash_Flow_Statement[[#This Row],[Aop]],Data[],1)=F$2&amp;Cash_Flow_Statement[[#This Row],[Aop]],VLOOKUP(F$2&amp;Cash_Flow_Statement[[#This Row],[Aop]],Data[],F$1)/Jedinica,"")</f>
        <v/>
      </c>
      <c r="G27" s="38">
        <f>IF(VLOOKUP(G$2&amp;Cash_Flow_Statement[[#This Row],[Aop]],Data[],1)=G$2&amp;Cash_Flow_Statement[[#This Row],[Aop]],VLOOKUP(G$2&amp;Cash_Flow_Statement[[#This Row],[Aop]],Data[],G$1)/Jedinica,"")</f>
        <v>1058765</v>
      </c>
      <c r="H27" s="38">
        <f>IF(VLOOKUP(H$2&amp;Cash_Flow_Statement[[#This Row],[Aop]],Data[],1)=H$2&amp;Cash_Flow_Statement[[#This Row],[Aop]],VLOOKUP(H$2&amp;Cash_Flow_Statement[[#This Row],[Aop]],Data[],H$1)/Jedinica,"")</f>
        <v>632646</v>
      </c>
      <c r="I27" s="38">
        <f>IF(VLOOKUP(I$2&amp;Cash_Flow_Statement[[#This Row],[Aop]],Data[],1)=I$2&amp;Cash_Flow_Statement[[#This Row],[Aop]],VLOOKUP(I$2&amp;Cash_Flow_Statement[[#This Row],[Aop]],Data[],I$1)/Jedinica,"")</f>
        <v>1058765</v>
      </c>
      <c r="J27" s="38">
        <f>IF(VLOOKUP(J$2&amp;Cash_Flow_Statement[[#This Row],[Aop]],Data[],1)=J$2&amp;Cash_Flow_Statement[[#This Row],[Aop]],VLOOKUP(J$2&amp;Cash_Flow_Statement[[#This Row],[Aop]],Data[],J$1)/Jedinica,"")</f>
        <v>632646</v>
      </c>
      <c r="K27" s="38">
        <f>IF(VLOOKUP(K$2&amp;Cash_Flow_Statement[[#This Row],[Aop]],Data[],1)=K$2&amp;Cash_Flow_Statement[[#This Row],[Aop]],VLOOKUP(K$2&amp;Cash_Flow_Statement[[#This Row],[Aop]],Data[],K$1)/Jedinica,"")</f>
        <v>21387029</v>
      </c>
      <c r="L27" s="38">
        <f>IF(VLOOKUP(L$2&amp;Cash_Flow_Statement[[#This Row],[Aop]],Data[],1)=L$2&amp;Cash_Flow_Statement[[#This Row],[Aop]],VLOOKUP(L$2&amp;Cash_Flow_Statement[[#This Row],[Aop]],Data[],L$1)/Jedinica,"")</f>
        <v>11957852</v>
      </c>
      <c r="M27" s="38">
        <f>IF(VLOOKUP(M$2&amp;Cash_Flow_Statement[[#This Row],[Aop]],Data[],1)=M$2&amp;Cash_Flow_Statement[[#This Row],[Aop]],VLOOKUP(M$2&amp;Cash_Flow_Statement[[#This Row],[Aop]],Data[],M$1)/Jedinica,"")</f>
        <v>1050156</v>
      </c>
      <c r="N27" s="38">
        <f>IF(VLOOKUP(N$2&amp;Cash_Flow_Statement[[#This Row],[Aop]],Data[],1)=N$2&amp;Cash_Flow_Statement[[#This Row],[Aop]],VLOOKUP(N$2&amp;Cash_Flow_Statement[[#This Row],[Aop]],Data[],N$1)/Jedinica,"")</f>
        <v>859945</v>
      </c>
      <c r="O27" s="38">
        <f>IF(VLOOKUP(O$2&amp;Cash_Flow_Statement[[#This Row],[Aop]],Data[],1)=O$2&amp;Cash_Flow_Statement[[#This Row],[Aop]],VLOOKUP(O$2&amp;Cash_Flow_Statement[[#This Row],[Aop]],Data[],O$1)/Jedinica,"")</f>
        <v>21387029</v>
      </c>
      <c r="P27" s="38">
        <f>IF(VLOOKUP(P$2&amp;Cash_Flow_Statement[[#This Row],[Aop]],Data[],1)=P$2&amp;Cash_Flow_Statement[[#This Row],[Aop]],VLOOKUP(P$2&amp;Cash_Flow_Statement[[#This Row],[Aop]],Data[],P$1)/Jedinica,"")</f>
        <v>11957852</v>
      </c>
      <c r="Q27" s="38">
        <f>IF(VLOOKUP(Q$2&amp;Cash_Flow_Statement[[#This Row],[Aop]],Data[],1)=Q$2&amp;Cash_Flow_Statement[[#This Row],[Aop]],VLOOKUP(Q$2&amp;Cash_Flow_Statement[[#This Row],[Aop]],Data[],Q$1)/Jedinica,"")</f>
        <v>7126000</v>
      </c>
      <c r="R27" s="38">
        <f>IF(VLOOKUP(R$2&amp;Cash_Flow_Statement[[#This Row],[Aop]],Data[],1)=R$2&amp;Cash_Flow_Statement[[#This Row],[Aop]],VLOOKUP(R$2&amp;Cash_Flow_Statement[[#This Row],[Aop]],Data[],R$1)/Jedinica,"")</f>
        <v>7108063</v>
      </c>
      <c r="S27" s="38">
        <f>IF(VLOOKUP(S$2&amp;Cash_Flow_Statement[[#This Row],[Aop]],Data[],1)=S$2&amp;Cash_Flow_Statement[[#This Row],[Aop]],VLOOKUP(S$2&amp;Cash_Flow_Statement[[#This Row],[Aop]],Data[],S$1)/Jedinica,"")</f>
        <v>75</v>
      </c>
      <c r="T27" s="38">
        <f>IF(VLOOKUP(T$2&amp;Cash_Flow_Statement[[#This Row],[Aop]],Data[],1)=T$2&amp;Cash_Flow_Statement[[#This Row],[Aop]],VLOOKUP(T$2&amp;Cash_Flow_Statement[[#This Row],[Aop]],Data[],T$1)/Jedinica,"")</f>
        <v>60</v>
      </c>
    </row>
    <row r="28" spans="1:20" ht="12.75" customHeight="1" x14ac:dyDescent="0.2">
      <c r="A28" s="74">
        <v>260</v>
      </c>
      <c r="B28" s="74">
        <v>2</v>
      </c>
      <c r="C28" s="82" t="str">
        <f>VLOOKUP(Cash_Flow_Statement[[#This Row],[No]],AOP_Balance,3,0)</f>
        <v>521</v>
      </c>
      <c r="D28" s="56" t="str">
        <f>VLOOKUP(Cash_Flow_Statement[[#This Row],[No]],AOP_Balance,7,0)</f>
        <v xml:space="preserve">    Sticanje (prodaja) učešća u drugim povezanim preduzećima</v>
      </c>
      <c r="E28" s="38" t="str">
        <f>IF(VLOOKUP(E$2&amp;Cash_Flow_Statement[[#This Row],[Aop]],Data[],1)=E$2&amp;Cash_Flow_Statement[[#This Row],[Aop]],VLOOKUP(E$2&amp;Cash_Flow_Statement[[#This Row],[Aop]],Data[],E$1)/Jedinica,"")</f>
        <v/>
      </c>
      <c r="F28" s="38" t="str">
        <f>IF(VLOOKUP(F$2&amp;Cash_Flow_Statement[[#This Row],[Aop]],Data[],1)=F$2&amp;Cash_Flow_Statement[[#This Row],[Aop]],VLOOKUP(F$2&amp;Cash_Flow_Statement[[#This Row],[Aop]],Data[],F$1)/Jedinica,"")</f>
        <v/>
      </c>
      <c r="G28" s="38">
        <f>IF(VLOOKUP(G$2&amp;Cash_Flow_Statement[[#This Row],[Aop]],Data[],1)=G$2&amp;Cash_Flow_Statement[[#This Row],[Aop]],VLOOKUP(G$2&amp;Cash_Flow_Statement[[#This Row],[Aop]],Data[],G$1)/Jedinica,"")</f>
        <v>425</v>
      </c>
      <c r="H28" s="38">
        <f>IF(VLOOKUP(H$2&amp;Cash_Flow_Statement[[#This Row],[Aop]],Data[],1)=H$2&amp;Cash_Flow_Statement[[#This Row],[Aop]],VLOOKUP(H$2&amp;Cash_Flow_Statement[[#This Row],[Aop]],Data[],H$1)/Jedinica,"")</f>
        <v>446</v>
      </c>
      <c r="I28" s="38">
        <f>IF(VLOOKUP(I$2&amp;Cash_Flow_Statement[[#This Row],[Aop]],Data[],1)=I$2&amp;Cash_Flow_Statement[[#This Row],[Aop]],VLOOKUP(I$2&amp;Cash_Flow_Statement[[#This Row],[Aop]],Data[],I$1)/Jedinica,"")</f>
        <v>425</v>
      </c>
      <c r="J28" s="38">
        <f>IF(VLOOKUP(J$2&amp;Cash_Flow_Statement[[#This Row],[Aop]],Data[],1)=J$2&amp;Cash_Flow_Statement[[#This Row],[Aop]],VLOOKUP(J$2&amp;Cash_Flow_Statement[[#This Row],[Aop]],Data[],J$1)/Jedinica,"")</f>
        <v>446</v>
      </c>
      <c r="K28" s="38">
        <f>IF(VLOOKUP(K$2&amp;Cash_Flow_Statement[[#This Row],[Aop]],Data[],1)=K$2&amp;Cash_Flow_Statement[[#This Row],[Aop]],VLOOKUP(K$2&amp;Cash_Flow_Statement[[#This Row],[Aop]],Data[],K$1)/Jedinica,"")</f>
        <v>483</v>
      </c>
      <c r="L28" s="38">
        <f>IF(VLOOKUP(L$2&amp;Cash_Flow_Statement[[#This Row],[Aop]],Data[],1)=L$2&amp;Cash_Flow_Statement[[#This Row],[Aop]],VLOOKUP(L$2&amp;Cash_Flow_Statement[[#This Row],[Aop]],Data[],L$1)/Jedinica,"")</f>
        <v>416</v>
      </c>
      <c r="M28" s="38">
        <f>IF(VLOOKUP(M$2&amp;Cash_Flow_Statement[[#This Row],[Aop]],Data[],1)=M$2&amp;Cash_Flow_Statement[[#This Row],[Aop]],VLOOKUP(M$2&amp;Cash_Flow_Statement[[#This Row],[Aop]],Data[],M$1)/Jedinica,"")</f>
        <v>124</v>
      </c>
      <c r="N28" s="38">
        <f>IF(VLOOKUP(N$2&amp;Cash_Flow_Statement[[#This Row],[Aop]],Data[],1)=N$2&amp;Cash_Flow_Statement[[#This Row],[Aop]],VLOOKUP(N$2&amp;Cash_Flow_Statement[[#This Row],[Aop]],Data[],N$1)/Jedinica,"")</f>
        <v>104</v>
      </c>
      <c r="O28" s="38">
        <f>IF(VLOOKUP(O$2&amp;Cash_Flow_Statement[[#This Row],[Aop]],Data[],1)=O$2&amp;Cash_Flow_Statement[[#This Row],[Aop]],VLOOKUP(O$2&amp;Cash_Flow_Statement[[#This Row],[Aop]],Data[],O$1)/Jedinica,"")</f>
        <v>483</v>
      </c>
      <c r="P28" s="38">
        <f>IF(VLOOKUP(P$2&amp;Cash_Flow_Statement[[#This Row],[Aop]],Data[],1)=P$2&amp;Cash_Flow_Statement[[#This Row],[Aop]],VLOOKUP(P$2&amp;Cash_Flow_Statement[[#This Row],[Aop]],Data[],P$1)/Jedinica,"")</f>
        <v>416</v>
      </c>
      <c r="Q28" s="38">
        <f>IF(VLOOKUP(Q$2&amp;Cash_Flow_Statement[[#This Row],[Aop]],Data[],1)=Q$2&amp;Cash_Flow_Statement[[#This Row],[Aop]],VLOOKUP(Q$2&amp;Cash_Flow_Statement[[#This Row],[Aop]],Data[],Q$1)/Jedinica,"")</f>
        <v>492</v>
      </c>
      <c r="R28" s="38">
        <f>IF(VLOOKUP(R$2&amp;Cash_Flow_Statement[[#This Row],[Aop]],Data[],1)=R$2&amp;Cash_Flow_Statement[[#This Row],[Aop]],VLOOKUP(R$2&amp;Cash_Flow_Statement[[#This Row],[Aop]],Data[],R$1)/Jedinica,"")</f>
        <v>486</v>
      </c>
      <c r="S28" s="38">
        <f>IF(VLOOKUP(S$2&amp;Cash_Flow_Statement[[#This Row],[Aop]],Data[],1)=S$2&amp;Cash_Flow_Statement[[#This Row],[Aop]],VLOOKUP(S$2&amp;Cash_Flow_Statement[[#This Row],[Aop]],Data[],S$1)/Jedinica,"")</f>
        <v>265</v>
      </c>
      <c r="T28" s="38">
        <f>IF(VLOOKUP(T$2&amp;Cash_Flow_Statement[[#This Row],[Aop]],Data[],1)=T$2&amp;Cash_Flow_Statement[[#This Row],[Aop]],VLOOKUP(T$2&amp;Cash_Flow_Statement[[#This Row],[Aop]],Data[],T$1)/Jedinica,"")</f>
        <v>240</v>
      </c>
    </row>
    <row r="29" spans="1:20" ht="12.75" customHeight="1" x14ac:dyDescent="0.2">
      <c r="A29" s="74">
        <v>261</v>
      </c>
      <c r="B29" s="74">
        <v>2</v>
      </c>
      <c r="C29" s="82" t="str">
        <f>VLOOKUP(Cash_Flow_Statement[[#This Row],[No]],AOP_Balance,3,0)</f>
        <v>522</v>
      </c>
      <c r="D29" s="56" t="str">
        <f>VLOOKUP(Cash_Flow_Statement[[#This Row],[No]],AOP_Balance,7,0)</f>
        <v xml:space="preserve">    Krediti (povrat kredita) supsidijarnim licima</v>
      </c>
      <c r="E29" s="38" t="str">
        <f>IF(VLOOKUP(E$2&amp;Cash_Flow_Statement[[#This Row],[Aop]],Data[],1)=E$2&amp;Cash_Flow_Statement[[#This Row],[Aop]],VLOOKUP(E$2&amp;Cash_Flow_Statement[[#This Row],[Aop]],Data[],E$1)/Jedinica,"")</f>
        <v/>
      </c>
      <c r="F29" s="38" t="str">
        <f>IF(VLOOKUP(F$2&amp;Cash_Flow_Statement[[#This Row],[Aop]],Data[],1)=F$2&amp;Cash_Flow_Statement[[#This Row],[Aop]],VLOOKUP(F$2&amp;Cash_Flow_Statement[[#This Row],[Aop]],Data[],F$1)/Jedinica,"")</f>
        <v/>
      </c>
      <c r="G29" s="38">
        <f>IF(VLOOKUP(G$2&amp;Cash_Flow_Statement[[#This Row],[Aop]],Data[],1)=G$2&amp;Cash_Flow_Statement[[#This Row],[Aop]],VLOOKUP(G$2&amp;Cash_Flow_Statement[[#This Row],[Aop]],Data[],G$1)/Jedinica,"")</f>
        <v>425</v>
      </c>
      <c r="H29" s="38">
        <f>IF(VLOOKUP(H$2&amp;Cash_Flow_Statement[[#This Row],[Aop]],Data[],1)=H$2&amp;Cash_Flow_Statement[[#This Row],[Aop]],VLOOKUP(H$2&amp;Cash_Flow_Statement[[#This Row],[Aop]],Data[],H$1)/Jedinica,"")</f>
        <v>449</v>
      </c>
      <c r="I29" s="38">
        <f>IF(VLOOKUP(I$2&amp;Cash_Flow_Statement[[#This Row],[Aop]],Data[],1)=I$2&amp;Cash_Flow_Statement[[#This Row],[Aop]],VLOOKUP(I$2&amp;Cash_Flow_Statement[[#This Row],[Aop]],Data[],I$1)/Jedinica,"")</f>
        <v>425</v>
      </c>
      <c r="J29" s="38">
        <f>IF(VLOOKUP(J$2&amp;Cash_Flow_Statement[[#This Row],[Aop]],Data[],1)=J$2&amp;Cash_Flow_Statement[[#This Row],[Aop]],VLOOKUP(J$2&amp;Cash_Flow_Statement[[#This Row],[Aop]],Data[],J$1)/Jedinica,"")</f>
        <v>449</v>
      </c>
      <c r="K29" s="38">
        <f>IF(VLOOKUP(K$2&amp;Cash_Flow_Statement[[#This Row],[Aop]],Data[],1)=K$2&amp;Cash_Flow_Statement[[#This Row],[Aop]],VLOOKUP(K$2&amp;Cash_Flow_Statement[[#This Row],[Aop]],Data[],K$1)/Jedinica,"")</f>
        <v>587</v>
      </c>
      <c r="L29" s="38">
        <f>IF(VLOOKUP(L$2&amp;Cash_Flow_Statement[[#This Row],[Aop]],Data[],1)=L$2&amp;Cash_Flow_Statement[[#This Row],[Aop]],VLOOKUP(L$2&amp;Cash_Flow_Statement[[#This Row],[Aop]],Data[],L$1)/Jedinica,"")</f>
        <v>509</v>
      </c>
      <c r="M29" s="38">
        <f>IF(VLOOKUP(M$2&amp;Cash_Flow_Statement[[#This Row],[Aop]],Data[],1)=M$2&amp;Cash_Flow_Statement[[#This Row],[Aop]],VLOOKUP(M$2&amp;Cash_Flow_Statement[[#This Row],[Aop]],Data[],M$1)/Jedinica,"")</f>
        <v>17299</v>
      </c>
      <c r="N29" s="38">
        <f>IF(VLOOKUP(N$2&amp;Cash_Flow_Statement[[#This Row],[Aop]],Data[],1)=N$2&amp;Cash_Flow_Statement[[#This Row],[Aop]],VLOOKUP(N$2&amp;Cash_Flow_Statement[[#This Row],[Aop]],Data[],N$1)/Jedinica,"")</f>
        <v>14007</v>
      </c>
      <c r="O29" s="38">
        <f>IF(VLOOKUP(O$2&amp;Cash_Flow_Statement[[#This Row],[Aop]],Data[],1)=O$2&amp;Cash_Flow_Statement[[#This Row],[Aop]],VLOOKUP(O$2&amp;Cash_Flow_Statement[[#This Row],[Aop]],Data[],O$1)/Jedinica,"")</f>
        <v>587</v>
      </c>
      <c r="P29" s="38">
        <f>IF(VLOOKUP(P$2&amp;Cash_Flow_Statement[[#This Row],[Aop]],Data[],1)=P$2&amp;Cash_Flow_Statement[[#This Row],[Aop]],VLOOKUP(P$2&amp;Cash_Flow_Statement[[#This Row],[Aop]],Data[],P$1)/Jedinica,"")</f>
        <v>509</v>
      </c>
      <c r="Q29" s="38">
        <f>IF(VLOOKUP(Q$2&amp;Cash_Flow_Statement[[#This Row],[Aop]],Data[],1)=Q$2&amp;Cash_Flow_Statement[[#This Row],[Aop]],VLOOKUP(Q$2&amp;Cash_Flow_Statement[[#This Row],[Aop]],Data[],Q$1)/Jedinica,"")</f>
        <v>491</v>
      </c>
      <c r="R29" s="38">
        <f>IF(VLOOKUP(R$2&amp;Cash_Flow_Statement[[#This Row],[Aop]],Data[],1)=R$2&amp;Cash_Flow_Statement[[#This Row],[Aop]],VLOOKUP(R$2&amp;Cash_Flow_Statement[[#This Row],[Aop]],Data[],R$1)/Jedinica,"")</f>
        <v>505</v>
      </c>
      <c r="S29" s="38">
        <f>IF(VLOOKUP(S$2&amp;Cash_Flow_Statement[[#This Row],[Aop]],Data[],1)=S$2&amp;Cash_Flow_Statement[[#This Row],[Aop]],VLOOKUP(S$2&amp;Cash_Flow_Statement[[#This Row],[Aop]],Data[],S$1)/Jedinica,"")</f>
        <v>271</v>
      </c>
      <c r="T29" s="38">
        <f>IF(VLOOKUP(T$2&amp;Cash_Flow_Statement[[#This Row],[Aop]],Data[],1)=T$2&amp;Cash_Flow_Statement[[#This Row],[Aop]],VLOOKUP(T$2&amp;Cash_Flow_Statement[[#This Row],[Aop]],Data[],T$1)/Jedinica,"")</f>
        <v>241</v>
      </c>
    </row>
    <row r="30" spans="1:20" ht="12.75" customHeight="1" x14ac:dyDescent="0.2">
      <c r="A30" s="74">
        <v>262</v>
      </c>
      <c r="B30" s="74">
        <v>2</v>
      </c>
      <c r="C30" s="82" t="str">
        <f>VLOOKUP(Cash_Flow_Statement[[#This Row],[No]],AOP_Balance,3,0)</f>
        <v>523</v>
      </c>
      <c r="D30" s="52" t="str">
        <f>VLOOKUP(Cash_Flow_Statement[[#This Row],[No]],AOP_Balance,7,0)</f>
        <v xml:space="preserve">    Krediti (povrat kredita) drugim povezanim preduzećima</v>
      </c>
      <c r="E30" s="38">
        <f>IF(VLOOKUP(E$2&amp;Cash_Flow_Statement[[#This Row],[Aop]],Data[],1)=E$2&amp;Cash_Flow_Statement[[#This Row],[Aop]],VLOOKUP(E$2&amp;Cash_Flow_Statement[[#This Row],[Aop]],Data[],E$1)/Jedinica,"")</f>
        <v>-995</v>
      </c>
      <c r="F30" s="38">
        <f>IF(VLOOKUP(F$2&amp;Cash_Flow_Statement[[#This Row],[Aop]],Data[],1)=F$2&amp;Cash_Flow_Statement[[#This Row],[Aop]],VLOOKUP(F$2&amp;Cash_Flow_Statement[[#This Row],[Aop]],Data[],F$1)/Jedinica,"")</f>
        <v>15</v>
      </c>
      <c r="G30" s="38">
        <f>IF(VLOOKUP(G$2&amp;Cash_Flow_Statement[[#This Row],[Aop]],Data[],1)=G$2&amp;Cash_Flow_Statement[[#This Row],[Aop]],VLOOKUP(G$2&amp;Cash_Flow_Statement[[#This Row],[Aop]],Data[],G$1)/Jedinica,"")</f>
        <v>3158546</v>
      </c>
      <c r="H30" s="38">
        <f>IF(VLOOKUP(H$2&amp;Cash_Flow_Statement[[#This Row],[Aop]],Data[],1)=H$2&amp;Cash_Flow_Statement[[#This Row],[Aop]],VLOOKUP(H$2&amp;Cash_Flow_Statement[[#This Row],[Aop]],Data[],H$1)/Jedinica,"")</f>
        <v>2301125</v>
      </c>
      <c r="I30" s="38">
        <f>IF(VLOOKUP(I$2&amp;Cash_Flow_Statement[[#This Row],[Aop]],Data[],1)=I$2&amp;Cash_Flow_Statement[[#This Row],[Aop]],VLOOKUP(I$2&amp;Cash_Flow_Statement[[#This Row],[Aop]],Data[],I$1)/Jedinica,"")</f>
        <v>3158546</v>
      </c>
      <c r="J30" s="38">
        <f>IF(VLOOKUP(J$2&amp;Cash_Flow_Statement[[#This Row],[Aop]],Data[],1)=J$2&amp;Cash_Flow_Statement[[#This Row],[Aop]],VLOOKUP(J$2&amp;Cash_Flow_Statement[[#This Row],[Aop]],Data[],J$1)/Jedinica,"")</f>
        <v>2301125</v>
      </c>
      <c r="K30" s="38">
        <f>IF(VLOOKUP(K$2&amp;Cash_Flow_Statement[[#This Row],[Aop]],Data[],1)=K$2&amp;Cash_Flow_Statement[[#This Row],[Aop]],VLOOKUP(K$2&amp;Cash_Flow_Statement[[#This Row],[Aop]],Data[],K$1)/Jedinica,"")</f>
        <v>4030957</v>
      </c>
      <c r="L30" s="38">
        <f>IF(VLOOKUP(L$2&amp;Cash_Flow_Statement[[#This Row],[Aop]],Data[],1)=L$2&amp;Cash_Flow_Statement[[#This Row],[Aop]],VLOOKUP(L$2&amp;Cash_Flow_Statement[[#This Row],[Aop]],Data[],L$1)/Jedinica,"")</f>
        <v>3300912</v>
      </c>
      <c r="M30" s="38">
        <f>IF(VLOOKUP(M$2&amp;Cash_Flow_Statement[[#This Row],[Aop]],Data[],1)=M$2&amp;Cash_Flow_Statement[[#This Row],[Aop]],VLOOKUP(M$2&amp;Cash_Flow_Statement[[#This Row],[Aop]],Data[],M$1)/Jedinica,"")</f>
        <v>289368</v>
      </c>
      <c r="N30" s="38">
        <f>IF(VLOOKUP(N$2&amp;Cash_Flow_Statement[[#This Row],[Aop]],Data[],1)=N$2&amp;Cash_Flow_Statement[[#This Row],[Aop]],VLOOKUP(N$2&amp;Cash_Flow_Statement[[#This Row],[Aop]],Data[],N$1)/Jedinica,"")</f>
        <v>156168</v>
      </c>
      <c r="O30" s="38">
        <f>IF(VLOOKUP(O$2&amp;Cash_Flow_Statement[[#This Row],[Aop]],Data[],1)=O$2&amp;Cash_Flow_Statement[[#This Row],[Aop]],VLOOKUP(O$2&amp;Cash_Flow_Statement[[#This Row],[Aop]],Data[],O$1)/Jedinica,"")</f>
        <v>4030957</v>
      </c>
      <c r="P30" s="38">
        <f>IF(VLOOKUP(P$2&amp;Cash_Flow_Statement[[#This Row],[Aop]],Data[],1)=P$2&amp;Cash_Flow_Statement[[#This Row],[Aop]],VLOOKUP(P$2&amp;Cash_Flow_Statement[[#This Row],[Aop]],Data[],P$1)/Jedinica,"")</f>
        <v>3300912</v>
      </c>
      <c r="Q30" s="38">
        <f>IF(VLOOKUP(Q$2&amp;Cash_Flow_Statement[[#This Row],[Aop]],Data[],1)=Q$2&amp;Cash_Flow_Statement[[#This Row],[Aop]],VLOOKUP(Q$2&amp;Cash_Flow_Statement[[#This Row],[Aop]],Data[],Q$1)/Jedinica,"")</f>
        <v>55105</v>
      </c>
      <c r="R30" s="38">
        <f>IF(VLOOKUP(R$2&amp;Cash_Flow_Statement[[#This Row],[Aop]],Data[],1)=R$2&amp;Cash_Flow_Statement[[#This Row],[Aop]],VLOOKUP(R$2&amp;Cash_Flow_Statement[[#This Row],[Aop]],Data[],R$1)/Jedinica,"")</f>
        <v>60716</v>
      </c>
      <c r="S30" s="38">
        <f>IF(VLOOKUP(S$2&amp;Cash_Flow_Statement[[#This Row],[Aop]],Data[],1)=S$2&amp;Cash_Flow_Statement[[#This Row],[Aop]],VLOOKUP(S$2&amp;Cash_Flow_Statement[[#This Row],[Aop]],Data[],S$1)/Jedinica,"")</f>
        <v>3409139</v>
      </c>
      <c r="T30" s="38">
        <f>IF(VLOOKUP(T$2&amp;Cash_Flow_Statement[[#This Row],[Aop]],Data[],1)=T$2&amp;Cash_Flow_Statement[[#This Row],[Aop]],VLOOKUP(T$2&amp;Cash_Flow_Statement[[#This Row],[Aop]],Data[],T$1)/Jedinica,"")</f>
        <v>2636110</v>
      </c>
    </row>
    <row r="31" spans="1:20" ht="12.75" customHeight="1" x14ac:dyDescent="0.2">
      <c r="A31" s="74">
        <v>263</v>
      </c>
      <c r="B31" s="74">
        <v>2</v>
      </c>
      <c r="C31" s="82" t="str">
        <f>VLOOKUP(Cash_Flow_Statement[[#This Row],[No]],AOP_Balance,3,0)</f>
        <v>524</v>
      </c>
      <c r="D31" s="56" t="str">
        <f>VLOOKUP(Cash_Flow_Statement[[#This Row],[No]],AOP_Balance,7,0)</f>
        <v xml:space="preserve">    Kupovina (prodja) drugih ulaganja</v>
      </c>
      <c r="E31" s="38">
        <f>IF(VLOOKUP(E$2&amp;Cash_Flow_Statement[[#This Row],[Aop]],Data[],1)=E$2&amp;Cash_Flow_Statement[[#This Row],[Aop]],VLOOKUP(E$2&amp;Cash_Flow_Statement[[#This Row],[Aop]],Data[],E$1)/Jedinica,"")</f>
        <v>150</v>
      </c>
      <c r="F31" s="38">
        <f>IF(VLOOKUP(F$2&amp;Cash_Flow_Statement[[#This Row],[Aop]],Data[],1)=F$2&amp;Cash_Flow_Statement[[#This Row],[Aop]],VLOOKUP(F$2&amp;Cash_Flow_Statement[[#This Row],[Aop]],Data[],F$1)/Jedinica,"")</f>
        <v>0</v>
      </c>
      <c r="G31" s="38" t="str">
        <f>IF(VLOOKUP(G$2&amp;Cash_Flow_Statement[[#This Row],[Aop]],Data[],1)=G$2&amp;Cash_Flow_Statement[[#This Row],[Aop]],VLOOKUP(G$2&amp;Cash_Flow_Statement[[#This Row],[Aop]],Data[],G$1)/Jedinica,"")</f>
        <v/>
      </c>
      <c r="H31" s="38" t="str">
        <f>IF(VLOOKUP(H$2&amp;Cash_Flow_Statement[[#This Row],[Aop]],Data[],1)=H$2&amp;Cash_Flow_Statement[[#This Row],[Aop]],VLOOKUP(H$2&amp;Cash_Flow_Statement[[#This Row],[Aop]],Data[],H$1)/Jedinica,"")</f>
        <v/>
      </c>
      <c r="I31" s="38" t="str">
        <f>IF(VLOOKUP(I$2&amp;Cash_Flow_Statement[[#This Row],[Aop]],Data[],1)=I$2&amp;Cash_Flow_Statement[[#This Row],[Aop]],VLOOKUP(I$2&amp;Cash_Flow_Statement[[#This Row],[Aop]],Data[],I$1)/Jedinica,"")</f>
        <v/>
      </c>
      <c r="J31" s="38" t="str">
        <f>IF(VLOOKUP(J$2&amp;Cash_Flow_Statement[[#This Row],[Aop]],Data[],1)=J$2&amp;Cash_Flow_Statement[[#This Row],[Aop]],VLOOKUP(J$2&amp;Cash_Flow_Statement[[#This Row],[Aop]],Data[],J$1)/Jedinica,"")</f>
        <v/>
      </c>
      <c r="K31" s="38">
        <f>IF(VLOOKUP(K$2&amp;Cash_Flow_Statement[[#This Row],[Aop]],Data[],1)=K$2&amp;Cash_Flow_Statement[[#This Row],[Aop]],VLOOKUP(K$2&amp;Cash_Flow_Statement[[#This Row],[Aop]],Data[],K$1)/Jedinica,"")</f>
        <v>675506</v>
      </c>
      <c r="L31" s="38">
        <f>IF(VLOOKUP(L$2&amp;Cash_Flow_Statement[[#This Row],[Aop]],Data[],1)=L$2&amp;Cash_Flow_Statement[[#This Row],[Aop]],VLOOKUP(L$2&amp;Cash_Flow_Statement[[#This Row],[Aop]],Data[],L$1)/Jedinica,"")</f>
        <v>739840</v>
      </c>
      <c r="M31" s="38" t="str">
        <f>IF(VLOOKUP(M$2&amp;Cash_Flow_Statement[[#This Row],[Aop]],Data[],1)=M$2&amp;Cash_Flow_Statement[[#This Row],[Aop]],VLOOKUP(M$2&amp;Cash_Flow_Statement[[#This Row],[Aop]],Data[],M$1)/Jedinica,"")</f>
        <v/>
      </c>
      <c r="N31" s="38" t="str">
        <f>IF(VLOOKUP(N$2&amp;Cash_Flow_Statement[[#This Row],[Aop]],Data[],1)=N$2&amp;Cash_Flow_Statement[[#This Row],[Aop]],VLOOKUP(N$2&amp;Cash_Flow_Statement[[#This Row],[Aop]],Data[],N$1)/Jedinica,"")</f>
        <v/>
      </c>
      <c r="O31" s="38">
        <f>IF(VLOOKUP(O$2&amp;Cash_Flow_Statement[[#This Row],[Aop]],Data[],1)=O$2&amp;Cash_Flow_Statement[[#This Row],[Aop]],VLOOKUP(O$2&amp;Cash_Flow_Statement[[#This Row],[Aop]],Data[],O$1)/Jedinica,"")</f>
        <v>675506</v>
      </c>
      <c r="P31" s="38">
        <f>IF(VLOOKUP(P$2&amp;Cash_Flow_Statement[[#This Row],[Aop]],Data[],1)=P$2&amp;Cash_Flow_Statement[[#This Row],[Aop]],VLOOKUP(P$2&amp;Cash_Flow_Statement[[#This Row],[Aop]],Data[],P$1)/Jedinica,"")</f>
        <v>739840</v>
      </c>
      <c r="Q31" s="38">
        <f>IF(VLOOKUP(Q$2&amp;Cash_Flow_Statement[[#This Row],[Aop]],Data[],1)=Q$2&amp;Cash_Flow_Statement[[#This Row],[Aop]],VLOOKUP(Q$2&amp;Cash_Flow_Statement[[#This Row],[Aop]],Data[],Q$1)/Jedinica,"")</f>
        <v>11096563</v>
      </c>
      <c r="R31" s="38">
        <f>IF(VLOOKUP(R$2&amp;Cash_Flow_Statement[[#This Row],[Aop]],Data[],1)=R$2&amp;Cash_Flow_Statement[[#This Row],[Aop]],VLOOKUP(R$2&amp;Cash_Flow_Statement[[#This Row],[Aop]],Data[],R$1)/Jedinica,"")</f>
        <v>9408069</v>
      </c>
      <c r="S31" s="38">
        <f>IF(VLOOKUP(S$2&amp;Cash_Flow_Statement[[#This Row],[Aop]],Data[],1)=S$2&amp;Cash_Flow_Statement[[#This Row],[Aop]],VLOOKUP(S$2&amp;Cash_Flow_Statement[[#This Row],[Aop]],Data[],S$1)/Jedinica,"")</f>
        <v>0</v>
      </c>
      <c r="T31" s="38">
        <f>IF(VLOOKUP(T$2&amp;Cash_Flow_Statement[[#This Row],[Aop]],Data[],1)=T$2&amp;Cash_Flow_Statement[[#This Row],[Aop]],VLOOKUP(T$2&amp;Cash_Flow_Statement[[#This Row],[Aop]],Data[],T$1)/Jedinica,"")</f>
        <v>3911660</v>
      </c>
    </row>
    <row r="32" spans="1:20" ht="12.75" customHeight="1" x14ac:dyDescent="0.2">
      <c r="A32" s="74">
        <v>264</v>
      </c>
      <c r="B32" s="74">
        <v>2</v>
      </c>
      <c r="C32" s="82" t="str">
        <f>VLOOKUP(Cash_Flow_Statement[[#This Row],[No]],AOP_Balance,3,0)</f>
        <v>525</v>
      </c>
      <c r="D32" s="56" t="str">
        <f>VLOOKUP(Cash_Flow_Statement[[#This Row],[No]],AOP_Balance,7,0)</f>
        <v xml:space="preserve">    Isplate po vanbilansnim ugovorima</v>
      </c>
      <c r="E32" s="38" t="str">
        <f>IF(VLOOKUP(E$2&amp;Cash_Flow_Statement[[#This Row],[Aop]],Data[],1)=E$2&amp;Cash_Flow_Statement[[#This Row],[Aop]],VLOOKUP(E$2&amp;Cash_Flow_Statement[[#This Row],[Aop]],Data[],E$1)/Jedinica,"")</f>
        <v/>
      </c>
      <c r="F32" s="38" t="str">
        <f>IF(VLOOKUP(F$2&amp;Cash_Flow_Statement[[#This Row],[Aop]],Data[],1)=F$2&amp;Cash_Flow_Statement[[#This Row],[Aop]],VLOOKUP(F$2&amp;Cash_Flow_Statement[[#This Row],[Aop]],Data[],F$1)/Jedinica,"")</f>
        <v/>
      </c>
      <c r="G32" s="38">
        <f>IF(VLOOKUP(G$2&amp;Cash_Flow_Statement[[#This Row],[Aop]],Data[],1)=G$2&amp;Cash_Flow_Statement[[#This Row],[Aop]],VLOOKUP(G$2&amp;Cash_Flow_Statement[[#This Row],[Aop]],Data[],G$1)/Jedinica,"")</f>
        <v>140783601</v>
      </c>
      <c r="H32" s="38">
        <f>IF(VLOOKUP(H$2&amp;Cash_Flow_Statement[[#This Row],[Aop]],Data[],1)=H$2&amp;Cash_Flow_Statement[[#This Row],[Aop]],VLOOKUP(H$2&amp;Cash_Flow_Statement[[#This Row],[Aop]],Data[],H$1)/Jedinica,"")</f>
        <v>112839290</v>
      </c>
      <c r="I32" s="38">
        <f>IF(VLOOKUP(I$2&amp;Cash_Flow_Statement[[#This Row],[Aop]],Data[],1)=I$2&amp;Cash_Flow_Statement[[#This Row],[Aop]],VLOOKUP(I$2&amp;Cash_Flow_Statement[[#This Row],[Aop]],Data[],I$1)/Jedinica,"")</f>
        <v>140783601</v>
      </c>
      <c r="J32" s="38">
        <f>IF(VLOOKUP(J$2&amp;Cash_Flow_Statement[[#This Row],[Aop]],Data[],1)=J$2&amp;Cash_Flow_Statement[[#This Row],[Aop]],VLOOKUP(J$2&amp;Cash_Flow_Statement[[#This Row],[Aop]],Data[],J$1)/Jedinica,"")</f>
        <v>112839290</v>
      </c>
      <c r="K32" s="38">
        <f>IF(VLOOKUP(K$2&amp;Cash_Flow_Statement[[#This Row],[Aop]],Data[],1)=K$2&amp;Cash_Flow_Statement[[#This Row],[Aop]],VLOOKUP(K$2&amp;Cash_Flow_Statement[[#This Row],[Aop]],Data[],K$1)/Jedinica,"")</f>
        <v>110501563</v>
      </c>
      <c r="L32" s="38">
        <f>IF(VLOOKUP(L$2&amp;Cash_Flow_Statement[[#This Row],[Aop]],Data[],1)=L$2&amp;Cash_Flow_Statement[[#This Row],[Aop]],VLOOKUP(L$2&amp;Cash_Flow_Statement[[#This Row],[Aop]],Data[],L$1)/Jedinica,"")</f>
        <v>105526039</v>
      </c>
      <c r="M32" s="38">
        <f>IF(VLOOKUP(M$2&amp;Cash_Flow_Statement[[#This Row],[Aop]],Data[],1)=M$2&amp;Cash_Flow_Statement[[#This Row],[Aop]],VLOOKUP(M$2&amp;Cash_Flow_Statement[[#This Row],[Aop]],Data[],M$1)/Jedinica,"")</f>
        <v>20529862</v>
      </c>
      <c r="N32" s="38">
        <f>IF(VLOOKUP(N$2&amp;Cash_Flow_Statement[[#This Row],[Aop]],Data[],1)=N$2&amp;Cash_Flow_Statement[[#This Row],[Aop]],VLOOKUP(N$2&amp;Cash_Flow_Statement[[#This Row],[Aop]],Data[],N$1)/Jedinica,"")</f>
        <v>20387370</v>
      </c>
      <c r="O32" s="38">
        <f>IF(VLOOKUP(O$2&amp;Cash_Flow_Statement[[#This Row],[Aop]],Data[],1)=O$2&amp;Cash_Flow_Statement[[#This Row],[Aop]],VLOOKUP(O$2&amp;Cash_Flow_Statement[[#This Row],[Aop]],Data[],O$1)/Jedinica,"")</f>
        <v>110501563</v>
      </c>
      <c r="P32" s="38">
        <f>IF(VLOOKUP(P$2&amp;Cash_Flow_Statement[[#This Row],[Aop]],Data[],1)=P$2&amp;Cash_Flow_Statement[[#This Row],[Aop]],VLOOKUP(P$2&amp;Cash_Flow_Statement[[#This Row],[Aop]],Data[],P$1)/Jedinica,"")</f>
        <v>105526039</v>
      </c>
      <c r="Q32" s="38">
        <f>IF(VLOOKUP(Q$2&amp;Cash_Flow_Statement[[#This Row],[Aop]],Data[],1)=Q$2&amp;Cash_Flow_Statement[[#This Row],[Aop]],VLOOKUP(Q$2&amp;Cash_Flow_Statement[[#This Row],[Aop]],Data[],Q$1)/Jedinica,"")</f>
        <v>114443505</v>
      </c>
      <c r="R32" s="38">
        <f>IF(VLOOKUP(R$2&amp;Cash_Flow_Statement[[#This Row],[Aop]],Data[],1)=R$2&amp;Cash_Flow_Statement[[#This Row],[Aop]],VLOOKUP(R$2&amp;Cash_Flow_Statement[[#This Row],[Aop]],Data[],R$1)/Jedinica,"")</f>
        <v>106957315</v>
      </c>
      <c r="S32" s="38">
        <f>IF(VLOOKUP(S$2&amp;Cash_Flow_Statement[[#This Row],[Aop]],Data[],1)=S$2&amp;Cash_Flow_Statement[[#This Row],[Aop]],VLOOKUP(S$2&amp;Cash_Flow_Statement[[#This Row],[Aop]],Data[],S$1)/Jedinica,"")</f>
        <v>84541712</v>
      </c>
      <c r="T32" s="38">
        <f>IF(VLOOKUP(T$2&amp;Cash_Flow_Statement[[#This Row],[Aop]],Data[],1)=T$2&amp;Cash_Flow_Statement[[#This Row],[Aop]],VLOOKUP(T$2&amp;Cash_Flow_Statement[[#This Row],[Aop]],Data[],T$1)/Jedinica,"")</f>
        <v>67747772</v>
      </c>
    </row>
    <row r="33" spans="1:20" ht="12.75" customHeight="1" x14ac:dyDescent="0.2">
      <c r="A33" s="74">
        <v>265</v>
      </c>
      <c r="B33" s="74">
        <v>2</v>
      </c>
      <c r="C33" s="82" t="str">
        <f>VLOOKUP(Cash_Flow_Statement[[#This Row],[No]],AOP_Balance,3,0)</f>
        <v>526</v>
      </c>
      <c r="D33" s="56" t="str">
        <f>VLOOKUP(Cash_Flow_Statement[[#This Row],[No]],AOP_Balance,7,0)</f>
        <v xml:space="preserve">    Primici i isplate po vanrednim stavkama</v>
      </c>
      <c r="E33" s="38" t="str">
        <f>IF(VLOOKUP(E$2&amp;Cash_Flow_Statement[[#This Row],[Aop]],Data[],1)=E$2&amp;Cash_Flow_Statement[[#This Row],[Aop]],VLOOKUP(E$2&amp;Cash_Flow_Statement[[#This Row],[Aop]],Data[],E$1)/Jedinica,"")</f>
        <v/>
      </c>
      <c r="F33" s="38" t="str">
        <f>IF(VLOOKUP(F$2&amp;Cash_Flow_Statement[[#This Row],[Aop]],Data[],1)=F$2&amp;Cash_Flow_Statement[[#This Row],[Aop]],VLOOKUP(F$2&amp;Cash_Flow_Statement[[#This Row],[Aop]],Data[],F$1)/Jedinica,"")</f>
        <v/>
      </c>
      <c r="G33" s="38">
        <f>IF(VLOOKUP(G$2&amp;Cash_Flow_Statement[[#This Row],[Aop]],Data[],1)=G$2&amp;Cash_Flow_Statement[[#This Row],[Aop]],VLOOKUP(G$2&amp;Cash_Flow_Statement[[#This Row],[Aop]],Data[],G$1)/Jedinica,"")</f>
        <v>97427649</v>
      </c>
      <c r="H33" s="38">
        <f>IF(VLOOKUP(H$2&amp;Cash_Flow_Statement[[#This Row],[Aop]],Data[],1)=H$2&amp;Cash_Flow_Statement[[#This Row],[Aop]],VLOOKUP(H$2&amp;Cash_Flow_Statement[[#This Row],[Aop]],Data[],H$1)/Jedinica,"")</f>
        <v>82427349</v>
      </c>
      <c r="I33" s="38">
        <f>IF(VLOOKUP(I$2&amp;Cash_Flow_Statement[[#This Row],[Aop]],Data[],1)=I$2&amp;Cash_Flow_Statement[[#This Row],[Aop]],VLOOKUP(I$2&amp;Cash_Flow_Statement[[#This Row],[Aop]],Data[],I$1)/Jedinica,"")</f>
        <v>97427649</v>
      </c>
      <c r="J33" s="38">
        <f>IF(VLOOKUP(J$2&amp;Cash_Flow_Statement[[#This Row],[Aop]],Data[],1)=J$2&amp;Cash_Flow_Statement[[#This Row],[Aop]],VLOOKUP(J$2&amp;Cash_Flow_Statement[[#This Row],[Aop]],Data[],J$1)/Jedinica,"")</f>
        <v>82427349</v>
      </c>
      <c r="K33" s="38">
        <f>IF(VLOOKUP(K$2&amp;Cash_Flow_Statement[[#This Row],[Aop]],Data[],1)=K$2&amp;Cash_Flow_Statement[[#This Row],[Aop]],VLOOKUP(K$2&amp;Cash_Flow_Statement[[#This Row],[Aop]],Data[],K$1)/Jedinica,"")</f>
        <v>78932994</v>
      </c>
      <c r="L33" s="38">
        <f>IF(VLOOKUP(L$2&amp;Cash_Flow_Statement[[#This Row],[Aop]],Data[],1)=L$2&amp;Cash_Flow_Statement[[#This Row],[Aop]],VLOOKUP(L$2&amp;Cash_Flow_Statement[[#This Row],[Aop]],Data[],L$1)/Jedinica,"")</f>
        <v>78932994</v>
      </c>
      <c r="M33" s="38">
        <f>IF(VLOOKUP(M$2&amp;Cash_Flow_Statement[[#This Row],[Aop]],Data[],1)=M$2&amp;Cash_Flow_Statement[[#This Row],[Aop]],VLOOKUP(M$2&amp;Cash_Flow_Statement[[#This Row],[Aop]],Data[],M$1)/Jedinica,"")</f>
        <v>26000000</v>
      </c>
      <c r="N33" s="38">
        <f>IF(VLOOKUP(N$2&amp;Cash_Flow_Statement[[#This Row],[Aop]],Data[],1)=N$2&amp;Cash_Flow_Statement[[#This Row],[Aop]],VLOOKUP(N$2&amp;Cash_Flow_Statement[[#This Row],[Aop]],Data[],N$1)/Jedinica,"")</f>
        <v>26000000</v>
      </c>
      <c r="O33" s="38">
        <f>IF(VLOOKUP(O$2&amp;Cash_Flow_Statement[[#This Row],[Aop]],Data[],1)=O$2&amp;Cash_Flow_Statement[[#This Row],[Aop]],VLOOKUP(O$2&amp;Cash_Flow_Statement[[#This Row],[Aop]],Data[],O$1)/Jedinica,"")</f>
        <v>78932994</v>
      </c>
      <c r="P33" s="38">
        <f>IF(VLOOKUP(P$2&amp;Cash_Flow_Statement[[#This Row],[Aop]],Data[],1)=P$2&amp;Cash_Flow_Statement[[#This Row],[Aop]],VLOOKUP(P$2&amp;Cash_Flow_Statement[[#This Row],[Aop]],Data[],P$1)/Jedinica,"")</f>
        <v>78932994</v>
      </c>
      <c r="Q33" s="38">
        <f>IF(VLOOKUP(Q$2&amp;Cash_Flow_Statement[[#This Row],[Aop]],Data[],1)=Q$2&amp;Cash_Flow_Statement[[#This Row],[Aop]],VLOOKUP(Q$2&amp;Cash_Flow_Statement[[#This Row],[Aop]],Data[],Q$1)/Jedinica,"")</f>
        <v>62159780</v>
      </c>
      <c r="R33" s="38">
        <f>IF(VLOOKUP(R$2&amp;Cash_Flow_Statement[[#This Row],[Aop]],Data[],1)=R$2&amp;Cash_Flow_Statement[[#This Row],[Aop]],VLOOKUP(R$2&amp;Cash_Flow_Statement[[#This Row],[Aop]],Data[],R$1)/Jedinica,"")</f>
        <v>62159780</v>
      </c>
      <c r="S33" s="38">
        <f>IF(VLOOKUP(S$2&amp;Cash_Flow_Statement[[#This Row],[Aop]],Data[],1)=S$2&amp;Cash_Flow_Statement[[#This Row],[Aop]],VLOOKUP(S$2&amp;Cash_Flow_Statement[[#This Row],[Aop]],Data[],S$1)/Jedinica,"")</f>
        <v>53963200</v>
      </c>
      <c r="T33" s="38">
        <f>IF(VLOOKUP(T$2&amp;Cash_Flow_Statement[[#This Row],[Aop]],Data[],1)=T$2&amp;Cash_Flow_Statement[[#This Row],[Aop]],VLOOKUP(T$2&amp;Cash_Flow_Statement[[#This Row],[Aop]],Data[],T$1)/Jedinica,"")</f>
        <v>38963200</v>
      </c>
    </row>
    <row r="34" spans="1:20" ht="12.75" customHeight="1" x14ac:dyDescent="0.2">
      <c r="A34" s="74">
        <v>266</v>
      </c>
      <c r="B34" s="74">
        <v>2</v>
      </c>
      <c r="C34" s="82" t="str">
        <f>VLOOKUP(Cash_Flow_Statement[[#This Row],[No]],AOP_Balance,3,0)</f>
        <v>527</v>
      </c>
      <c r="D34" s="56" t="str">
        <f>VLOOKUP(Cash_Flow_Statement[[#This Row],[No]],AOP_Balance,7,0)</f>
        <v xml:space="preserve">    Neto novčana sredstva iz ulagačkih aktivnosti</v>
      </c>
      <c r="E34" s="38">
        <f>IF(VLOOKUP(E$2&amp;Cash_Flow_Statement[[#This Row],[Aop]],Data[],1)=E$2&amp;Cash_Flow_Statement[[#This Row],[Aop]],VLOOKUP(E$2&amp;Cash_Flow_Statement[[#This Row],[Aop]],Data[],E$1)/Jedinica,"")</f>
        <v>-1269</v>
      </c>
      <c r="F34" s="38">
        <f>IF(VLOOKUP(F$2&amp;Cash_Flow_Statement[[#This Row],[Aop]],Data[],1)=F$2&amp;Cash_Flow_Statement[[#This Row],[Aop]],VLOOKUP(F$2&amp;Cash_Flow_Statement[[#This Row],[Aop]],Data[],F$1)/Jedinica,"")</f>
        <v>-278</v>
      </c>
      <c r="G34" s="38">
        <f>IF(VLOOKUP(G$2&amp;Cash_Flow_Statement[[#This Row],[Aop]],Data[],1)=G$2&amp;Cash_Flow_Statement[[#This Row],[Aop]],VLOOKUP(G$2&amp;Cash_Flow_Statement[[#This Row],[Aop]],Data[],G$1)/Jedinica,"")</f>
        <v>97055000</v>
      </c>
      <c r="H34" s="38">
        <f>IF(VLOOKUP(H$2&amp;Cash_Flow_Statement[[#This Row],[Aop]],Data[],1)=H$2&amp;Cash_Flow_Statement[[#This Row],[Aop]],VLOOKUP(H$2&amp;Cash_Flow_Statement[[#This Row],[Aop]],Data[],H$1)/Jedinica,"")</f>
        <v>82054700</v>
      </c>
      <c r="I34" s="38">
        <f>IF(VLOOKUP(I$2&amp;Cash_Flow_Statement[[#This Row],[Aop]],Data[],1)=I$2&amp;Cash_Flow_Statement[[#This Row],[Aop]],VLOOKUP(I$2&amp;Cash_Flow_Statement[[#This Row],[Aop]],Data[],I$1)/Jedinica,"")</f>
        <v>97055000</v>
      </c>
      <c r="J34" s="38">
        <f>IF(VLOOKUP(J$2&amp;Cash_Flow_Statement[[#This Row],[Aop]],Data[],1)=J$2&amp;Cash_Flow_Statement[[#This Row],[Aop]],VLOOKUP(J$2&amp;Cash_Flow_Statement[[#This Row],[Aop]],Data[],J$1)/Jedinica,"")</f>
        <v>82054700</v>
      </c>
      <c r="K34" s="38">
        <f>IF(VLOOKUP(K$2&amp;Cash_Flow_Statement[[#This Row],[Aop]],Data[],1)=K$2&amp;Cash_Flow_Statement[[#This Row],[Aop]],VLOOKUP(K$2&amp;Cash_Flow_Statement[[#This Row],[Aop]],Data[],K$1)/Jedinica,"")</f>
        <v>70863294</v>
      </c>
      <c r="L34" s="38">
        <f>IF(VLOOKUP(L$2&amp;Cash_Flow_Statement[[#This Row],[Aop]],Data[],1)=L$2&amp;Cash_Flow_Statement[[#This Row],[Aop]],VLOOKUP(L$2&amp;Cash_Flow_Statement[[#This Row],[Aop]],Data[],L$1)/Jedinica,"")</f>
        <v>70863294</v>
      </c>
      <c r="M34" s="38">
        <f>IF(VLOOKUP(M$2&amp;Cash_Flow_Statement[[#This Row],[Aop]],Data[],1)=M$2&amp;Cash_Flow_Statement[[#This Row],[Aop]],VLOOKUP(M$2&amp;Cash_Flow_Statement[[#This Row],[Aop]],Data[],M$1)/Jedinica,"")</f>
        <v>26000000</v>
      </c>
      <c r="N34" s="38">
        <f>IF(VLOOKUP(N$2&amp;Cash_Flow_Statement[[#This Row],[Aop]],Data[],1)=N$2&amp;Cash_Flow_Statement[[#This Row],[Aop]],VLOOKUP(N$2&amp;Cash_Flow_Statement[[#This Row],[Aop]],Data[],N$1)/Jedinica,"")</f>
        <v>26000000</v>
      </c>
      <c r="O34" s="38">
        <f>IF(VLOOKUP(O$2&amp;Cash_Flow_Statement[[#This Row],[Aop]],Data[],1)=O$2&amp;Cash_Flow_Statement[[#This Row],[Aop]],VLOOKUP(O$2&amp;Cash_Flow_Statement[[#This Row],[Aop]],Data[],O$1)/Jedinica,"")</f>
        <v>70863294</v>
      </c>
      <c r="P34" s="38">
        <f>IF(VLOOKUP(P$2&amp;Cash_Flow_Statement[[#This Row],[Aop]],Data[],1)=P$2&amp;Cash_Flow_Statement[[#This Row],[Aop]],VLOOKUP(P$2&amp;Cash_Flow_Statement[[#This Row],[Aop]],Data[],P$1)/Jedinica,"")</f>
        <v>70863294</v>
      </c>
      <c r="Q34" s="38">
        <f>IF(VLOOKUP(Q$2&amp;Cash_Flow_Statement[[#This Row],[Aop]],Data[],1)=Q$2&amp;Cash_Flow_Statement[[#This Row],[Aop]],VLOOKUP(Q$2&amp;Cash_Flow_Statement[[#This Row],[Aop]],Data[],Q$1)/Jedinica,"")</f>
        <v>62003000</v>
      </c>
      <c r="R34" s="38">
        <f>IF(VLOOKUP(R$2&amp;Cash_Flow_Statement[[#This Row],[Aop]],Data[],1)=R$2&amp;Cash_Flow_Statement[[#This Row],[Aop]],VLOOKUP(R$2&amp;Cash_Flow_Statement[[#This Row],[Aop]],Data[],R$1)/Jedinica,"")</f>
        <v>62003000</v>
      </c>
      <c r="S34" s="38">
        <f>IF(VLOOKUP(S$2&amp;Cash_Flow_Statement[[#This Row],[Aop]],Data[],1)=S$2&amp;Cash_Flow_Statement[[#This Row],[Aop]],VLOOKUP(S$2&amp;Cash_Flow_Statement[[#This Row],[Aop]],Data[],S$1)/Jedinica,"")</f>
        <v>38728000</v>
      </c>
      <c r="T34" s="38">
        <f>IF(VLOOKUP(T$2&amp;Cash_Flow_Statement[[#This Row],[Aop]],Data[],1)=T$2&amp;Cash_Flow_Statement[[#This Row],[Aop]],VLOOKUP(T$2&amp;Cash_Flow_Statement[[#This Row],[Aop]],Data[],T$1)/Jedinica,"")</f>
        <v>23728000</v>
      </c>
    </row>
    <row r="35" spans="1:20" ht="12.75" customHeight="1" x14ac:dyDescent="0.2">
      <c r="A35" s="74">
        <v>267</v>
      </c>
      <c r="B35" s="74">
        <v>1</v>
      </c>
      <c r="C35" s="82" t="str">
        <f>VLOOKUP(Cash_Flow_Statement[[#This Row],[No]],AOP_Balance,3,0)</f>
        <v/>
      </c>
      <c r="D35" s="56" t="str">
        <f>VLOOKUP(Cash_Flow_Statement[[#This Row],[No]],AOP_Balance,7,0)</f>
        <v xml:space="preserve">  NOVČANI TOKOVI OD AKTIVNOSTI FINANSIRANJA</v>
      </c>
      <c r="E35" s="38" t="e">
        <f>IF(VLOOKUP(E$2&amp;Cash_Flow_Statement[[#This Row],[Aop]],Data[],1)=E$2&amp;Cash_Flow_Statement[[#This Row],[Aop]],VLOOKUP(E$2&amp;Cash_Flow_Statement[[#This Row],[Aop]],Data[],E$1)/Jedinica,"")</f>
        <v>#N/A</v>
      </c>
      <c r="F35" s="38" t="e">
        <f>IF(VLOOKUP(F$2&amp;Cash_Flow_Statement[[#This Row],[Aop]],Data[],1)=F$2&amp;Cash_Flow_Statement[[#This Row],[Aop]],VLOOKUP(F$2&amp;Cash_Flow_Statement[[#This Row],[Aop]],Data[],F$1)/Jedinica,"")</f>
        <v>#N/A</v>
      </c>
      <c r="G35" s="38" t="str">
        <f>IF(VLOOKUP(G$2&amp;Cash_Flow_Statement[[#This Row],[Aop]],Data[],1)=G$2&amp;Cash_Flow_Statement[[#This Row],[Aop]],VLOOKUP(G$2&amp;Cash_Flow_Statement[[#This Row],[Aop]],Data[],G$1)/Jedinica,"")</f>
        <v/>
      </c>
      <c r="H35" s="38" t="str">
        <f>IF(VLOOKUP(H$2&amp;Cash_Flow_Statement[[#This Row],[Aop]],Data[],1)=H$2&amp;Cash_Flow_Statement[[#This Row],[Aop]],VLOOKUP(H$2&amp;Cash_Flow_Statement[[#This Row],[Aop]],Data[],H$1)/Jedinica,"")</f>
        <v/>
      </c>
      <c r="I35" s="38" t="str">
        <f>IF(VLOOKUP(I$2&amp;Cash_Flow_Statement[[#This Row],[Aop]],Data[],1)=I$2&amp;Cash_Flow_Statement[[#This Row],[Aop]],VLOOKUP(I$2&amp;Cash_Flow_Statement[[#This Row],[Aop]],Data[],I$1)/Jedinica,"")</f>
        <v/>
      </c>
      <c r="J35" s="38" t="str">
        <f>IF(VLOOKUP(J$2&amp;Cash_Flow_Statement[[#This Row],[Aop]],Data[],1)=J$2&amp;Cash_Flow_Statement[[#This Row],[Aop]],VLOOKUP(J$2&amp;Cash_Flow_Statement[[#This Row],[Aop]],Data[],J$1)/Jedinica,"")</f>
        <v/>
      </c>
      <c r="K35" s="38" t="str">
        <f>IF(VLOOKUP(K$2&amp;Cash_Flow_Statement[[#This Row],[Aop]],Data[],1)=K$2&amp;Cash_Flow_Statement[[#This Row],[Aop]],VLOOKUP(K$2&amp;Cash_Flow_Statement[[#This Row],[Aop]],Data[],K$1)/Jedinica,"")</f>
        <v/>
      </c>
      <c r="L35" s="38" t="str">
        <f>IF(VLOOKUP(L$2&amp;Cash_Flow_Statement[[#This Row],[Aop]],Data[],1)=L$2&amp;Cash_Flow_Statement[[#This Row],[Aop]],VLOOKUP(L$2&amp;Cash_Flow_Statement[[#This Row],[Aop]],Data[],L$1)/Jedinica,"")</f>
        <v/>
      </c>
      <c r="M35" s="38" t="str">
        <f>IF(VLOOKUP(M$2&amp;Cash_Flow_Statement[[#This Row],[Aop]],Data[],1)=M$2&amp;Cash_Flow_Statement[[#This Row],[Aop]],VLOOKUP(M$2&amp;Cash_Flow_Statement[[#This Row],[Aop]],Data[],M$1)/Jedinica,"")</f>
        <v/>
      </c>
      <c r="N35" s="38" t="str">
        <f>IF(VLOOKUP(N$2&amp;Cash_Flow_Statement[[#This Row],[Aop]],Data[],1)=N$2&amp;Cash_Flow_Statement[[#This Row],[Aop]],VLOOKUP(N$2&amp;Cash_Flow_Statement[[#This Row],[Aop]],Data[],N$1)/Jedinica,"")</f>
        <v/>
      </c>
      <c r="O35" s="38" t="str">
        <f>IF(VLOOKUP(O$2&amp;Cash_Flow_Statement[[#This Row],[Aop]],Data[],1)=O$2&amp;Cash_Flow_Statement[[#This Row],[Aop]],VLOOKUP(O$2&amp;Cash_Flow_Statement[[#This Row],[Aop]],Data[],O$1)/Jedinica,"")</f>
        <v/>
      </c>
      <c r="P35" s="38" t="str">
        <f>IF(VLOOKUP(P$2&amp;Cash_Flow_Statement[[#This Row],[Aop]],Data[],1)=P$2&amp;Cash_Flow_Statement[[#This Row],[Aop]],VLOOKUP(P$2&amp;Cash_Flow_Statement[[#This Row],[Aop]],Data[],P$1)/Jedinica,"")</f>
        <v/>
      </c>
      <c r="Q35" s="38" t="str">
        <f>IF(VLOOKUP(Q$2&amp;Cash_Flow_Statement[[#This Row],[Aop]],Data[],1)=Q$2&amp;Cash_Flow_Statement[[#This Row],[Aop]],VLOOKUP(Q$2&amp;Cash_Flow_Statement[[#This Row],[Aop]],Data[],Q$1)/Jedinica,"")</f>
        <v/>
      </c>
      <c r="R35" s="38" t="str">
        <f>IF(VLOOKUP(R$2&amp;Cash_Flow_Statement[[#This Row],[Aop]],Data[],1)=R$2&amp;Cash_Flow_Statement[[#This Row],[Aop]],VLOOKUP(R$2&amp;Cash_Flow_Statement[[#This Row],[Aop]],Data[],R$1)/Jedinica,"")</f>
        <v/>
      </c>
      <c r="S35" s="38" t="str">
        <f>IF(VLOOKUP(S$2&amp;Cash_Flow_Statement[[#This Row],[Aop]],Data[],1)=S$2&amp;Cash_Flow_Statement[[#This Row],[Aop]],VLOOKUP(S$2&amp;Cash_Flow_Statement[[#This Row],[Aop]],Data[],S$1)/Jedinica,"")</f>
        <v/>
      </c>
      <c r="T35" s="38" t="str">
        <f>IF(VLOOKUP(T$2&amp;Cash_Flow_Statement[[#This Row],[Aop]],Data[],1)=T$2&amp;Cash_Flow_Statement[[#This Row],[Aop]],VLOOKUP(T$2&amp;Cash_Flow_Statement[[#This Row],[Aop]],Data[],T$1)/Jedinica,"")</f>
        <v/>
      </c>
    </row>
    <row r="36" spans="1:20" ht="12.75" customHeight="1" x14ac:dyDescent="0.2">
      <c r="A36" s="74">
        <v>268</v>
      </c>
      <c r="B36" s="74">
        <v>2</v>
      </c>
      <c r="C36" s="82" t="str">
        <f>VLOOKUP(Cash_Flow_Statement[[#This Row],[No]],AOP_Balance,3,0)</f>
        <v>528</v>
      </c>
      <c r="D36" s="56" t="str">
        <f>VLOOKUP(Cash_Flow_Statement[[#This Row],[No]],AOP_Balance,7,0)</f>
        <v xml:space="preserve">    Primici od izdavanja akcija</v>
      </c>
      <c r="E36" s="38" t="str">
        <f>IF(VLOOKUP(E$2&amp;Cash_Flow_Statement[[#This Row],[Aop]],Data[],1)=E$2&amp;Cash_Flow_Statement[[#This Row],[Aop]],VLOOKUP(E$2&amp;Cash_Flow_Statement[[#This Row],[Aop]],Data[],E$1)/Jedinica,"")</f>
        <v/>
      </c>
      <c r="F36" s="38" t="str">
        <f>IF(VLOOKUP(F$2&amp;Cash_Flow_Statement[[#This Row],[Aop]],Data[],1)=F$2&amp;Cash_Flow_Statement[[#This Row],[Aop]],VLOOKUP(F$2&amp;Cash_Flow_Statement[[#This Row],[Aop]],Data[],F$1)/Jedinica,"")</f>
        <v/>
      </c>
      <c r="G36" s="38">
        <f>IF(VLOOKUP(G$2&amp;Cash_Flow_Statement[[#This Row],[Aop]],Data[],1)=G$2&amp;Cash_Flow_Statement[[#This Row],[Aop]],VLOOKUP(G$2&amp;Cash_Flow_Statement[[#This Row],[Aop]],Data[],G$1)/Jedinica,"")</f>
        <v>8413333</v>
      </c>
      <c r="H36" s="38">
        <f>IF(VLOOKUP(H$2&amp;Cash_Flow_Statement[[#This Row],[Aop]],Data[],1)=H$2&amp;Cash_Flow_Statement[[#This Row],[Aop]],VLOOKUP(H$2&amp;Cash_Flow_Statement[[#This Row],[Aop]],Data[],H$1)/Jedinica,"")</f>
        <v>6895308</v>
      </c>
      <c r="I36" s="38">
        <f>IF(VLOOKUP(I$2&amp;Cash_Flow_Statement[[#This Row],[Aop]],Data[],1)=I$2&amp;Cash_Flow_Statement[[#This Row],[Aop]],VLOOKUP(I$2&amp;Cash_Flow_Statement[[#This Row],[Aop]],Data[],I$1)/Jedinica,"")</f>
        <v>8413333</v>
      </c>
      <c r="J36" s="38">
        <f>IF(VLOOKUP(J$2&amp;Cash_Flow_Statement[[#This Row],[Aop]],Data[],1)=J$2&amp;Cash_Flow_Statement[[#This Row],[Aop]],VLOOKUP(J$2&amp;Cash_Flow_Statement[[#This Row],[Aop]],Data[],J$1)/Jedinica,"")</f>
        <v>6895308</v>
      </c>
      <c r="K36" s="38">
        <f>IF(VLOOKUP(K$2&amp;Cash_Flow_Statement[[#This Row],[Aop]],Data[],1)=K$2&amp;Cash_Flow_Statement[[#This Row],[Aop]],VLOOKUP(K$2&amp;Cash_Flow_Statement[[#This Row],[Aop]],Data[],K$1)/Jedinica,"")</f>
        <v>1211521</v>
      </c>
      <c r="L36" s="38">
        <f>IF(VLOOKUP(L$2&amp;Cash_Flow_Statement[[#This Row],[Aop]],Data[],1)=L$2&amp;Cash_Flow_Statement[[#This Row],[Aop]],VLOOKUP(L$2&amp;Cash_Flow_Statement[[#This Row],[Aop]],Data[],L$1)/Jedinica,"")</f>
        <v>1768535</v>
      </c>
      <c r="M36" s="38" t="str">
        <f>IF(VLOOKUP(M$2&amp;Cash_Flow_Statement[[#This Row],[Aop]],Data[],1)=M$2&amp;Cash_Flow_Statement[[#This Row],[Aop]],VLOOKUP(M$2&amp;Cash_Flow_Statement[[#This Row],[Aop]],Data[],M$1)/Jedinica,"")</f>
        <v/>
      </c>
      <c r="N36" s="38" t="str">
        <f>IF(VLOOKUP(N$2&amp;Cash_Flow_Statement[[#This Row],[Aop]],Data[],1)=N$2&amp;Cash_Flow_Statement[[#This Row],[Aop]],VLOOKUP(N$2&amp;Cash_Flow_Statement[[#This Row],[Aop]],Data[],N$1)/Jedinica,"")</f>
        <v/>
      </c>
      <c r="O36" s="38">
        <f>IF(VLOOKUP(O$2&amp;Cash_Flow_Statement[[#This Row],[Aop]],Data[],1)=O$2&amp;Cash_Flow_Statement[[#This Row],[Aop]],VLOOKUP(O$2&amp;Cash_Flow_Statement[[#This Row],[Aop]],Data[],O$1)/Jedinica,"")</f>
        <v>1211521</v>
      </c>
      <c r="P36" s="38">
        <f>IF(VLOOKUP(P$2&amp;Cash_Flow_Statement[[#This Row],[Aop]],Data[],1)=P$2&amp;Cash_Flow_Statement[[#This Row],[Aop]],VLOOKUP(P$2&amp;Cash_Flow_Statement[[#This Row],[Aop]],Data[],P$1)/Jedinica,"")</f>
        <v>1768535</v>
      </c>
      <c r="Q36" s="38">
        <f>IF(VLOOKUP(Q$2&amp;Cash_Flow_Statement[[#This Row],[Aop]],Data[],1)=Q$2&amp;Cash_Flow_Statement[[#This Row],[Aop]],VLOOKUP(Q$2&amp;Cash_Flow_Statement[[#This Row],[Aop]],Data[],Q$1)/Jedinica,"")</f>
        <v>1582754</v>
      </c>
      <c r="R36" s="38">
        <f>IF(VLOOKUP(R$2&amp;Cash_Flow_Statement[[#This Row],[Aop]],Data[],1)=R$2&amp;Cash_Flow_Statement[[#This Row],[Aop]],VLOOKUP(R$2&amp;Cash_Flow_Statement[[#This Row],[Aop]],Data[],R$1)/Jedinica,"")</f>
        <v>1566816</v>
      </c>
      <c r="S36" s="38">
        <f>IF(VLOOKUP(S$2&amp;Cash_Flow_Statement[[#This Row],[Aop]],Data[],1)=S$2&amp;Cash_Flow_Statement[[#This Row],[Aop]],VLOOKUP(S$2&amp;Cash_Flow_Statement[[#This Row],[Aop]],Data[],S$1)/Jedinica,"")</f>
        <v>110670</v>
      </c>
      <c r="T36" s="38">
        <f>IF(VLOOKUP(T$2&amp;Cash_Flow_Statement[[#This Row],[Aop]],Data[],1)=T$2&amp;Cash_Flow_Statement[[#This Row],[Aop]],VLOOKUP(T$2&amp;Cash_Flow_Statement[[#This Row],[Aop]],Data[],T$1)/Jedinica,"")</f>
        <v>235182</v>
      </c>
    </row>
    <row r="37" spans="1:20" ht="12.75" customHeight="1" x14ac:dyDescent="0.2">
      <c r="A37" s="74">
        <v>269</v>
      </c>
      <c r="B37" s="74">
        <v>2</v>
      </c>
      <c r="C37" s="82" t="str">
        <f>VLOOKUP(Cash_Flow_Statement[[#This Row],[No]],AOP_Balance,3,0)</f>
        <v>529</v>
      </c>
      <c r="D37" s="56" t="str">
        <f>VLOOKUP(Cash_Flow_Statement[[#This Row],[No]],AOP_Balance,7,0)</f>
        <v xml:space="preserve">    Reotkup akcija</v>
      </c>
      <c r="E37" s="38" t="str">
        <f>IF(VLOOKUP(E$2&amp;Cash_Flow_Statement[[#This Row],[Aop]],Data[],1)=E$2&amp;Cash_Flow_Statement[[#This Row],[Aop]],VLOOKUP(E$2&amp;Cash_Flow_Statement[[#This Row],[Aop]],Data[],E$1)/Jedinica,"")</f>
        <v/>
      </c>
      <c r="F37" s="38" t="str">
        <f>IF(VLOOKUP(F$2&amp;Cash_Flow_Statement[[#This Row],[Aop]],Data[],1)=F$2&amp;Cash_Flow_Statement[[#This Row],[Aop]],VLOOKUP(F$2&amp;Cash_Flow_Statement[[#This Row],[Aop]],Data[],F$1)/Jedinica,"")</f>
        <v/>
      </c>
      <c r="G37" s="38">
        <f>IF(VLOOKUP(G$2&amp;Cash_Flow_Statement[[#This Row],[Aop]],Data[],1)=G$2&amp;Cash_Flow_Statement[[#This Row],[Aop]],VLOOKUP(G$2&amp;Cash_Flow_Statement[[#This Row],[Aop]],Data[],G$1)/Jedinica,"")</f>
        <v>372649</v>
      </c>
      <c r="H37" s="38">
        <f>IF(VLOOKUP(H$2&amp;Cash_Flow_Statement[[#This Row],[Aop]],Data[],1)=H$2&amp;Cash_Flow_Statement[[#This Row],[Aop]],VLOOKUP(H$2&amp;Cash_Flow_Statement[[#This Row],[Aop]],Data[],H$1)/Jedinica,"")</f>
        <v>372649</v>
      </c>
      <c r="I37" s="38">
        <f>IF(VLOOKUP(I$2&amp;Cash_Flow_Statement[[#This Row],[Aop]],Data[],1)=I$2&amp;Cash_Flow_Statement[[#This Row],[Aop]],VLOOKUP(I$2&amp;Cash_Flow_Statement[[#This Row],[Aop]],Data[],I$1)/Jedinica,"")</f>
        <v>372649</v>
      </c>
      <c r="J37" s="38">
        <f>IF(VLOOKUP(J$2&amp;Cash_Flow_Statement[[#This Row],[Aop]],Data[],1)=J$2&amp;Cash_Flow_Statement[[#This Row],[Aop]],VLOOKUP(J$2&amp;Cash_Flow_Statement[[#This Row],[Aop]],Data[],J$1)/Jedinica,"")</f>
        <v>372649</v>
      </c>
      <c r="K37" s="38">
        <f>IF(VLOOKUP(K$2&amp;Cash_Flow_Statement[[#This Row],[Aop]],Data[],1)=K$2&amp;Cash_Flow_Statement[[#This Row],[Aop]],VLOOKUP(K$2&amp;Cash_Flow_Statement[[#This Row],[Aop]],Data[],K$1)/Jedinica,"")</f>
        <v>8069700</v>
      </c>
      <c r="L37" s="38">
        <f>IF(VLOOKUP(L$2&amp;Cash_Flow_Statement[[#This Row],[Aop]],Data[],1)=L$2&amp;Cash_Flow_Statement[[#This Row],[Aop]],VLOOKUP(L$2&amp;Cash_Flow_Statement[[#This Row],[Aop]],Data[],L$1)/Jedinica,"")</f>
        <v>8069700</v>
      </c>
      <c r="M37" s="38">
        <f>IF(VLOOKUP(M$2&amp;Cash_Flow_Statement[[#This Row],[Aop]],Data[],1)=M$2&amp;Cash_Flow_Statement[[#This Row],[Aop]],VLOOKUP(M$2&amp;Cash_Flow_Statement[[#This Row],[Aop]],Data[],M$1)/Jedinica,"")</f>
        <v>261938</v>
      </c>
      <c r="N37" s="38">
        <f>IF(VLOOKUP(N$2&amp;Cash_Flow_Statement[[#This Row],[Aop]],Data[],1)=N$2&amp;Cash_Flow_Statement[[#This Row],[Aop]],VLOOKUP(N$2&amp;Cash_Flow_Statement[[#This Row],[Aop]],Data[],N$1)/Jedinica,"")</f>
        <v>228835</v>
      </c>
      <c r="O37" s="38">
        <f>IF(VLOOKUP(O$2&amp;Cash_Flow_Statement[[#This Row],[Aop]],Data[],1)=O$2&amp;Cash_Flow_Statement[[#This Row],[Aop]],VLOOKUP(O$2&amp;Cash_Flow_Statement[[#This Row],[Aop]],Data[],O$1)/Jedinica,"")</f>
        <v>8069700</v>
      </c>
      <c r="P37" s="38">
        <f>IF(VLOOKUP(P$2&amp;Cash_Flow_Statement[[#This Row],[Aop]],Data[],1)=P$2&amp;Cash_Flow_Statement[[#This Row],[Aop]],VLOOKUP(P$2&amp;Cash_Flow_Statement[[#This Row],[Aop]],Data[],P$1)/Jedinica,"")</f>
        <v>8069700</v>
      </c>
      <c r="Q37" s="38">
        <f>IF(VLOOKUP(Q$2&amp;Cash_Flow_Statement[[#This Row],[Aop]],Data[],1)=Q$2&amp;Cash_Flow_Statement[[#This Row],[Aop]],VLOOKUP(Q$2&amp;Cash_Flow_Statement[[#This Row],[Aop]],Data[],Q$1)/Jedinica,"")</f>
        <v>156780</v>
      </c>
      <c r="R37" s="38">
        <f>IF(VLOOKUP(R$2&amp;Cash_Flow_Statement[[#This Row],[Aop]],Data[],1)=R$2&amp;Cash_Flow_Statement[[#This Row],[Aop]],VLOOKUP(R$2&amp;Cash_Flow_Statement[[#This Row],[Aop]],Data[],R$1)/Jedinica,"")</f>
        <v>156780</v>
      </c>
      <c r="S37" s="38">
        <f>IF(VLOOKUP(S$2&amp;Cash_Flow_Statement[[#This Row],[Aop]],Data[],1)=S$2&amp;Cash_Flow_Statement[[#This Row],[Aop]],VLOOKUP(S$2&amp;Cash_Flow_Statement[[#This Row],[Aop]],Data[],S$1)/Jedinica,"")</f>
        <v>15235200</v>
      </c>
      <c r="T37" s="38">
        <f>IF(VLOOKUP(T$2&amp;Cash_Flow_Statement[[#This Row],[Aop]],Data[],1)=T$2&amp;Cash_Flow_Statement[[#This Row],[Aop]],VLOOKUP(T$2&amp;Cash_Flow_Statement[[#This Row],[Aop]],Data[],T$1)/Jedinica,"")</f>
        <v>15235200</v>
      </c>
    </row>
    <row r="38" spans="1:20" ht="12.75" customHeight="1" x14ac:dyDescent="0.2">
      <c r="A38" s="74">
        <v>270</v>
      </c>
      <c r="B38" s="74">
        <v>2</v>
      </c>
      <c r="C38" s="82" t="str">
        <f>VLOOKUP(Cash_Flow_Statement[[#This Row],[No]],AOP_Balance,3,0)</f>
        <v>530</v>
      </c>
      <c r="D38" s="56" t="str">
        <f>VLOOKUP(Cash_Flow_Statement[[#This Row],[No]],AOP_Balance,7,0)</f>
        <v xml:space="preserve">    Kupovina vlastitih akcija</v>
      </c>
      <c r="E38" s="38" t="str">
        <f>IF(VLOOKUP(E$2&amp;Cash_Flow_Statement[[#This Row],[Aop]],Data[],1)=E$2&amp;Cash_Flow_Statement[[#This Row],[Aop]],VLOOKUP(E$2&amp;Cash_Flow_Statement[[#This Row],[Aop]],Data[],E$1)/Jedinica,"")</f>
        <v/>
      </c>
      <c r="F38" s="38" t="str">
        <f>IF(VLOOKUP(F$2&amp;Cash_Flow_Statement[[#This Row],[Aop]],Data[],1)=F$2&amp;Cash_Flow_Statement[[#This Row],[Aop]],VLOOKUP(F$2&amp;Cash_Flow_Statement[[#This Row],[Aop]],Data[],F$1)/Jedinica,"")</f>
        <v/>
      </c>
      <c r="G38" s="38">
        <f>IF(VLOOKUP(G$2&amp;Cash_Flow_Statement[[#This Row],[Aop]],Data[],1)=G$2&amp;Cash_Flow_Statement[[#This Row],[Aop]],VLOOKUP(G$2&amp;Cash_Flow_Statement[[#This Row],[Aop]],Data[],G$1)/Jedinica,"")</f>
        <v>17115</v>
      </c>
      <c r="H38" s="38">
        <f>IF(VLOOKUP(H$2&amp;Cash_Flow_Statement[[#This Row],[Aop]],Data[],1)=H$2&amp;Cash_Flow_Statement[[#This Row],[Aop]],VLOOKUP(H$2&amp;Cash_Flow_Statement[[#This Row],[Aop]],Data[],H$1)/Jedinica,"")</f>
        <v>23113</v>
      </c>
      <c r="I38" s="38">
        <f>IF(VLOOKUP(I$2&amp;Cash_Flow_Statement[[#This Row],[Aop]],Data[],1)=I$2&amp;Cash_Flow_Statement[[#This Row],[Aop]],VLOOKUP(I$2&amp;Cash_Flow_Statement[[#This Row],[Aop]],Data[],I$1)/Jedinica,"")</f>
        <v>17115</v>
      </c>
      <c r="J38" s="38">
        <f>IF(VLOOKUP(J$2&amp;Cash_Flow_Statement[[#This Row],[Aop]],Data[],1)=J$2&amp;Cash_Flow_Statement[[#This Row],[Aop]],VLOOKUP(J$2&amp;Cash_Flow_Statement[[#This Row],[Aop]],Data[],J$1)/Jedinica,"")</f>
        <v>23113</v>
      </c>
      <c r="K38" s="38">
        <f>IF(VLOOKUP(K$2&amp;Cash_Flow_Statement[[#This Row],[Aop]],Data[],1)=K$2&amp;Cash_Flow_Statement[[#This Row],[Aop]],VLOOKUP(K$2&amp;Cash_Flow_Statement[[#This Row],[Aop]],Data[],K$1)/Jedinica,"")</f>
        <v>4988639</v>
      </c>
      <c r="L38" s="38">
        <f>IF(VLOOKUP(L$2&amp;Cash_Flow_Statement[[#This Row],[Aop]],Data[],1)=L$2&amp;Cash_Flow_Statement[[#This Row],[Aop]],VLOOKUP(L$2&amp;Cash_Flow_Statement[[#This Row],[Aop]],Data[],L$1)/Jedinica,"")</f>
        <v>6248609</v>
      </c>
      <c r="M38" s="38">
        <f>IF(VLOOKUP(M$2&amp;Cash_Flow_Statement[[#This Row],[Aop]],Data[],1)=M$2&amp;Cash_Flow_Statement[[#This Row],[Aop]],VLOOKUP(M$2&amp;Cash_Flow_Statement[[#This Row],[Aop]],Data[],M$1)/Jedinica,"")</f>
        <v>56178</v>
      </c>
      <c r="N38" s="38">
        <f>IF(VLOOKUP(N$2&amp;Cash_Flow_Statement[[#This Row],[Aop]],Data[],1)=N$2&amp;Cash_Flow_Statement[[#This Row],[Aop]],VLOOKUP(N$2&amp;Cash_Flow_Statement[[#This Row],[Aop]],Data[],N$1)/Jedinica,"")</f>
        <v>58502</v>
      </c>
      <c r="O38" s="38">
        <f>IF(VLOOKUP(O$2&amp;Cash_Flow_Statement[[#This Row],[Aop]],Data[],1)=O$2&amp;Cash_Flow_Statement[[#This Row],[Aop]],VLOOKUP(O$2&amp;Cash_Flow_Statement[[#This Row],[Aop]],Data[],O$1)/Jedinica,"")</f>
        <v>4988639</v>
      </c>
      <c r="P38" s="38">
        <f>IF(VLOOKUP(P$2&amp;Cash_Flow_Statement[[#This Row],[Aop]],Data[],1)=P$2&amp;Cash_Flow_Statement[[#This Row],[Aop]],VLOOKUP(P$2&amp;Cash_Flow_Statement[[#This Row],[Aop]],Data[],P$1)/Jedinica,"")</f>
        <v>6248609</v>
      </c>
      <c r="Q38" s="38">
        <f>IF(VLOOKUP(Q$2&amp;Cash_Flow_Statement[[#This Row],[Aop]],Data[],1)=Q$2&amp;Cash_Flow_Statement[[#This Row],[Aop]],VLOOKUP(Q$2&amp;Cash_Flow_Statement[[#This Row],[Aop]],Data[],Q$1)/Jedinica,"")</f>
        <v>2337733</v>
      </c>
      <c r="R38" s="38">
        <f>IF(VLOOKUP(R$2&amp;Cash_Flow_Statement[[#This Row],[Aop]],Data[],1)=R$2&amp;Cash_Flow_Statement[[#This Row],[Aop]],VLOOKUP(R$2&amp;Cash_Flow_Statement[[#This Row],[Aop]],Data[],R$1)/Jedinica,"")</f>
        <v>2518949</v>
      </c>
      <c r="S38" s="38">
        <f>IF(VLOOKUP(S$2&amp;Cash_Flow_Statement[[#This Row],[Aop]],Data[],1)=S$2&amp;Cash_Flow_Statement[[#This Row],[Aop]],VLOOKUP(S$2&amp;Cash_Flow_Statement[[#This Row],[Aop]],Data[],S$1)/Jedinica,"")</f>
        <v>259436</v>
      </c>
      <c r="T38" s="38">
        <f>IF(VLOOKUP(T$2&amp;Cash_Flow_Statement[[#This Row],[Aop]],Data[],1)=T$2&amp;Cash_Flow_Statement[[#This Row],[Aop]],VLOOKUP(T$2&amp;Cash_Flow_Statement[[#This Row],[Aop]],Data[],T$1)/Jedinica,"")</f>
        <v>53318</v>
      </c>
    </row>
    <row r="39" spans="1:20" ht="12.75" customHeight="1" x14ac:dyDescent="0.2">
      <c r="A39" s="74">
        <v>271</v>
      </c>
      <c r="B39" s="74">
        <v>2</v>
      </c>
      <c r="C39" s="82" t="str">
        <f>VLOOKUP(Cash_Flow_Statement[[#This Row],[No]],AOP_Balance,3,0)</f>
        <v>531</v>
      </c>
      <c r="D39" s="56" t="str">
        <f>VLOOKUP(Cash_Flow_Statement[[#This Row],[No]],AOP_Balance,7,0)</f>
        <v xml:space="preserve">    Kamata plaćena na pozajmice</v>
      </c>
      <c r="E39" s="38" t="str">
        <f>IF(VLOOKUP(E$2&amp;Cash_Flow_Statement[[#This Row],[Aop]],Data[],1)=E$2&amp;Cash_Flow_Statement[[#This Row],[Aop]],VLOOKUP(E$2&amp;Cash_Flow_Statement[[#This Row],[Aop]],Data[],E$1)/Jedinica,"")</f>
        <v/>
      </c>
      <c r="F39" s="38" t="str">
        <f>IF(VLOOKUP(F$2&amp;Cash_Flow_Statement[[#This Row],[Aop]],Data[],1)=F$2&amp;Cash_Flow_Statement[[#This Row],[Aop]],VLOOKUP(F$2&amp;Cash_Flow_Statement[[#This Row],[Aop]],Data[],F$1)/Jedinica,"")</f>
        <v/>
      </c>
      <c r="G39" s="38">
        <f>IF(VLOOKUP(G$2&amp;Cash_Flow_Statement[[#This Row],[Aop]],Data[],1)=G$2&amp;Cash_Flow_Statement[[#This Row],[Aop]],VLOOKUP(G$2&amp;Cash_Flow_Statement[[#This Row],[Aop]],Data[],G$1)/Jedinica,"")</f>
        <v>1110</v>
      </c>
      <c r="H39" s="38">
        <f>IF(VLOOKUP(H$2&amp;Cash_Flow_Statement[[#This Row],[Aop]],Data[],1)=H$2&amp;Cash_Flow_Statement[[#This Row],[Aop]],VLOOKUP(H$2&amp;Cash_Flow_Statement[[#This Row],[Aop]],Data[],H$1)/Jedinica,"")</f>
        <v>1035</v>
      </c>
      <c r="I39" s="38">
        <f>IF(VLOOKUP(I$2&amp;Cash_Flow_Statement[[#This Row],[Aop]],Data[],1)=I$2&amp;Cash_Flow_Statement[[#This Row],[Aop]],VLOOKUP(I$2&amp;Cash_Flow_Statement[[#This Row],[Aop]],Data[],I$1)/Jedinica,"")</f>
        <v>1110</v>
      </c>
      <c r="J39" s="38">
        <f>IF(VLOOKUP(J$2&amp;Cash_Flow_Statement[[#This Row],[Aop]],Data[],1)=J$2&amp;Cash_Flow_Statement[[#This Row],[Aop]],VLOOKUP(J$2&amp;Cash_Flow_Statement[[#This Row],[Aop]],Data[],J$1)/Jedinica,"")</f>
        <v>1035</v>
      </c>
      <c r="K39" s="38" t="str">
        <f>IF(VLOOKUP(K$2&amp;Cash_Flow_Statement[[#This Row],[Aop]],Data[],1)=K$2&amp;Cash_Flow_Statement[[#This Row],[Aop]],VLOOKUP(K$2&amp;Cash_Flow_Statement[[#This Row],[Aop]],Data[],K$1)/Jedinica,"")</f>
        <v/>
      </c>
      <c r="L39" s="38" t="str">
        <f>IF(VLOOKUP(L$2&amp;Cash_Flow_Statement[[#This Row],[Aop]],Data[],1)=L$2&amp;Cash_Flow_Statement[[#This Row],[Aop]],VLOOKUP(L$2&amp;Cash_Flow_Statement[[#This Row],[Aop]],Data[],L$1)/Jedinica,"")</f>
        <v/>
      </c>
      <c r="M39" s="38">
        <f>IF(VLOOKUP(M$2&amp;Cash_Flow_Statement[[#This Row],[Aop]],Data[],1)=M$2&amp;Cash_Flow_Statement[[#This Row],[Aop]],VLOOKUP(M$2&amp;Cash_Flow_Statement[[#This Row],[Aop]],Data[],M$1)/Jedinica,"")</f>
        <v>328</v>
      </c>
      <c r="N39" s="38">
        <f>IF(VLOOKUP(N$2&amp;Cash_Flow_Statement[[#This Row],[Aop]],Data[],1)=N$2&amp;Cash_Flow_Statement[[#This Row],[Aop]],VLOOKUP(N$2&amp;Cash_Flow_Statement[[#This Row],[Aop]],Data[],N$1)/Jedinica,"")</f>
        <v>0</v>
      </c>
      <c r="O39" s="38" t="str">
        <f>IF(VLOOKUP(O$2&amp;Cash_Flow_Statement[[#This Row],[Aop]],Data[],1)=O$2&amp;Cash_Flow_Statement[[#This Row],[Aop]],VLOOKUP(O$2&amp;Cash_Flow_Statement[[#This Row],[Aop]],Data[],O$1)/Jedinica,"")</f>
        <v/>
      </c>
      <c r="P39" s="38" t="str">
        <f>IF(VLOOKUP(P$2&amp;Cash_Flow_Statement[[#This Row],[Aop]],Data[],1)=P$2&amp;Cash_Flow_Statement[[#This Row],[Aop]],VLOOKUP(P$2&amp;Cash_Flow_Statement[[#This Row],[Aop]],Data[],P$1)/Jedinica,"")</f>
        <v/>
      </c>
      <c r="Q39" s="38">
        <f>IF(VLOOKUP(Q$2&amp;Cash_Flow_Statement[[#This Row],[Aop]],Data[],1)=Q$2&amp;Cash_Flow_Statement[[#This Row],[Aop]],VLOOKUP(Q$2&amp;Cash_Flow_Statement[[#This Row],[Aop]],Data[],Q$1)/Jedinica,"")</f>
        <v>0</v>
      </c>
      <c r="R39" s="38">
        <f>IF(VLOOKUP(R$2&amp;Cash_Flow_Statement[[#This Row],[Aop]],Data[],1)=R$2&amp;Cash_Flow_Statement[[#This Row],[Aop]],VLOOKUP(R$2&amp;Cash_Flow_Statement[[#This Row],[Aop]],Data[],R$1)/Jedinica,"")</f>
        <v>66537</v>
      </c>
      <c r="S39" s="38">
        <f>IF(VLOOKUP(S$2&amp;Cash_Flow_Statement[[#This Row],[Aop]],Data[],1)=S$2&amp;Cash_Flow_Statement[[#This Row],[Aop]],VLOOKUP(S$2&amp;Cash_Flow_Statement[[#This Row],[Aop]],Data[],S$1)/Jedinica,"")</f>
        <v>1301286</v>
      </c>
      <c r="T39" s="38">
        <f>IF(VLOOKUP(T$2&amp;Cash_Flow_Statement[[#This Row],[Aop]],Data[],1)=T$2&amp;Cash_Flow_Statement[[#This Row],[Aop]],VLOOKUP(T$2&amp;Cash_Flow_Statement[[#This Row],[Aop]],Data[],T$1)/Jedinica,"")</f>
        <v>963375</v>
      </c>
    </row>
    <row r="40" spans="1:20" ht="12.75" customHeight="1" x14ac:dyDescent="0.2">
      <c r="A40" s="74">
        <v>272</v>
      </c>
      <c r="B40" s="74">
        <v>2</v>
      </c>
      <c r="C40" s="82" t="str">
        <f>VLOOKUP(Cash_Flow_Statement[[#This Row],[No]],AOP_Balance,3,0)</f>
        <v>532</v>
      </c>
      <c r="D40" s="56" t="str">
        <f>VLOOKUP(Cash_Flow_Statement[[#This Row],[No]],AOP_Balance,7,0)</f>
        <v xml:space="preserve">    Uzete pozajmice</v>
      </c>
      <c r="E40" s="38">
        <f>IF(VLOOKUP(E$2&amp;Cash_Flow_Statement[[#This Row],[Aop]],Data[],1)=E$2&amp;Cash_Flow_Statement[[#This Row],[Aop]],VLOOKUP(E$2&amp;Cash_Flow_Statement[[#This Row],[Aop]],Data[],E$1)/Jedinica,"")</f>
        <v>3053</v>
      </c>
      <c r="F40" s="38">
        <f>IF(VLOOKUP(F$2&amp;Cash_Flow_Statement[[#This Row],[Aop]],Data[],1)=F$2&amp;Cash_Flow_Statement[[#This Row],[Aop]],VLOOKUP(F$2&amp;Cash_Flow_Statement[[#This Row],[Aop]],Data[],F$1)/Jedinica,"")</f>
        <v>6937</v>
      </c>
      <c r="G40" s="38">
        <f>IF(VLOOKUP(G$2&amp;Cash_Flow_Statement[[#This Row],[Aop]],Data[],1)=G$2&amp;Cash_Flow_Statement[[#This Row],[Aop]],VLOOKUP(G$2&amp;Cash_Flow_Statement[[#This Row],[Aop]],Data[],G$1)/Jedinica,"")</f>
        <v>17861001</v>
      </c>
      <c r="H40" s="38">
        <f>IF(VLOOKUP(H$2&amp;Cash_Flow_Statement[[#This Row],[Aop]],Data[],1)=H$2&amp;Cash_Flow_Statement[[#This Row],[Aop]],VLOOKUP(H$2&amp;Cash_Flow_Statement[[#This Row],[Aop]],Data[],H$1)/Jedinica,"")</f>
        <v>14449123</v>
      </c>
      <c r="I40" s="38">
        <f>IF(VLOOKUP(I$2&amp;Cash_Flow_Statement[[#This Row],[Aop]],Data[],1)=I$2&amp;Cash_Flow_Statement[[#This Row],[Aop]],VLOOKUP(I$2&amp;Cash_Flow_Statement[[#This Row],[Aop]],Data[],I$1)/Jedinica,"")</f>
        <v>17861001</v>
      </c>
      <c r="J40" s="38">
        <f>IF(VLOOKUP(J$2&amp;Cash_Flow_Statement[[#This Row],[Aop]],Data[],1)=J$2&amp;Cash_Flow_Statement[[#This Row],[Aop]],VLOOKUP(J$2&amp;Cash_Flow_Statement[[#This Row],[Aop]],Data[],J$1)/Jedinica,"")</f>
        <v>14449123</v>
      </c>
      <c r="K40" s="38">
        <f>IF(VLOOKUP(K$2&amp;Cash_Flow_Statement[[#This Row],[Aop]],Data[],1)=K$2&amp;Cash_Flow_Statement[[#This Row],[Aop]],VLOOKUP(K$2&amp;Cash_Flow_Statement[[#This Row],[Aop]],Data[],K$1)/Jedinica,"")</f>
        <v>10012596</v>
      </c>
      <c r="L40" s="38">
        <f>IF(VLOOKUP(L$2&amp;Cash_Flow_Statement[[#This Row],[Aop]],Data[],1)=L$2&amp;Cash_Flow_Statement[[#This Row],[Aop]],VLOOKUP(L$2&amp;Cash_Flow_Statement[[#This Row],[Aop]],Data[],L$1)/Jedinica,"")</f>
        <v>8659142</v>
      </c>
      <c r="M40" s="38">
        <f>IF(VLOOKUP(M$2&amp;Cash_Flow_Statement[[#This Row],[Aop]],Data[],1)=M$2&amp;Cash_Flow_Statement[[#This Row],[Aop]],VLOOKUP(M$2&amp;Cash_Flow_Statement[[#This Row],[Aop]],Data[],M$1)/Jedinica,"")</f>
        <v>856860</v>
      </c>
      <c r="N40" s="38">
        <f>IF(VLOOKUP(N$2&amp;Cash_Flow_Statement[[#This Row],[Aop]],Data[],1)=N$2&amp;Cash_Flow_Statement[[#This Row],[Aop]],VLOOKUP(N$2&amp;Cash_Flow_Statement[[#This Row],[Aop]],Data[],N$1)/Jedinica,"")</f>
        <v>261574</v>
      </c>
      <c r="O40" s="38">
        <f>IF(VLOOKUP(O$2&amp;Cash_Flow_Statement[[#This Row],[Aop]],Data[],1)=O$2&amp;Cash_Flow_Statement[[#This Row],[Aop]],VLOOKUP(O$2&amp;Cash_Flow_Statement[[#This Row],[Aop]],Data[],O$1)/Jedinica,"")</f>
        <v>10012596</v>
      </c>
      <c r="P40" s="38">
        <f>IF(VLOOKUP(P$2&amp;Cash_Flow_Statement[[#This Row],[Aop]],Data[],1)=P$2&amp;Cash_Flow_Statement[[#This Row],[Aop]],VLOOKUP(P$2&amp;Cash_Flow_Statement[[#This Row],[Aop]],Data[],P$1)/Jedinica,"")</f>
        <v>8659142</v>
      </c>
      <c r="Q40" s="38">
        <f>IF(VLOOKUP(Q$2&amp;Cash_Flow_Statement[[#This Row],[Aop]],Data[],1)=Q$2&amp;Cash_Flow_Statement[[#This Row],[Aop]],VLOOKUP(Q$2&amp;Cash_Flow_Statement[[#This Row],[Aop]],Data[],Q$1)/Jedinica,"")</f>
        <v>38782853</v>
      </c>
      <c r="R40" s="38">
        <f>IF(VLOOKUP(R$2&amp;Cash_Flow_Statement[[#This Row],[Aop]],Data[],1)=R$2&amp;Cash_Flow_Statement[[#This Row],[Aop]],VLOOKUP(R$2&amp;Cash_Flow_Statement[[#This Row],[Aop]],Data[],R$1)/Jedinica,"")</f>
        <v>27473294</v>
      </c>
      <c r="S40" s="38">
        <f>IF(VLOOKUP(S$2&amp;Cash_Flow_Statement[[#This Row],[Aop]],Data[],1)=S$2&amp;Cash_Flow_Statement[[#This Row],[Aop]],VLOOKUP(S$2&amp;Cash_Flow_Statement[[#This Row],[Aop]],Data[],S$1)/Jedinica,"")</f>
        <v>23049001</v>
      </c>
      <c r="T40" s="38">
        <f>IF(VLOOKUP(T$2&amp;Cash_Flow_Statement[[#This Row],[Aop]],Data[],1)=T$2&amp;Cash_Flow_Statement[[#This Row],[Aop]],VLOOKUP(T$2&amp;Cash_Flow_Statement[[#This Row],[Aop]],Data[],T$1)/Jedinica,"")</f>
        <v>20908770</v>
      </c>
    </row>
    <row r="41" spans="1:20" ht="12.75" customHeight="1" x14ac:dyDescent="0.2">
      <c r="A41" s="74">
        <v>273</v>
      </c>
      <c r="B41" s="74">
        <v>2</v>
      </c>
      <c r="C41" s="82" t="str">
        <f>VLOOKUP(Cash_Flow_Statement[[#This Row],[No]],AOP_Balance,3,0)</f>
        <v>533</v>
      </c>
      <c r="D41" s="56" t="str">
        <f>VLOOKUP(Cash_Flow_Statement[[#This Row],[No]],AOP_Balance,7,0)</f>
        <v xml:space="preserve">    Povrat pozajmica</v>
      </c>
      <c r="E41" s="38">
        <f>IF(VLOOKUP(E$2&amp;Cash_Flow_Statement[[#This Row],[Aop]],Data[],1)=E$2&amp;Cash_Flow_Statement[[#This Row],[Aop]],VLOOKUP(E$2&amp;Cash_Flow_Statement[[#This Row],[Aop]],Data[],E$1)/Jedinica,"")</f>
        <v>1268</v>
      </c>
      <c r="F41" s="38">
        <f>IF(VLOOKUP(F$2&amp;Cash_Flow_Statement[[#This Row],[Aop]],Data[],1)=F$2&amp;Cash_Flow_Statement[[#This Row],[Aop]],VLOOKUP(F$2&amp;Cash_Flow_Statement[[#This Row],[Aop]],Data[],F$1)/Jedinica,"")</f>
        <v>1265</v>
      </c>
      <c r="G41" s="38">
        <f>IF(VLOOKUP(G$2&amp;Cash_Flow_Statement[[#This Row],[Aop]],Data[],1)=G$2&amp;Cash_Flow_Statement[[#This Row],[Aop]],VLOOKUP(G$2&amp;Cash_Flow_Statement[[#This Row],[Aop]],Data[],G$1)/Jedinica,"")</f>
        <v>26797956</v>
      </c>
      <c r="H41" s="38">
        <f>IF(VLOOKUP(H$2&amp;Cash_Flow_Statement[[#This Row],[Aop]],Data[],1)=H$2&amp;Cash_Flow_Statement[[#This Row],[Aop]],VLOOKUP(H$2&amp;Cash_Flow_Statement[[#This Row],[Aop]],Data[],H$1)/Jedinica,"")</f>
        <v>24542569</v>
      </c>
      <c r="I41" s="38">
        <f>IF(VLOOKUP(I$2&amp;Cash_Flow_Statement[[#This Row],[Aop]],Data[],1)=I$2&amp;Cash_Flow_Statement[[#This Row],[Aop]],VLOOKUP(I$2&amp;Cash_Flow_Statement[[#This Row],[Aop]],Data[],I$1)/Jedinica,"")</f>
        <v>26797956</v>
      </c>
      <c r="J41" s="38">
        <f>IF(VLOOKUP(J$2&amp;Cash_Flow_Statement[[#This Row],[Aop]],Data[],1)=J$2&amp;Cash_Flow_Statement[[#This Row],[Aop]],VLOOKUP(J$2&amp;Cash_Flow_Statement[[#This Row],[Aop]],Data[],J$1)/Jedinica,"")</f>
        <v>24542569</v>
      </c>
      <c r="K41" s="38">
        <f>IF(VLOOKUP(K$2&amp;Cash_Flow_Statement[[#This Row],[Aop]],Data[],1)=K$2&amp;Cash_Flow_Statement[[#This Row],[Aop]],VLOOKUP(K$2&amp;Cash_Flow_Statement[[#This Row],[Aop]],Data[],K$1)/Jedinica,"")</f>
        <v>28658525</v>
      </c>
      <c r="L41" s="38">
        <f>IF(VLOOKUP(L$2&amp;Cash_Flow_Statement[[#This Row],[Aop]],Data[],1)=L$2&amp;Cash_Flow_Statement[[#This Row],[Aop]],VLOOKUP(L$2&amp;Cash_Flow_Statement[[#This Row],[Aop]],Data[],L$1)/Jedinica,"")</f>
        <v>25818565</v>
      </c>
      <c r="M41" s="38">
        <f>IF(VLOOKUP(M$2&amp;Cash_Flow_Statement[[#This Row],[Aop]],Data[],1)=M$2&amp;Cash_Flow_Statement[[#This Row],[Aop]],VLOOKUP(M$2&amp;Cash_Flow_Statement[[#This Row],[Aop]],Data[],M$1)/Jedinica,"")</f>
        <v>3573939</v>
      </c>
      <c r="N41" s="38">
        <f>IF(VLOOKUP(N$2&amp;Cash_Flow_Statement[[#This Row],[Aop]],Data[],1)=N$2&amp;Cash_Flow_Statement[[#This Row],[Aop]],VLOOKUP(N$2&amp;Cash_Flow_Statement[[#This Row],[Aop]],Data[],N$1)/Jedinica,"")</f>
        <v>2351708</v>
      </c>
      <c r="O41" s="38">
        <f>IF(VLOOKUP(O$2&amp;Cash_Flow_Statement[[#This Row],[Aop]],Data[],1)=O$2&amp;Cash_Flow_Statement[[#This Row],[Aop]],VLOOKUP(O$2&amp;Cash_Flow_Statement[[#This Row],[Aop]],Data[],O$1)/Jedinica,"")</f>
        <v>28658525</v>
      </c>
      <c r="P41" s="38">
        <f>IF(VLOOKUP(P$2&amp;Cash_Flow_Statement[[#This Row],[Aop]],Data[],1)=P$2&amp;Cash_Flow_Statement[[#This Row],[Aop]],VLOOKUP(P$2&amp;Cash_Flow_Statement[[#This Row],[Aop]],Data[],P$1)/Jedinica,"")</f>
        <v>25818565</v>
      </c>
      <c r="Q41" s="38">
        <f>IF(VLOOKUP(Q$2&amp;Cash_Flow_Statement[[#This Row],[Aop]],Data[],1)=Q$2&amp;Cash_Flow_Statement[[#This Row],[Aop]],VLOOKUP(Q$2&amp;Cash_Flow_Statement[[#This Row],[Aop]],Data[],Q$1)/Jedinica,"")</f>
        <v>21771377</v>
      </c>
      <c r="R41" s="38">
        <f>IF(VLOOKUP(R$2&amp;Cash_Flow_Statement[[#This Row],[Aop]],Data[],1)=R$2&amp;Cash_Flow_Statement[[#This Row],[Aop]],VLOOKUP(R$2&amp;Cash_Flow_Statement[[#This Row],[Aop]],Data[],R$1)/Jedinica,"")</f>
        <v>24007986</v>
      </c>
      <c r="S41" s="38">
        <f>IF(VLOOKUP(S$2&amp;Cash_Flow_Statement[[#This Row],[Aop]],Data[],1)=S$2&amp;Cash_Flow_Statement[[#This Row],[Aop]],VLOOKUP(S$2&amp;Cash_Flow_Statement[[#This Row],[Aop]],Data[],S$1)/Jedinica,"")</f>
        <v>13039415</v>
      </c>
      <c r="T41" s="38">
        <f>IF(VLOOKUP(T$2&amp;Cash_Flow_Statement[[#This Row],[Aop]],Data[],1)=T$2&amp;Cash_Flow_Statement[[#This Row],[Aop]],VLOOKUP(T$2&amp;Cash_Flow_Statement[[#This Row],[Aop]],Data[],T$1)/Jedinica,"")</f>
        <v>11439357</v>
      </c>
    </row>
    <row r="42" spans="1:20" ht="12.75" customHeight="1" x14ac:dyDescent="0.2">
      <c r="A42" s="74">
        <v>274</v>
      </c>
      <c r="B42" s="74">
        <v>2</v>
      </c>
      <c r="C42" s="82" t="str">
        <f>VLOOKUP(Cash_Flow_Statement[[#This Row],[No]],AOP_Balance,3,0)</f>
        <v>534</v>
      </c>
      <c r="D42" s="56" t="str">
        <f>VLOOKUP(Cash_Flow_Statement[[#This Row],[No]],AOP_Balance,7,0)</f>
        <v xml:space="preserve">    Isplata dividendi</v>
      </c>
      <c r="E42" s="38">
        <f>IF(VLOOKUP(E$2&amp;Cash_Flow_Statement[[#This Row],[Aop]],Data[],1)=E$2&amp;Cash_Flow_Statement[[#This Row],[Aop]],VLOOKUP(E$2&amp;Cash_Flow_Statement[[#This Row],[Aop]],Data[],E$1)/Jedinica,"")</f>
        <v>0</v>
      </c>
      <c r="F42" s="38">
        <f>IF(VLOOKUP(F$2&amp;Cash_Flow_Statement[[#This Row],[Aop]],Data[],1)=F$2&amp;Cash_Flow_Statement[[#This Row],[Aop]],VLOOKUP(F$2&amp;Cash_Flow_Statement[[#This Row],[Aop]],Data[],F$1)/Jedinica,"")</f>
        <v>601</v>
      </c>
      <c r="G42" s="38" t="str">
        <f>IF(VLOOKUP(G$2&amp;Cash_Flow_Statement[[#This Row],[Aop]],Data[],1)=G$2&amp;Cash_Flow_Statement[[#This Row],[Aop]],VLOOKUP(G$2&amp;Cash_Flow_Statement[[#This Row],[Aop]],Data[],G$1)/Jedinica,"")</f>
        <v/>
      </c>
      <c r="H42" s="38" t="str">
        <f>IF(VLOOKUP(H$2&amp;Cash_Flow_Statement[[#This Row],[Aop]],Data[],1)=H$2&amp;Cash_Flow_Statement[[#This Row],[Aop]],VLOOKUP(H$2&amp;Cash_Flow_Statement[[#This Row],[Aop]],Data[],H$1)/Jedinica,"")</f>
        <v/>
      </c>
      <c r="I42" s="38" t="str">
        <f>IF(VLOOKUP(I$2&amp;Cash_Flow_Statement[[#This Row],[Aop]],Data[],1)=I$2&amp;Cash_Flow_Statement[[#This Row],[Aop]],VLOOKUP(I$2&amp;Cash_Flow_Statement[[#This Row],[Aop]],Data[],I$1)/Jedinica,"")</f>
        <v/>
      </c>
      <c r="J42" s="38" t="str">
        <f>IF(VLOOKUP(J$2&amp;Cash_Flow_Statement[[#This Row],[Aop]],Data[],1)=J$2&amp;Cash_Flow_Statement[[#This Row],[Aop]],VLOOKUP(J$2&amp;Cash_Flow_Statement[[#This Row],[Aop]],Data[],J$1)/Jedinica,"")</f>
        <v/>
      </c>
      <c r="K42" s="38" t="str">
        <f>IF(VLOOKUP(K$2&amp;Cash_Flow_Statement[[#This Row],[Aop]],Data[],1)=K$2&amp;Cash_Flow_Statement[[#This Row],[Aop]],VLOOKUP(K$2&amp;Cash_Flow_Statement[[#This Row],[Aop]],Data[],K$1)/Jedinica,"")</f>
        <v/>
      </c>
      <c r="L42" s="38" t="str">
        <f>IF(VLOOKUP(L$2&amp;Cash_Flow_Statement[[#This Row],[Aop]],Data[],1)=L$2&amp;Cash_Flow_Statement[[#This Row],[Aop]],VLOOKUP(L$2&amp;Cash_Flow_Statement[[#This Row],[Aop]],Data[],L$1)/Jedinica,"")</f>
        <v/>
      </c>
      <c r="M42" s="38" t="str">
        <f>IF(VLOOKUP(M$2&amp;Cash_Flow_Statement[[#This Row],[Aop]],Data[],1)=M$2&amp;Cash_Flow_Statement[[#This Row],[Aop]],VLOOKUP(M$2&amp;Cash_Flow_Statement[[#This Row],[Aop]],Data[],M$1)/Jedinica,"")</f>
        <v/>
      </c>
      <c r="N42" s="38" t="str">
        <f>IF(VLOOKUP(N$2&amp;Cash_Flow_Statement[[#This Row],[Aop]],Data[],1)=N$2&amp;Cash_Flow_Statement[[#This Row],[Aop]],VLOOKUP(N$2&amp;Cash_Flow_Statement[[#This Row],[Aop]],Data[],N$1)/Jedinica,"")</f>
        <v/>
      </c>
      <c r="O42" s="38" t="str">
        <f>IF(VLOOKUP(O$2&amp;Cash_Flow_Statement[[#This Row],[Aop]],Data[],1)=O$2&amp;Cash_Flow_Statement[[#This Row],[Aop]],VLOOKUP(O$2&amp;Cash_Flow_Statement[[#This Row],[Aop]],Data[],O$1)/Jedinica,"")</f>
        <v/>
      </c>
      <c r="P42" s="38" t="str">
        <f>IF(VLOOKUP(P$2&amp;Cash_Flow_Statement[[#This Row],[Aop]],Data[],1)=P$2&amp;Cash_Flow_Statement[[#This Row],[Aop]],VLOOKUP(P$2&amp;Cash_Flow_Statement[[#This Row],[Aop]],Data[],P$1)/Jedinica,"")</f>
        <v/>
      </c>
      <c r="Q42" s="38" t="str">
        <f>IF(VLOOKUP(Q$2&amp;Cash_Flow_Statement[[#This Row],[Aop]],Data[],1)=Q$2&amp;Cash_Flow_Statement[[#This Row],[Aop]],VLOOKUP(Q$2&amp;Cash_Flow_Statement[[#This Row],[Aop]],Data[],Q$1)/Jedinica,"")</f>
        <v/>
      </c>
      <c r="R42" s="38" t="str">
        <f>IF(VLOOKUP(R$2&amp;Cash_Flow_Statement[[#This Row],[Aop]],Data[],1)=R$2&amp;Cash_Flow_Statement[[#This Row],[Aop]],VLOOKUP(R$2&amp;Cash_Flow_Statement[[#This Row],[Aop]],Data[],R$1)/Jedinica,"")</f>
        <v/>
      </c>
      <c r="S42" s="38" t="str">
        <f>IF(VLOOKUP(S$2&amp;Cash_Flow_Statement[[#This Row],[Aop]],Data[],1)=S$2&amp;Cash_Flow_Statement[[#This Row],[Aop]],VLOOKUP(S$2&amp;Cash_Flow_Statement[[#This Row],[Aop]],Data[],S$1)/Jedinica,"")</f>
        <v/>
      </c>
      <c r="T42" s="38" t="str">
        <f>IF(VLOOKUP(T$2&amp;Cash_Flow_Statement[[#This Row],[Aop]],Data[],1)=T$2&amp;Cash_Flow_Statement[[#This Row],[Aop]],VLOOKUP(T$2&amp;Cash_Flow_Statement[[#This Row],[Aop]],Data[],T$1)/Jedinica,"")</f>
        <v/>
      </c>
    </row>
    <row r="43" spans="1:20" ht="12.75" customHeight="1" x14ac:dyDescent="0.2">
      <c r="A43" s="74">
        <v>275</v>
      </c>
      <c r="B43" s="74">
        <v>2</v>
      </c>
      <c r="C43" s="82" t="str">
        <f>VLOOKUP(Cash_Flow_Statement[[#This Row],[No]],AOP_Balance,3,0)</f>
        <v>535</v>
      </c>
      <c r="D43" s="56" t="str">
        <f>VLOOKUP(Cash_Flow_Statement[[#This Row],[No]],AOP_Balance,7,0)</f>
        <v xml:space="preserve">    Isplata po vanbilansnim ugovorima</v>
      </c>
      <c r="E43" s="38" t="str">
        <f>IF(VLOOKUP(E$2&amp;Cash_Flow_Statement[[#This Row],[Aop]],Data[],1)=E$2&amp;Cash_Flow_Statement[[#This Row],[Aop]],VLOOKUP(E$2&amp;Cash_Flow_Statement[[#This Row],[Aop]],Data[],E$1)/Jedinica,"")</f>
        <v/>
      </c>
      <c r="F43" s="38" t="str">
        <f>IF(VLOOKUP(F$2&amp;Cash_Flow_Statement[[#This Row],[Aop]],Data[],1)=F$2&amp;Cash_Flow_Statement[[#This Row],[Aop]],VLOOKUP(F$2&amp;Cash_Flow_Statement[[#This Row],[Aop]],Data[],F$1)/Jedinica,"")</f>
        <v/>
      </c>
      <c r="G43" s="38">
        <f>IF(VLOOKUP(G$2&amp;Cash_Flow_Statement[[#This Row],[Aop]],Data[],1)=G$2&amp;Cash_Flow_Statement[[#This Row],[Aop]],VLOOKUP(G$2&amp;Cash_Flow_Statement[[#This Row],[Aop]],Data[],G$1)/Jedinica,"")</f>
        <v>15722473</v>
      </c>
      <c r="H43" s="38">
        <f>IF(VLOOKUP(H$2&amp;Cash_Flow_Statement[[#This Row],[Aop]],Data[],1)=H$2&amp;Cash_Flow_Statement[[#This Row],[Aop]],VLOOKUP(H$2&amp;Cash_Flow_Statement[[#This Row],[Aop]],Data[],H$1)/Jedinica,"")</f>
        <v>2909236</v>
      </c>
      <c r="I43" s="38">
        <f>IF(VLOOKUP(I$2&amp;Cash_Flow_Statement[[#This Row],[Aop]],Data[],1)=I$2&amp;Cash_Flow_Statement[[#This Row],[Aop]],VLOOKUP(I$2&amp;Cash_Flow_Statement[[#This Row],[Aop]],Data[],I$1)/Jedinica,"")</f>
        <v>15722473</v>
      </c>
      <c r="J43" s="38">
        <f>IF(VLOOKUP(J$2&amp;Cash_Flow_Statement[[#This Row],[Aop]],Data[],1)=J$2&amp;Cash_Flow_Statement[[#This Row],[Aop]],VLOOKUP(J$2&amp;Cash_Flow_Statement[[#This Row],[Aop]],Data[],J$1)/Jedinica,"")</f>
        <v>2909236</v>
      </c>
      <c r="K43" s="38">
        <f>IF(VLOOKUP(K$2&amp;Cash_Flow_Statement[[#This Row],[Aop]],Data[],1)=K$2&amp;Cash_Flow_Statement[[#This Row],[Aop]],VLOOKUP(K$2&amp;Cash_Flow_Statement[[#This Row],[Aop]],Data[],K$1)/Jedinica,"")</f>
        <v>20588125</v>
      </c>
      <c r="L43" s="38">
        <f>IF(VLOOKUP(L$2&amp;Cash_Flow_Statement[[#This Row],[Aop]],Data[],1)=L$2&amp;Cash_Flow_Statement[[#This Row],[Aop]],VLOOKUP(L$2&amp;Cash_Flow_Statement[[#This Row],[Aop]],Data[],L$1)/Jedinica,"")</f>
        <v>14495449</v>
      </c>
      <c r="M43" s="38">
        <f>IF(VLOOKUP(M$2&amp;Cash_Flow_Statement[[#This Row],[Aop]],Data[],1)=M$2&amp;Cash_Flow_Statement[[#This Row],[Aop]],VLOOKUP(M$2&amp;Cash_Flow_Statement[[#This Row],[Aop]],Data[],M$1)/Jedinica,"")</f>
        <v>1424548</v>
      </c>
      <c r="N43" s="38">
        <f>IF(VLOOKUP(N$2&amp;Cash_Flow_Statement[[#This Row],[Aop]],Data[],1)=N$2&amp;Cash_Flow_Statement[[#This Row],[Aop]],VLOOKUP(N$2&amp;Cash_Flow_Statement[[#This Row],[Aop]],Data[],N$1)/Jedinica,"")</f>
        <v>1694149</v>
      </c>
      <c r="O43" s="38">
        <f>IF(VLOOKUP(O$2&amp;Cash_Flow_Statement[[#This Row],[Aop]],Data[],1)=O$2&amp;Cash_Flow_Statement[[#This Row],[Aop]],VLOOKUP(O$2&amp;Cash_Flow_Statement[[#This Row],[Aop]],Data[],O$1)/Jedinica,"")</f>
        <v>20588125</v>
      </c>
      <c r="P43" s="38">
        <f>IF(VLOOKUP(P$2&amp;Cash_Flow_Statement[[#This Row],[Aop]],Data[],1)=P$2&amp;Cash_Flow_Statement[[#This Row],[Aop]],VLOOKUP(P$2&amp;Cash_Flow_Statement[[#This Row],[Aop]],Data[],P$1)/Jedinica,"")</f>
        <v>14495449</v>
      </c>
      <c r="Q43" s="38">
        <f>IF(VLOOKUP(Q$2&amp;Cash_Flow_Statement[[#This Row],[Aop]],Data[],1)=Q$2&amp;Cash_Flow_Statement[[#This Row],[Aop]],VLOOKUP(Q$2&amp;Cash_Flow_Statement[[#This Row],[Aop]],Data[],Q$1)/Jedinica,"")</f>
        <v>15590038</v>
      </c>
      <c r="R43" s="38">
        <f>IF(VLOOKUP(R$2&amp;Cash_Flow_Statement[[#This Row],[Aop]],Data[],1)=R$2&amp;Cash_Flow_Statement[[#This Row],[Aop]],VLOOKUP(R$2&amp;Cash_Flow_Statement[[#This Row],[Aop]],Data[],R$1)/Jedinica,"")</f>
        <v>22119864</v>
      </c>
      <c r="S43" s="38">
        <f>IF(VLOOKUP(S$2&amp;Cash_Flow_Statement[[#This Row],[Aop]],Data[],1)=S$2&amp;Cash_Flow_Statement[[#This Row],[Aop]],VLOOKUP(S$2&amp;Cash_Flow_Statement[[#This Row],[Aop]],Data[],S$1)/Jedinica,"")</f>
        <v>5391645</v>
      </c>
      <c r="T43" s="38">
        <f>IF(VLOOKUP(T$2&amp;Cash_Flow_Statement[[#This Row],[Aop]],Data[],1)=T$2&amp;Cash_Flow_Statement[[#This Row],[Aop]],VLOOKUP(T$2&amp;Cash_Flow_Statement[[#This Row],[Aop]],Data[],T$1)/Jedinica,"")</f>
        <v>6082089</v>
      </c>
    </row>
    <row r="44" spans="1:20" ht="12.75" customHeight="1" x14ac:dyDescent="0.2">
      <c r="A44" s="74">
        <v>276</v>
      </c>
      <c r="B44" s="74">
        <v>2</v>
      </c>
      <c r="C44" s="82" t="str">
        <f>VLOOKUP(Cash_Flow_Statement[[#This Row],[No]],AOP_Balance,3,0)</f>
        <v>536</v>
      </c>
      <c r="D44" s="56" t="str">
        <f>VLOOKUP(Cash_Flow_Statement[[#This Row],[No]],AOP_Balance,7,0)</f>
        <v xml:space="preserve">    Primici i isplate po vanrednim stavkama</v>
      </c>
      <c r="E44" s="38" t="str">
        <f>IF(VLOOKUP(E$2&amp;Cash_Flow_Statement[[#This Row],[Aop]],Data[],1)=E$2&amp;Cash_Flow_Statement[[#This Row],[Aop]],VLOOKUP(E$2&amp;Cash_Flow_Statement[[#This Row],[Aop]],Data[],E$1)/Jedinica,"")</f>
        <v/>
      </c>
      <c r="F44" s="38" t="str">
        <f>IF(VLOOKUP(F$2&amp;Cash_Flow_Statement[[#This Row],[Aop]],Data[],1)=F$2&amp;Cash_Flow_Statement[[#This Row],[Aop]],VLOOKUP(F$2&amp;Cash_Flow_Statement[[#This Row],[Aop]],Data[],F$1)/Jedinica,"")</f>
        <v/>
      </c>
      <c r="G44" s="38">
        <f>IF(VLOOKUP(G$2&amp;Cash_Flow_Statement[[#This Row],[Aop]],Data[],1)=G$2&amp;Cash_Flow_Statement[[#This Row],[Aop]],VLOOKUP(G$2&amp;Cash_Flow_Statement[[#This Row],[Aop]],Data[],G$1)/Jedinica,"")</f>
        <v>14977498</v>
      </c>
      <c r="H44" s="38">
        <f>IF(VLOOKUP(H$2&amp;Cash_Flow_Statement[[#This Row],[Aop]],Data[],1)=H$2&amp;Cash_Flow_Statement[[#This Row],[Aop]],VLOOKUP(H$2&amp;Cash_Flow_Statement[[#This Row],[Aop]],Data[],H$1)/Jedinica,"")</f>
        <v>2728928</v>
      </c>
      <c r="I44" s="38">
        <f>IF(VLOOKUP(I$2&amp;Cash_Flow_Statement[[#This Row],[Aop]],Data[],1)=I$2&amp;Cash_Flow_Statement[[#This Row],[Aop]],VLOOKUP(I$2&amp;Cash_Flow_Statement[[#This Row],[Aop]],Data[],I$1)/Jedinica,"")</f>
        <v>14977498</v>
      </c>
      <c r="J44" s="38">
        <f>IF(VLOOKUP(J$2&amp;Cash_Flow_Statement[[#This Row],[Aop]],Data[],1)=J$2&amp;Cash_Flow_Statement[[#This Row],[Aop]],VLOOKUP(J$2&amp;Cash_Flow_Statement[[#This Row],[Aop]],Data[],J$1)/Jedinica,"")</f>
        <v>2728928</v>
      </c>
      <c r="K44" s="38">
        <f>IF(VLOOKUP(K$2&amp;Cash_Flow_Statement[[#This Row],[Aop]],Data[],1)=K$2&amp;Cash_Flow_Statement[[#This Row],[Aop]],VLOOKUP(K$2&amp;Cash_Flow_Statement[[#This Row],[Aop]],Data[],K$1)/Jedinica,"")</f>
        <v>16829605</v>
      </c>
      <c r="L44" s="38">
        <f>IF(VLOOKUP(L$2&amp;Cash_Flow_Statement[[#This Row],[Aop]],Data[],1)=L$2&amp;Cash_Flow_Statement[[#This Row],[Aop]],VLOOKUP(L$2&amp;Cash_Flow_Statement[[#This Row],[Aop]],Data[],L$1)/Jedinica,"")</f>
        <v>11703048</v>
      </c>
      <c r="M44" s="38">
        <f>IF(VLOOKUP(M$2&amp;Cash_Flow_Statement[[#This Row],[Aop]],Data[],1)=M$2&amp;Cash_Flow_Statement[[#This Row],[Aop]],VLOOKUP(M$2&amp;Cash_Flow_Statement[[#This Row],[Aop]],Data[],M$1)/Jedinica,"")</f>
        <v>1345556</v>
      </c>
      <c r="N44" s="38">
        <f>IF(VLOOKUP(N$2&amp;Cash_Flow_Statement[[#This Row],[Aop]],Data[],1)=N$2&amp;Cash_Flow_Statement[[#This Row],[Aop]],VLOOKUP(N$2&amp;Cash_Flow_Statement[[#This Row],[Aop]],Data[],N$1)/Jedinica,"")</f>
        <v>1660919</v>
      </c>
      <c r="O44" s="38">
        <f>IF(VLOOKUP(O$2&amp;Cash_Flow_Statement[[#This Row],[Aop]],Data[],1)=O$2&amp;Cash_Flow_Statement[[#This Row],[Aop]],VLOOKUP(O$2&amp;Cash_Flow_Statement[[#This Row],[Aop]],Data[],O$1)/Jedinica,"")</f>
        <v>16829605</v>
      </c>
      <c r="P44" s="38">
        <f>IF(VLOOKUP(P$2&amp;Cash_Flow_Statement[[#This Row],[Aop]],Data[],1)=P$2&amp;Cash_Flow_Statement[[#This Row],[Aop]],VLOOKUP(P$2&amp;Cash_Flow_Statement[[#This Row],[Aop]],Data[],P$1)/Jedinica,"")</f>
        <v>11703048</v>
      </c>
      <c r="Q44" s="38">
        <f>IF(VLOOKUP(Q$2&amp;Cash_Flow_Statement[[#This Row],[Aop]],Data[],1)=Q$2&amp;Cash_Flow_Statement[[#This Row],[Aop]],VLOOKUP(Q$2&amp;Cash_Flow_Statement[[#This Row],[Aop]],Data[],Q$1)/Jedinica,"")</f>
        <v>14518454</v>
      </c>
      <c r="R44" s="38">
        <f>IF(VLOOKUP(R$2&amp;Cash_Flow_Statement[[#This Row],[Aop]],Data[],1)=R$2&amp;Cash_Flow_Statement[[#This Row],[Aop]],VLOOKUP(R$2&amp;Cash_Flow_Statement[[#This Row],[Aop]],Data[],R$1)/Jedinica,"")</f>
        <v>17231533</v>
      </c>
      <c r="S44" s="38">
        <f>IF(VLOOKUP(S$2&amp;Cash_Flow_Statement[[#This Row],[Aop]],Data[],1)=S$2&amp;Cash_Flow_Statement[[#This Row],[Aop]],VLOOKUP(S$2&amp;Cash_Flow_Statement[[#This Row],[Aop]],Data[],S$1)/Jedinica,"")</f>
        <v>4910153</v>
      </c>
      <c r="T44" s="38">
        <f>IF(VLOOKUP(T$2&amp;Cash_Flow_Statement[[#This Row],[Aop]],Data[],1)=T$2&amp;Cash_Flow_Statement[[#This Row],[Aop]],VLOOKUP(T$2&amp;Cash_Flow_Statement[[#This Row],[Aop]],Data[],T$1)/Jedinica,"")</f>
        <v>5475069</v>
      </c>
    </row>
    <row r="45" spans="1:20" ht="12.75" customHeight="1" x14ac:dyDescent="0.2">
      <c r="A45" s="74">
        <v>277</v>
      </c>
      <c r="B45" s="74">
        <v>2</v>
      </c>
      <c r="C45" s="82" t="str">
        <f>VLOOKUP(Cash_Flow_Statement[[#This Row],[No]],AOP_Balance,3,0)</f>
        <v>537</v>
      </c>
      <c r="D45" s="56" t="str">
        <f>VLOOKUP(Cash_Flow_Statement[[#This Row],[No]],AOP_Balance,7,0)</f>
        <v xml:space="preserve">    Neto novčana sredstva od finansijskih aktivnosti</v>
      </c>
      <c r="E45" s="38">
        <f>IF(VLOOKUP(E$2&amp;Cash_Flow_Statement[[#This Row],[Aop]],Data[],1)=E$2&amp;Cash_Flow_Statement[[#This Row],[Aop]],VLOOKUP(E$2&amp;Cash_Flow_Statement[[#This Row],[Aop]],Data[],E$1)/Jedinica,"")</f>
        <v>1785</v>
      </c>
      <c r="F45" s="38">
        <f>IF(VLOOKUP(F$2&amp;Cash_Flow_Statement[[#This Row],[Aop]],Data[],1)=F$2&amp;Cash_Flow_Statement[[#This Row],[Aop]],VLOOKUP(F$2&amp;Cash_Flow_Statement[[#This Row],[Aop]],Data[],F$1)/Jedinica,"")</f>
        <v>5071</v>
      </c>
      <c r="G45" s="38">
        <f>IF(VLOOKUP(G$2&amp;Cash_Flow_Statement[[#This Row],[Aop]],Data[],1)=G$2&amp;Cash_Flow_Statement[[#This Row],[Aop]],VLOOKUP(G$2&amp;Cash_Flow_Statement[[#This Row],[Aop]],Data[],G$1)/Jedinica,"")</f>
        <v>744975</v>
      </c>
      <c r="H45" s="38">
        <f>IF(VLOOKUP(H$2&amp;Cash_Flow_Statement[[#This Row],[Aop]],Data[],1)=H$2&amp;Cash_Flow_Statement[[#This Row],[Aop]],VLOOKUP(H$2&amp;Cash_Flow_Statement[[#This Row],[Aop]],Data[],H$1)/Jedinica,"")</f>
        <v>180308</v>
      </c>
      <c r="I45" s="38">
        <f>IF(VLOOKUP(I$2&amp;Cash_Flow_Statement[[#This Row],[Aop]],Data[],1)=I$2&amp;Cash_Flow_Statement[[#This Row],[Aop]],VLOOKUP(I$2&amp;Cash_Flow_Statement[[#This Row],[Aop]],Data[],I$1)/Jedinica,"")</f>
        <v>744975</v>
      </c>
      <c r="J45" s="38">
        <f>IF(VLOOKUP(J$2&amp;Cash_Flow_Statement[[#This Row],[Aop]],Data[],1)=J$2&amp;Cash_Flow_Statement[[#This Row],[Aop]],VLOOKUP(J$2&amp;Cash_Flow_Statement[[#This Row],[Aop]],Data[],J$1)/Jedinica,"")</f>
        <v>180308</v>
      </c>
      <c r="K45" s="38">
        <f>IF(VLOOKUP(K$2&amp;Cash_Flow_Statement[[#This Row],[Aop]],Data[],1)=K$2&amp;Cash_Flow_Statement[[#This Row],[Aop]],VLOOKUP(K$2&amp;Cash_Flow_Statement[[#This Row],[Aop]],Data[],K$1)/Jedinica,"")</f>
        <v>2961914</v>
      </c>
      <c r="L45" s="38">
        <f>IF(VLOOKUP(L$2&amp;Cash_Flow_Statement[[#This Row],[Aop]],Data[],1)=L$2&amp;Cash_Flow_Statement[[#This Row],[Aop]],VLOOKUP(L$2&amp;Cash_Flow_Statement[[#This Row],[Aop]],Data[],L$1)/Jedinica,"")</f>
        <v>1287772</v>
      </c>
      <c r="M45" s="38">
        <f>IF(VLOOKUP(M$2&amp;Cash_Flow_Statement[[#This Row],[Aop]],Data[],1)=M$2&amp;Cash_Flow_Statement[[#This Row],[Aop]],VLOOKUP(M$2&amp;Cash_Flow_Statement[[#This Row],[Aop]],Data[],M$1)/Jedinica,"")</f>
        <v>78992</v>
      </c>
      <c r="N45" s="38">
        <f>IF(VLOOKUP(N$2&amp;Cash_Flow_Statement[[#This Row],[Aop]],Data[],1)=N$2&amp;Cash_Flow_Statement[[#This Row],[Aop]],VLOOKUP(N$2&amp;Cash_Flow_Statement[[#This Row],[Aop]],Data[],N$1)/Jedinica,"")</f>
        <v>33230</v>
      </c>
      <c r="O45" s="38">
        <f>IF(VLOOKUP(O$2&amp;Cash_Flow_Statement[[#This Row],[Aop]],Data[],1)=O$2&amp;Cash_Flow_Statement[[#This Row],[Aop]],VLOOKUP(O$2&amp;Cash_Flow_Statement[[#This Row],[Aop]],Data[],O$1)/Jedinica,"")</f>
        <v>2961914</v>
      </c>
      <c r="P45" s="38">
        <f>IF(VLOOKUP(P$2&amp;Cash_Flow_Statement[[#This Row],[Aop]],Data[],1)=P$2&amp;Cash_Flow_Statement[[#This Row],[Aop]],VLOOKUP(P$2&amp;Cash_Flow_Statement[[#This Row],[Aop]],Data[],P$1)/Jedinica,"")</f>
        <v>1287772</v>
      </c>
      <c r="Q45" s="38">
        <f>IF(VLOOKUP(Q$2&amp;Cash_Flow_Statement[[#This Row],[Aop]],Data[],1)=Q$2&amp;Cash_Flow_Statement[[#This Row],[Aop]],VLOOKUP(Q$2&amp;Cash_Flow_Statement[[#This Row],[Aop]],Data[],Q$1)/Jedinica,"")</f>
        <v>646410</v>
      </c>
      <c r="R45" s="38">
        <f>IF(VLOOKUP(R$2&amp;Cash_Flow_Statement[[#This Row],[Aop]],Data[],1)=R$2&amp;Cash_Flow_Statement[[#This Row],[Aop]],VLOOKUP(R$2&amp;Cash_Flow_Statement[[#This Row],[Aop]],Data[],R$1)/Jedinica,"")</f>
        <v>4555279</v>
      </c>
      <c r="S45" s="38">
        <f>IF(VLOOKUP(S$2&amp;Cash_Flow_Statement[[#This Row],[Aop]],Data[],1)=S$2&amp;Cash_Flow_Statement[[#This Row],[Aop]],VLOOKUP(S$2&amp;Cash_Flow_Statement[[#This Row],[Aop]],Data[],S$1)/Jedinica,"")</f>
        <v>481492</v>
      </c>
      <c r="T45" s="38">
        <f>IF(VLOOKUP(T$2&amp;Cash_Flow_Statement[[#This Row],[Aop]],Data[],1)=T$2&amp;Cash_Flow_Statement[[#This Row],[Aop]],VLOOKUP(T$2&amp;Cash_Flow_Statement[[#This Row],[Aop]],Data[],T$1)/Jedinica,"")</f>
        <v>477020</v>
      </c>
    </row>
    <row r="46" spans="1:20" ht="12.75" customHeight="1" x14ac:dyDescent="0.2">
      <c r="A46" s="74">
        <v>278</v>
      </c>
      <c r="B46" s="74">
        <v>1</v>
      </c>
      <c r="C46" s="82" t="str">
        <f>VLOOKUP(Cash_Flow_Statement[[#This Row],[No]],AOP_Balance,3,0)</f>
        <v>538</v>
      </c>
      <c r="D46" s="56" t="str">
        <f>VLOOKUP(Cash_Flow_Statement[[#This Row],[No]],AOP_Balance,7,0)</f>
        <v xml:space="preserve">  NETO PORAST NS i NE ** (A+B+V)</v>
      </c>
      <c r="E46" s="38">
        <f>IF(VLOOKUP(E$2&amp;Cash_Flow_Statement[[#This Row],[Aop]],Data[],1)=E$2&amp;Cash_Flow_Statement[[#This Row],[Aop]],VLOOKUP(E$2&amp;Cash_Flow_Statement[[#This Row],[Aop]],Data[],E$1)/Jedinica,"")</f>
        <v>11477</v>
      </c>
      <c r="F46" s="38">
        <f>IF(VLOOKUP(F$2&amp;Cash_Flow_Statement[[#This Row],[Aop]],Data[],1)=F$2&amp;Cash_Flow_Statement[[#This Row],[Aop]],VLOOKUP(F$2&amp;Cash_Flow_Statement[[#This Row],[Aop]],Data[],F$1)/Jedinica,"")</f>
        <v>-13417</v>
      </c>
      <c r="G46" s="38">
        <f>IF(VLOOKUP(G$2&amp;Cash_Flow_Statement[[#This Row],[Aop]],Data[],1)=G$2&amp;Cash_Flow_Statement[[#This Row],[Aop]],VLOOKUP(G$2&amp;Cash_Flow_Statement[[#This Row],[Aop]],Data[],G$1)/Jedinica,"")</f>
        <v>-143587</v>
      </c>
      <c r="H46" s="38">
        <f>IF(VLOOKUP(H$2&amp;Cash_Flow_Statement[[#This Row],[Aop]],Data[],1)=H$2&amp;Cash_Flow_Statement[[#This Row],[Aop]],VLOOKUP(H$2&amp;Cash_Flow_Statement[[#This Row],[Aop]],Data[],H$1)/Jedinica,"")</f>
        <v>-71539</v>
      </c>
      <c r="I46" s="38">
        <f>IF(VLOOKUP(I$2&amp;Cash_Flow_Statement[[#This Row],[Aop]],Data[],1)=I$2&amp;Cash_Flow_Statement[[#This Row],[Aop]],VLOOKUP(I$2&amp;Cash_Flow_Statement[[#This Row],[Aop]],Data[],I$1)/Jedinica,"")</f>
        <v>-143587</v>
      </c>
      <c r="J46" s="38">
        <f>IF(VLOOKUP(J$2&amp;Cash_Flow_Statement[[#This Row],[Aop]],Data[],1)=J$2&amp;Cash_Flow_Statement[[#This Row],[Aop]],VLOOKUP(J$2&amp;Cash_Flow_Statement[[#This Row],[Aop]],Data[],J$1)/Jedinica,"")</f>
        <v>-71539</v>
      </c>
      <c r="K46" s="38">
        <f>IF(VLOOKUP(K$2&amp;Cash_Flow_Statement[[#This Row],[Aop]],Data[],1)=K$2&amp;Cash_Flow_Statement[[#This Row],[Aop]],VLOOKUP(K$2&amp;Cash_Flow_Statement[[#This Row],[Aop]],Data[],K$1)/Jedinica,"")</f>
        <v>0</v>
      </c>
      <c r="L46" s="38">
        <f>IF(VLOOKUP(L$2&amp;Cash_Flow_Statement[[#This Row],[Aop]],Data[],1)=L$2&amp;Cash_Flow_Statement[[#This Row],[Aop]],VLOOKUP(L$2&amp;Cash_Flow_Statement[[#This Row],[Aop]],Data[],L$1)/Jedinica,"")</f>
        <v>105200</v>
      </c>
      <c r="M46" s="38">
        <f>IF(VLOOKUP(M$2&amp;Cash_Flow_Statement[[#This Row],[Aop]],Data[],1)=M$2&amp;Cash_Flow_Statement[[#This Row],[Aop]],VLOOKUP(M$2&amp;Cash_Flow_Statement[[#This Row],[Aop]],Data[],M$1)/Jedinica,"")</f>
        <v>117254</v>
      </c>
      <c r="N46" s="38">
        <f>IF(VLOOKUP(N$2&amp;Cash_Flow_Statement[[#This Row],[Aop]],Data[],1)=N$2&amp;Cash_Flow_Statement[[#This Row],[Aop]],VLOOKUP(N$2&amp;Cash_Flow_Statement[[#This Row],[Aop]],Data[],N$1)/Jedinica,"")</f>
        <v>101161</v>
      </c>
      <c r="O46" s="38">
        <f>IF(VLOOKUP(O$2&amp;Cash_Flow_Statement[[#This Row],[Aop]],Data[],1)=O$2&amp;Cash_Flow_Statement[[#This Row],[Aop]],VLOOKUP(O$2&amp;Cash_Flow_Statement[[#This Row],[Aop]],Data[],O$1)/Jedinica,"")</f>
        <v>0</v>
      </c>
      <c r="P46" s="38">
        <f>IF(VLOOKUP(P$2&amp;Cash_Flow_Statement[[#This Row],[Aop]],Data[],1)=P$2&amp;Cash_Flow_Statement[[#This Row],[Aop]],VLOOKUP(P$2&amp;Cash_Flow_Statement[[#This Row],[Aop]],Data[],P$1)/Jedinica,"")</f>
        <v>105200</v>
      </c>
      <c r="Q46" s="38">
        <f>IF(VLOOKUP(Q$2&amp;Cash_Flow_Statement[[#This Row],[Aop]],Data[],1)=Q$2&amp;Cash_Flow_Statement[[#This Row],[Aop]],VLOOKUP(Q$2&amp;Cash_Flow_Statement[[#This Row],[Aop]],Data[],Q$1)/Jedinica,"")</f>
        <v>316378</v>
      </c>
      <c r="R46" s="38">
        <f>IF(VLOOKUP(R$2&amp;Cash_Flow_Statement[[#This Row],[Aop]],Data[],1)=R$2&amp;Cash_Flow_Statement[[#This Row],[Aop]],VLOOKUP(R$2&amp;Cash_Flow_Statement[[#This Row],[Aop]],Data[],R$1)/Jedinica,"")</f>
        <v>242585</v>
      </c>
      <c r="S46" s="38">
        <f>IF(VLOOKUP(S$2&amp;Cash_Flow_Statement[[#This Row],[Aop]],Data[],1)=S$2&amp;Cash_Flow_Statement[[#This Row],[Aop]],VLOOKUP(S$2&amp;Cash_Flow_Statement[[#This Row],[Aop]],Data[],S$1)/Jedinica,"")</f>
        <v>1129621</v>
      </c>
      <c r="T46" s="38">
        <f>IF(VLOOKUP(T$2&amp;Cash_Flow_Statement[[#This Row],[Aop]],Data[],1)=T$2&amp;Cash_Flow_Statement[[#This Row],[Aop]],VLOOKUP(T$2&amp;Cash_Flow_Statement[[#This Row],[Aop]],Data[],T$1)/Jedinica,"")</f>
        <v>1135687</v>
      </c>
    </row>
    <row r="47" spans="1:20" ht="12.75" customHeight="1" x14ac:dyDescent="0.2">
      <c r="A47" s="74">
        <v>279</v>
      </c>
      <c r="B47" s="74">
        <v>1</v>
      </c>
      <c r="C47" s="82" t="str">
        <f>VLOOKUP(Cash_Flow_Statement[[#This Row],[No]],AOP_Balance,3,0)</f>
        <v>539</v>
      </c>
      <c r="D47" s="56" t="str">
        <f>VLOOKUP(Cash_Flow_Statement[[#This Row],[No]],AOP_Balance,7,0)</f>
        <v xml:space="preserve">  NS i NE NA POČETKU PERIODA</v>
      </c>
      <c r="E47" s="39">
        <f>IF(VLOOKUP(E$2&amp;Cash_Flow_Statement[[#This Row],[Aop]],Data[],1)=E$2&amp;Cash_Flow_Statement[[#This Row],[Aop]],VLOOKUP(E$2&amp;Cash_Flow_Statement[[#This Row],[Aop]],Data[],E$1)/Jedinica,"")</f>
        <v>37823</v>
      </c>
      <c r="F47" s="39">
        <f>IF(VLOOKUP(F$2&amp;Cash_Flow_Statement[[#This Row],[Aop]],Data[],1)=F$2&amp;Cash_Flow_Statement[[#This Row],[Aop]],VLOOKUP(F$2&amp;Cash_Flow_Statement[[#This Row],[Aop]],Data[],F$1)/Jedinica,"")</f>
        <v>55333</v>
      </c>
      <c r="G47" s="39">
        <f>IF(VLOOKUP(G$2&amp;Cash_Flow_Statement[[#This Row],[Aop]],Data[],1)=G$2&amp;Cash_Flow_Statement[[#This Row],[Aop]],VLOOKUP(G$2&amp;Cash_Flow_Statement[[#This Row],[Aop]],Data[],G$1)/Jedinica,"")</f>
        <v>217033</v>
      </c>
      <c r="H47" s="39">
        <f>IF(VLOOKUP(H$2&amp;Cash_Flow_Statement[[#This Row],[Aop]],Data[],1)=H$2&amp;Cash_Flow_Statement[[#This Row],[Aop]],VLOOKUP(H$2&amp;Cash_Flow_Statement[[#This Row],[Aop]],Data[],H$1)/Jedinica,"")</f>
        <v>92399</v>
      </c>
      <c r="I47" s="39">
        <f>IF(VLOOKUP(I$2&amp;Cash_Flow_Statement[[#This Row],[Aop]],Data[],1)=I$2&amp;Cash_Flow_Statement[[#This Row],[Aop]],VLOOKUP(I$2&amp;Cash_Flow_Statement[[#This Row],[Aop]],Data[],I$1)/Jedinica,"")</f>
        <v>217033</v>
      </c>
      <c r="J47" s="39">
        <f>IF(VLOOKUP(J$2&amp;Cash_Flow_Statement[[#This Row],[Aop]],Data[],1)=J$2&amp;Cash_Flow_Statement[[#This Row],[Aop]],VLOOKUP(J$2&amp;Cash_Flow_Statement[[#This Row],[Aop]],Data[],J$1)/Jedinica,"")</f>
        <v>92399</v>
      </c>
      <c r="K47" s="39">
        <f>IF(VLOOKUP(K$2&amp;Cash_Flow_Statement[[#This Row],[Aop]],Data[],1)=K$2&amp;Cash_Flow_Statement[[#This Row],[Aop]],VLOOKUP(K$2&amp;Cash_Flow_Statement[[#This Row],[Aop]],Data[],K$1)/Jedinica,"")</f>
        <v>23400</v>
      </c>
      <c r="L47" s="39">
        <f>IF(VLOOKUP(L$2&amp;Cash_Flow_Statement[[#This Row],[Aop]],Data[],1)=L$2&amp;Cash_Flow_Statement[[#This Row],[Aop]],VLOOKUP(L$2&amp;Cash_Flow_Statement[[#This Row],[Aop]],Data[],L$1)/Jedinica,"")</f>
        <v>0</v>
      </c>
      <c r="M47" s="39">
        <f>IF(VLOOKUP(M$2&amp;Cash_Flow_Statement[[#This Row],[Aop]],Data[],1)=M$2&amp;Cash_Flow_Statement[[#This Row],[Aop]],VLOOKUP(M$2&amp;Cash_Flow_Statement[[#This Row],[Aop]],Data[],M$1)/Jedinica,"")</f>
        <v>17874</v>
      </c>
      <c r="N47" s="39">
        <f>IF(VLOOKUP(N$2&amp;Cash_Flow_Statement[[#This Row],[Aop]],Data[],1)=N$2&amp;Cash_Flow_Statement[[#This Row],[Aop]],VLOOKUP(N$2&amp;Cash_Flow_Statement[[#This Row],[Aop]],Data[],N$1)/Jedinica,"")</f>
        <v>9315</v>
      </c>
      <c r="O47" s="39">
        <f>IF(VLOOKUP(O$2&amp;Cash_Flow_Statement[[#This Row],[Aop]],Data[],1)=O$2&amp;Cash_Flow_Statement[[#This Row],[Aop]],VLOOKUP(O$2&amp;Cash_Flow_Statement[[#This Row],[Aop]],Data[],O$1)/Jedinica,"")</f>
        <v>23400</v>
      </c>
      <c r="P47" s="39">
        <f>IF(VLOOKUP(P$2&amp;Cash_Flow_Statement[[#This Row],[Aop]],Data[],1)=P$2&amp;Cash_Flow_Statement[[#This Row],[Aop]],VLOOKUP(P$2&amp;Cash_Flow_Statement[[#This Row],[Aop]],Data[],P$1)/Jedinica,"")</f>
        <v>0</v>
      </c>
      <c r="Q47" s="39">
        <f>IF(VLOOKUP(Q$2&amp;Cash_Flow_Statement[[#This Row],[Aop]],Data[],1)=Q$2&amp;Cash_Flow_Statement[[#This Row],[Aop]],VLOOKUP(Q$2&amp;Cash_Flow_Statement[[#This Row],[Aop]],Data[],Q$1)/Jedinica,"")</f>
        <v>35663</v>
      </c>
      <c r="R47" s="39">
        <f>IF(VLOOKUP(R$2&amp;Cash_Flow_Statement[[#This Row],[Aop]],Data[],1)=R$2&amp;Cash_Flow_Statement[[#This Row],[Aop]],VLOOKUP(R$2&amp;Cash_Flow_Statement[[#This Row],[Aop]],Data[],R$1)/Jedinica,"")</f>
        <v>14124</v>
      </c>
      <c r="S47" s="39">
        <f>IF(VLOOKUP(S$2&amp;Cash_Flow_Statement[[#This Row],[Aop]],Data[],1)=S$2&amp;Cash_Flow_Statement[[#This Row],[Aop]],VLOOKUP(S$2&amp;Cash_Flow_Statement[[#This Row],[Aop]],Data[],S$1)/Jedinica,"")</f>
        <v>0</v>
      </c>
      <c r="T47" s="39">
        <f>IF(VLOOKUP(T$2&amp;Cash_Flow_Statement[[#This Row],[Aop]],Data[],1)=T$2&amp;Cash_Flow_Statement[[#This Row],[Aop]],VLOOKUP(T$2&amp;Cash_Flow_Statement[[#This Row],[Aop]],Data[],T$1)/Jedinica,"")</f>
        <v>130000</v>
      </c>
    </row>
    <row r="48" spans="1:20" ht="12.75" customHeight="1" x14ac:dyDescent="0.2">
      <c r="A48" s="74">
        <v>280</v>
      </c>
      <c r="B48" s="74">
        <v>1</v>
      </c>
      <c r="C48" s="82" t="str">
        <f>VLOOKUP(Cash_Flow_Statement[[#This Row],[No]],AOP_Balance,3,0)</f>
        <v>540</v>
      </c>
      <c r="D48" s="56" t="str">
        <f>VLOOKUP(Cash_Flow_Statement[[#This Row],[No]],AOP_Balance,7,0)</f>
        <v xml:space="preserve">  EFEKTI PROMJENE DEVIZNIH KURSEVA NS i NE</v>
      </c>
      <c r="E48" s="38">
        <f>IF(VLOOKUP(E$2&amp;Cash_Flow_Statement[[#This Row],[Aop]],Data[],1)=E$2&amp;Cash_Flow_Statement[[#This Row],[Aop]],VLOOKUP(E$2&amp;Cash_Flow_Statement[[#This Row],[Aop]],Data[],E$1)/Jedinica,"")</f>
        <v>-43</v>
      </c>
      <c r="F48" s="38">
        <f>IF(VLOOKUP(F$2&amp;Cash_Flow_Statement[[#This Row],[Aop]],Data[],1)=F$2&amp;Cash_Flow_Statement[[#This Row],[Aop]],VLOOKUP(F$2&amp;Cash_Flow_Statement[[#This Row],[Aop]],Data[],F$1)/Jedinica,"")</f>
        <v>23</v>
      </c>
      <c r="G48" s="38">
        <f>IF(VLOOKUP(G$2&amp;Cash_Flow_Statement[[#This Row],[Aop]],Data[],1)=G$2&amp;Cash_Flow_Statement[[#This Row],[Aop]],VLOOKUP(G$2&amp;Cash_Flow_Statement[[#This Row],[Aop]],Data[],G$1)/Jedinica,"")</f>
        <v>-143587</v>
      </c>
      <c r="H48" s="38">
        <f>IF(VLOOKUP(H$2&amp;Cash_Flow_Statement[[#This Row],[Aop]],Data[],1)=H$2&amp;Cash_Flow_Statement[[#This Row],[Aop]],VLOOKUP(H$2&amp;Cash_Flow_Statement[[#This Row],[Aop]],Data[],H$1)/Jedinica,"")</f>
        <v>-71539</v>
      </c>
      <c r="I48" s="38">
        <f>IF(VLOOKUP(I$2&amp;Cash_Flow_Statement[[#This Row],[Aop]],Data[],1)=I$2&amp;Cash_Flow_Statement[[#This Row],[Aop]],VLOOKUP(I$2&amp;Cash_Flow_Statement[[#This Row],[Aop]],Data[],I$1)/Jedinica,"")</f>
        <v>-143587</v>
      </c>
      <c r="J48" s="38">
        <f>IF(VLOOKUP(J$2&amp;Cash_Flow_Statement[[#This Row],[Aop]],Data[],1)=J$2&amp;Cash_Flow_Statement[[#This Row],[Aop]],VLOOKUP(J$2&amp;Cash_Flow_Statement[[#This Row],[Aop]],Data[],J$1)/Jedinica,"")</f>
        <v>-71539</v>
      </c>
      <c r="K48" s="38">
        <f>IF(VLOOKUP(K$2&amp;Cash_Flow_Statement[[#This Row],[Aop]],Data[],1)=K$2&amp;Cash_Flow_Statement[[#This Row],[Aop]],VLOOKUP(K$2&amp;Cash_Flow_Statement[[#This Row],[Aop]],Data[],K$1)/Jedinica,"")</f>
        <v>773206</v>
      </c>
      <c r="L48" s="38">
        <f>IF(VLOOKUP(L$2&amp;Cash_Flow_Statement[[#This Row],[Aop]],Data[],1)=L$2&amp;Cash_Flow_Statement[[#This Row],[Aop]],VLOOKUP(L$2&amp;Cash_Flow_Statement[[#This Row],[Aop]],Data[],L$1)/Jedinica,"")</f>
        <v>1399429</v>
      </c>
      <c r="M48" s="38">
        <f>IF(VLOOKUP(M$2&amp;Cash_Flow_Statement[[#This Row],[Aop]],Data[],1)=M$2&amp;Cash_Flow_Statement[[#This Row],[Aop]],VLOOKUP(M$2&amp;Cash_Flow_Statement[[#This Row],[Aop]],Data[],M$1)/Jedinica,"")</f>
        <v>1991</v>
      </c>
      <c r="N48" s="38">
        <f>IF(VLOOKUP(N$2&amp;Cash_Flow_Statement[[#This Row],[Aop]],Data[],1)=N$2&amp;Cash_Flow_Statement[[#This Row],[Aop]],VLOOKUP(N$2&amp;Cash_Flow_Statement[[#This Row],[Aop]],Data[],N$1)/Jedinica,"")</f>
        <v>14563</v>
      </c>
      <c r="O48" s="38">
        <f>IF(VLOOKUP(O$2&amp;Cash_Flow_Statement[[#This Row],[Aop]],Data[],1)=O$2&amp;Cash_Flow_Statement[[#This Row],[Aop]],VLOOKUP(O$2&amp;Cash_Flow_Statement[[#This Row],[Aop]],Data[],O$1)/Jedinica,"")</f>
        <v>773206</v>
      </c>
      <c r="P48" s="38">
        <f>IF(VLOOKUP(P$2&amp;Cash_Flow_Statement[[#This Row],[Aop]],Data[],1)=P$2&amp;Cash_Flow_Statement[[#This Row],[Aop]],VLOOKUP(P$2&amp;Cash_Flow_Statement[[#This Row],[Aop]],Data[],P$1)/Jedinica,"")</f>
        <v>1399429</v>
      </c>
      <c r="Q48" s="38">
        <f>IF(VLOOKUP(Q$2&amp;Cash_Flow_Statement[[#This Row],[Aop]],Data[],1)=Q$2&amp;Cash_Flow_Statement[[#This Row],[Aop]],VLOOKUP(Q$2&amp;Cash_Flow_Statement[[#This Row],[Aop]],Data[],Q$1)/Jedinica,"")</f>
        <v>18028</v>
      </c>
      <c r="R48" s="38">
        <f>IF(VLOOKUP(R$2&amp;Cash_Flow_Statement[[#This Row],[Aop]],Data[],1)=R$2&amp;Cash_Flow_Statement[[#This Row],[Aop]],VLOOKUP(R$2&amp;Cash_Flow_Statement[[#This Row],[Aop]],Data[],R$1)/Jedinica,"")</f>
        <v>15627</v>
      </c>
      <c r="S48" s="38">
        <f>IF(VLOOKUP(S$2&amp;Cash_Flow_Statement[[#This Row],[Aop]],Data[],1)=S$2&amp;Cash_Flow_Statement[[#This Row],[Aop]],VLOOKUP(S$2&amp;Cash_Flow_Statement[[#This Row],[Aop]],Data[],S$1)/Jedinica,"")</f>
        <v>430529</v>
      </c>
      <c r="T48" s="38">
        <f>IF(VLOOKUP(T$2&amp;Cash_Flow_Statement[[#This Row],[Aop]],Data[],1)=T$2&amp;Cash_Flow_Statement[[#This Row],[Aop]],VLOOKUP(T$2&amp;Cash_Flow_Statement[[#This Row],[Aop]],Data[],T$1)/Jedinica,"")</f>
        <v>258716</v>
      </c>
    </row>
    <row r="49" spans="1:20" ht="12.75" customHeight="1" x14ac:dyDescent="0.2">
      <c r="A49" s="74">
        <v>281</v>
      </c>
      <c r="B49" s="74">
        <v>1</v>
      </c>
      <c r="C49" s="82" t="str">
        <f>VLOOKUP(Cash_Flow_Statement[[#This Row],[No]],AOP_Balance,3,0)</f>
        <v>541</v>
      </c>
      <c r="D49" s="56" t="str">
        <f>VLOOKUP(Cash_Flow_Statement[[#This Row],[No]],AOP_Balance,7,0)</f>
        <v xml:space="preserve">  NS i NE NA KRAJU PERIODA (4+5+6)</v>
      </c>
      <c r="E49" s="38">
        <f>IF(VLOOKUP(E$2&amp;Cash_Flow_Statement[[#This Row],[Aop]],Data[],1)=E$2&amp;Cash_Flow_Statement[[#This Row],[Aop]],VLOOKUP(E$2&amp;Cash_Flow_Statement[[#This Row],[Aop]],Data[],E$1)/Jedinica,"")</f>
        <v>49257</v>
      </c>
      <c r="F49" s="38">
        <f>IF(VLOOKUP(F$2&amp;Cash_Flow_Statement[[#This Row],[Aop]],Data[],1)=F$2&amp;Cash_Flow_Statement[[#This Row],[Aop]],VLOOKUP(F$2&amp;Cash_Flow_Statement[[#This Row],[Aop]],Data[],F$1)/Jedinica,"")</f>
        <v>41939</v>
      </c>
      <c r="G49" s="38">
        <f>IF(VLOOKUP(G$2&amp;Cash_Flow_Statement[[#This Row],[Aop]],Data[],1)=G$2&amp;Cash_Flow_Statement[[#This Row],[Aop]],VLOOKUP(G$2&amp;Cash_Flow_Statement[[#This Row],[Aop]],Data[],G$1)/Jedinica,"")</f>
        <v>28932265</v>
      </c>
      <c r="H49" s="38">
        <f>IF(VLOOKUP(H$2&amp;Cash_Flow_Statement[[#This Row],[Aop]],Data[],1)=H$2&amp;Cash_Flow_Statement[[#This Row],[Aop]],VLOOKUP(H$2&amp;Cash_Flow_Statement[[#This Row],[Aop]],Data[],H$1)/Jedinica,"")</f>
        <v>20534848</v>
      </c>
      <c r="I49" s="38">
        <f>IF(VLOOKUP(I$2&amp;Cash_Flow_Statement[[#This Row],[Aop]],Data[],1)=I$2&amp;Cash_Flow_Statement[[#This Row],[Aop]],VLOOKUP(I$2&amp;Cash_Flow_Statement[[#This Row],[Aop]],Data[],I$1)/Jedinica,"")</f>
        <v>28932265</v>
      </c>
      <c r="J49" s="38">
        <f>IF(VLOOKUP(J$2&amp;Cash_Flow_Statement[[#This Row],[Aop]],Data[],1)=J$2&amp;Cash_Flow_Statement[[#This Row],[Aop]],VLOOKUP(J$2&amp;Cash_Flow_Statement[[#This Row],[Aop]],Data[],J$1)/Jedinica,"")</f>
        <v>20534848</v>
      </c>
      <c r="K49" s="38">
        <f>IF(VLOOKUP(K$2&amp;Cash_Flow_Statement[[#This Row],[Aop]],Data[],1)=K$2&amp;Cash_Flow_Statement[[#This Row],[Aop]],VLOOKUP(K$2&amp;Cash_Flow_Statement[[#This Row],[Aop]],Data[],K$1)/Jedinica,"")</f>
        <v>45101424</v>
      </c>
      <c r="L49" s="38">
        <f>IF(VLOOKUP(L$2&amp;Cash_Flow_Statement[[#This Row],[Aop]],Data[],1)=L$2&amp;Cash_Flow_Statement[[#This Row],[Aop]],VLOOKUP(L$2&amp;Cash_Flow_Statement[[#This Row],[Aop]],Data[],L$1)/Jedinica,"")</f>
        <v>35651092</v>
      </c>
      <c r="M49" s="38">
        <f>IF(VLOOKUP(M$2&amp;Cash_Flow_Statement[[#This Row],[Aop]],Data[],1)=M$2&amp;Cash_Flow_Statement[[#This Row],[Aop]],VLOOKUP(M$2&amp;Cash_Flow_Statement[[#This Row],[Aop]],Data[],M$1)/Jedinica,"")</f>
        <v>4996763</v>
      </c>
      <c r="N49" s="38">
        <f>IF(VLOOKUP(N$2&amp;Cash_Flow_Statement[[#This Row],[Aop]],Data[],1)=N$2&amp;Cash_Flow_Statement[[#This Row],[Aop]],VLOOKUP(N$2&amp;Cash_Flow_Statement[[#This Row],[Aop]],Data[],N$1)/Jedinica,"")</f>
        <v>4009781</v>
      </c>
      <c r="O49" s="38">
        <f>IF(VLOOKUP(O$2&amp;Cash_Flow_Statement[[#This Row],[Aop]],Data[],1)=O$2&amp;Cash_Flow_Statement[[#This Row],[Aop]],VLOOKUP(O$2&amp;Cash_Flow_Statement[[#This Row],[Aop]],Data[],O$1)/Jedinica,"")</f>
        <v>45101424</v>
      </c>
      <c r="P49" s="38">
        <f>IF(VLOOKUP(P$2&amp;Cash_Flow_Statement[[#This Row],[Aop]],Data[],1)=P$2&amp;Cash_Flow_Statement[[#This Row],[Aop]],VLOOKUP(P$2&amp;Cash_Flow_Statement[[#This Row],[Aop]],Data[],P$1)/Jedinica,"")</f>
        <v>35651092</v>
      </c>
      <c r="Q49" s="38">
        <f>IF(VLOOKUP(Q$2&amp;Cash_Flow_Statement[[#This Row],[Aop]],Data[],1)=Q$2&amp;Cash_Flow_Statement[[#This Row],[Aop]],VLOOKUP(Q$2&amp;Cash_Flow_Statement[[#This Row],[Aop]],Data[],Q$1)/Jedinica,"")</f>
        <v>32797300</v>
      </c>
      <c r="R49" s="38">
        <f>IF(VLOOKUP(R$2&amp;Cash_Flow_Statement[[#This Row],[Aop]],Data[],1)=R$2&amp;Cash_Flow_Statement[[#This Row],[Aop]],VLOOKUP(R$2&amp;Cash_Flow_Statement[[#This Row],[Aop]],Data[],R$1)/Jedinica,"")</f>
        <v>40708051</v>
      </c>
      <c r="S49" s="38">
        <f>IF(VLOOKUP(S$2&amp;Cash_Flow_Statement[[#This Row],[Aop]],Data[],1)=S$2&amp;Cash_Flow_Statement[[#This Row],[Aop]],VLOOKUP(S$2&amp;Cash_Flow_Statement[[#This Row],[Aop]],Data[],S$1)/Jedinica,"")</f>
        <v>16359761</v>
      </c>
      <c r="T49" s="38">
        <f>IF(VLOOKUP(T$2&amp;Cash_Flow_Statement[[#This Row],[Aop]],Data[],1)=T$2&amp;Cash_Flow_Statement[[#This Row],[Aop]],VLOOKUP(T$2&amp;Cash_Flow_Statement[[#This Row],[Aop]],Data[],T$1)/Jedinica,"")</f>
        <v>15756405</v>
      </c>
    </row>
    <row r="50" spans="1:20" ht="12.75" customHeight="1" x14ac:dyDescent="0.2">
      <c r="A50" s="61"/>
      <c r="B50" s="62"/>
      <c r="C50" s="63"/>
      <c r="D50" s="64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</row>
  </sheetData>
  <sheetProtection password="CBEB" sheet="1" objects="1" scenarios="1"/>
  <mergeCells count="8">
    <mergeCell ref="Q3:R3"/>
    <mergeCell ref="S3:T3"/>
    <mergeCell ref="E3:F3"/>
    <mergeCell ref="G3:H3"/>
    <mergeCell ref="I3:J3"/>
    <mergeCell ref="K3:L3"/>
    <mergeCell ref="M3:N3"/>
    <mergeCell ref="O3:P3"/>
  </mergeCells>
  <conditionalFormatting sqref="A6:T49">
    <cfRule type="expression" dxfId="0" priority="1" stopIfTrue="1">
      <formula>$B6&lt;3</formula>
    </cfRule>
  </conditionalFormatting>
  <dataValidations count="1">
    <dataValidation type="list" allowBlank="1" showInputMessage="1" sqref="E3 G3 I3 K3 M3 O3 Q3 S3">
      <formula1>Simbol_Naziv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1"/>
  </sheetPr>
  <dimension ref="A1:AG22"/>
  <sheetViews>
    <sheetView showGridLines="0" workbookViewId="0">
      <pane xSplit="10" topLeftCell="K1" activePane="topRight" state="frozen"/>
      <selection activeCell="E3" sqref="E3:F3"/>
      <selection pane="topRight" activeCell="G18" sqref="G18"/>
    </sheetView>
  </sheetViews>
  <sheetFormatPr defaultRowHeight="15" x14ac:dyDescent="0.25"/>
  <cols>
    <col min="1" max="1" width="4.28515625" style="9" customWidth="1"/>
    <col min="2" max="2" width="20.140625" style="9" customWidth="1"/>
    <col min="3" max="3" width="17.140625" style="9" customWidth="1"/>
    <col min="4" max="4" width="6.7109375" style="9" customWidth="1"/>
    <col min="5" max="5" width="9.7109375" style="9" customWidth="1"/>
    <col min="6" max="7" width="14.7109375" style="9" customWidth="1"/>
    <col min="8" max="8" width="3.28515625" style="9" customWidth="1"/>
    <col min="9" max="9" width="8.85546875" style="9" customWidth="1"/>
    <col min="10" max="10" width="10" style="9" customWidth="1"/>
    <col min="11" max="11" width="3.28515625" style="9" customWidth="1"/>
    <col min="12" max="12" width="8.85546875" style="9" customWidth="1"/>
    <col min="13" max="13" width="14.42578125" style="9" customWidth="1"/>
    <col min="14" max="16" width="14" style="9" customWidth="1"/>
    <col min="17" max="17" width="3.28515625" style="9" customWidth="1"/>
    <col min="18" max="18" width="8.140625" style="9" customWidth="1"/>
    <col min="19" max="19" width="18.42578125" style="9" customWidth="1"/>
    <col min="20" max="20" width="20.7109375" style="9" customWidth="1"/>
    <col min="21" max="21" width="5" style="9" customWidth="1"/>
    <col min="22" max="22" width="15.28515625" style="9" bestFit="1" customWidth="1"/>
    <col min="23" max="23" width="13.140625" style="9" bestFit="1" customWidth="1"/>
    <col min="24" max="24" width="18.28515625" style="9" customWidth="1"/>
    <col min="25" max="25" width="5.85546875" style="9" customWidth="1"/>
    <col min="26" max="27" width="18.28515625" style="9" bestFit="1" customWidth="1"/>
    <col min="28" max="33" width="10.28515625" style="9" customWidth="1"/>
    <col min="34" max="16384" width="9.140625" style="9"/>
  </cols>
  <sheetData>
    <row r="1" spans="2:33" x14ac:dyDescent="0.25">
      <c r="B1" s="9" t="str">
        <f>Item</f>
        <v>Pozicija (KM)</v>
      </c>
      <c r="C1" s="28" t="s">
        <v>68</v>
      </c>
      <c r="E1" s="85">
        <v>1</v>
      </c>
      <c r="F1" s="9">
        <f>IF(ISNA(VLOOKUP(Jedinica1,Table2[],2,0)),1,VLOOKUP(Jedinica1,Table2[],2,0))</f>
        <v>1</v>
      </c>
      <c r="G1" s="9" t="str">
        <f>IF(ISNA(VLOOKUP(Jedinica1,Table2[],3,0)),1,VLOOKUP(Jedinica1,Table2[],3,0))</f>
        <v>KM</v>
      </c>
      <c r="I1" s="85">
        <v>1</v>
      </c>
      <c r="J1" s="9" t="str">
        <f>VLOOKUP(Jezik,Table5[],2,0)</f>
        <v>Srpski</v>
      </c>
      <c r="L1" s="9">
        <v>2</v>
      </c>
      <c r="M1" s="9" t="str">
        <f>VLOOKUP($L1,Table3[],2,0)</f>
        <v>Polugodišnji</v>
      </c>
      <c r="N1" s="9" t="str">
        <f>VLOOKUP($L1,Table3[],3,0)</f>
        <v>Semi-Annual</v>
      </c>
      <c r="O1" s="9" t="str">
        <f>VLOOKUP($L1,Table3[],4,0)</f>
        <v>(PG)</v>
      </c>
      <c r="P1" s="9" t="str">
        <f>VLOOKUP($L1,Table3[],5,0)</f>
        <v>(SA)</v>
      </c>
      <c r="R1" s="9">
        <v>2</v>
      </c>
      <c r="S1" s="9" t="str">
        <f>VLOOKUP($R1,Table4[],2,0)</f>
        <v>Banke</v>
      </c>
      <c r="T1" s="9" t="str">
        <f>VLOOKUP($R1,Table4[],3,0)</f>
        <v>Banks</v>
      </c>
      <c r="X1" s="14" t="str">
        <f>J1</f>
        <v>Srpski</v>
      </c>
      <c r="Z1" s="9">
        <f>Balance_Type</f>
        <v>2</v>
      </c>
      <c r="AA1" s="9" t="str">
        <f>VLOOKUP($Z1,Table13[],2,0)</f>
        <v>Banke</v>
      </c>
      <c r="AB1" s="9">
        <f>VLOOKUP($Z1,Table13[],3,0)</f>
        <v>1</v>
      </c>
      <c r="AC1" s="9">
        <f>VLOOKUP($Z1,Table13[],4,0)</f>
        <v>105</v>
      </c>
      <c r="AD1" s="9">
        <f>VLOOKUP($Z1,Table13[],5,0)</f>
        <v>106</v>
      </c>
      <c r="AE1" s="9">
        <f>VLOOKUP($Z1,Table13[],6,0)</f>
        <v>237</v>
      </c>
      <c r="AF1" s="9">
        <f>IF(VLOOKUP($Z1,Table13[],7,0)="","",VLOOKUP($Z1,Table13[],7,0))</f>
        <v>238</v>
      </c>
      <c r="AG1" s="9">
        <f>IF(VLOOKUP($Z1,Table13[],8,0)="","",VLOOKUP($Z1,Table13[],8,0))</f>
        <v>281</v>
      </c>
    </row>
    <row r="2" spans="2:33" ht="30.75" customHeight="1" x14ac:dyDescent="0.25">
      <c r="B2" s="22" t="s">
        <v>26</v>
      </c>
      <c r="C2" s="18">
        <v>2013</v>
      </c>
      <c r="D2" s="13"/>
      <c r="E2" s="13" t="s">
        <v>24</v>
      </c>
      <c r="F2" s="13" t="s">
        <v>23</v>
      </c>
      <c r="G2" s="13" t="s">
        <v>25</v>
      </c>
      <c r="H2" s="13"/>
      <c r="I2" s="19" t="s">
        <v>24</v>
      </c>
      <c r="J2" s="23" t="s">
        <v>9</v>
      </c>
      <c r="K2" s="20"/>
      <c r="L2" s="21" t="s">
        <v>24</v>
      </c>
      <c r="M2" s="24" t="s">
        <v>34</v>
      </c>
      <c r="N2" s="24" t="s">
        <v>35</v>
      </c>
      <c r="O2" s="24" t="s">
        <v>59</v>
      </c>
      <c r="P2" s="24" t="s">
        <v>60</v>
      </c>
      <c r="Q2" s="13"/>
      <c r="R2" s="13" t="s">
        <v>24</v>
      </c>
      <c r="S2" s="24" t="s">
        <v>41</v>
      </c>
      <c r="T2" s="24" t="s">
        <v>42</v>
      </c>
      <c r="U2" s="13"/>
      <c r="V2" s="13" t="s">
        <v>10</v>
      </c>
      <c r="W2" s="13" t="s">
        <v>43</v>
      </c>
      <c r="X2" s="13" t="s">
        <v>46</v>
      </c>
      <c r="Z2" s="48" t="s">
        <v>24</v>
      </c>
      <c r="AA2" s="67" t="s">
        <v>319</v>
      </c>
      <c r="AB2" s="48" t="s">
        <v>103</v>
      </c>
      <c r="AC2" s="48" t="s">
        <v>104</v>
      </c>
      <c r="AD2" s="48" t="s">
        <v>105</v>
      </c>
      <c r="AE2" s="48" t="s">
        <v>106</v>
      </c>
      <c r="AF2" s="48" t="s">
        <v>107</v>
      </c>
      <c r="AG2" s="48" t="s">
        <v>108</v>
      </c>
    </row>
    <row r="3" spans="2:33" x14ac:dyDescent="0.25">
      <c r="B3" s="90" t="s">
        <v>30</v>
      </c>
      <c r="C3" s="91"/>
      <c r="E3" s="9">
        <v>1</v>
      </c>
      <c r="F3" s="9">
        <v>1</v>
      </c>
      <c r="G3" s="12" t="s">
        <v>393</v>
      </c>
      <c r="H3" s="12"/>
      <c r="I3" s="12">
        <v>1</v>
      </c>
      <c r="J3" s="12" t="s">
        <v>10</v>
      </c>
      <c r="L3" s="9">
        <v>1</v>
      </c>
      <c r="M3" s="9" t="s">
        <v>31</v>
      </c>
      <c r="N3" s="9" t="s">
        <v>36</v>
      </c>
      <c r="O3" s="9" t="s">
        <v>55</v>
      </c>
      <c r="P3" s="9" t="s">
        <v>56</v>
      </c>
      <c r="R3" s="9">
        <v>1</v>
      </c>
      <c r="S3" s="9" t="s">
        <v>32</v>
      </c>
      <c r="T3" s="9" t="s">
        <v>38</v>
      </c>
      <c r="V3" s="9" t="s">
        <v>13</v>
      </c>
      <c r="W3" s="9" t="s">
        <v>14</v>
      </c>
      <c r="X3" s="9" t="str">
        <f>IF(Jezik=2,Table6[[#This Row],[Engleski]],Table6[[#This Row],[Srpski]])</f>
        <v>Bruto tekuća</v>
      </c>
      <c r="Z3" s="49">
        <v>1</v>
      </c>
      <c r="AA3" s="47" t="s">
        <v>32</v>
      </c>
      <c r="AB3" s="49">
        <v>1</v>
      </c>
      <c r="AC3" s="49">
        <v>127</v>
      </c>
      <c r="AD3" s="49">
        <v>128</v>
      </c>
      <c r="AE3" s="49">
        <v>254</v>
      </c>
      <c r="AF3" s="49">
        <v>255</v>
      </c>
      <c r="AG3" s="49">
        <v>305</v>
      </c>
    </row>
    <row r="4" spans="2:33" x14ac:dyDescent="0.25">
      <c r="B4" s="90"/>
      <c r="C4" s="91"/>
      <c r="E4" s="9">
        <v>2</v>
      </c>
      <c r="F4" s="9">
        <f>F3*1000</f>
        <v>1000</v>
      </c>
      <c r="G4" s="83" t="s">
        <v>394</v>
      </c>
      <c r="H4" s="12"/>
      <c r="I4" s="12">
        <v>2</v>
      </c>
      <c r="J4" s="12" t="s">
        <v>392</v>
      </c>
      <c r="L4" s="9">
        <v>2</v>
      </c>
      <c r="M4" s="9" t="s">
        <v>27</v>
      </c>
      <c r="N4" s="9" t="s">
        <v>37</v>
      </c>
      <c r="O4" s="9" t="s">
        <v>57</v>
      </c>
      <c r="P4" s="9" t="s">
        <v>58</v>
      </c>
      <c r="R4" s="9">
        <v>2</v>
      </c>
      <c r="S4" s="9" t="s">
        <v>28</v>
      </c>
      <c r="T4" s="9" t="s">
        <v>39</v>
      </c>
      <c r="V4" s="9" t="s">
        <v>15</v>
      </c>
      <c r="W4" s="9" t="s">
        <v>16</v>
      </c>
      <c r="X4" s="9" t="str">
        <f>IF(Jezik=2,Table6[[#This Row],[Engleski]],Table6[[#This Row],[Srpski]])</f>
        <v>Ispravka</v>
      </c>
      <c r="Z4" s="49">
        <v>2</v>
      </c>
      <c r="AA4" s="47" t="s">
        <v>28</v>
      </c>
      <c r="AB4" s="49">
        <v>1</v>
      </c>
      <c r="AC4" s="49">
        <v>105</v>
      </c>
      <c r="AD4" s="49">
        <v>106</v>
      </c>
      <c r="AE4" s="49">
        <v>237</v>
      </c>
      <c r="AF4" s="49">
        <v>238</v>
      </c>
      <c r="AG4" s="49">
        <v>281</v>
      </c>
    </row>
    <row r="5" spans="2:33" x14ac:dyDescent="0.25">
      <c r="B5" s="90" t="s">
        <v>29</v>
      </c>
      <c r="C5" s="91"/>
      <c r="E5" s="9">
        <v>3</v>
      </c>
      <c r="F5" s="10">
        <v>1.95583</v>
      </c>
      <c r="G5" s="9" t="s">
        <v>11</v>
      </c>
      <c r="R5" s="9">
        <v>3</v>
      </c>
      <c r="S5" s="9" t="s">
        <v>320</v>
      </c>
      <c r="T5" s="9" t="s">
        <v>40</v>
      </c>
      <c r="V5" s="9" t="s">
        <v>17</v>
      </c>
      <c r="W5" s="9" t="s">
        <v>18</v>
      </c>
      <c r="X5" s="9" t="str">
        <f>IF(Jezik=2,Table6[[#This Row],[Engleski]],Table6[[#This Row],[Srpski]])</f>
        <v>Neto tekuća</v>
      </c>
      <c r="Z5" s="49">
        <v>3</v>
      </c>
      <c r="AA5" s="47" t="s">
        <v>33</v>
      </c>
      <c r="AB5" s="50">
        <v>1</v>
      </c>
      <c r="AC5" s="50">
        <v>142</v>
      </c>
      <c r="AD5" s="50">
        <v>143</v>
      </c>
      <c r="AE5" s="50">
        <v>267</v>
      </c>
      <c r="AF5" s="50">
        <v>268</v>
      </c>
      <c r="AG5" s="50">
        <v>322</v>
      </c>
    </row>
    <row r="6" spans="2:33" x14ac:dyDescent="0.25">
      <c r="B6" s="90"/>
      <c r="C6" s="92"/>
      <c r="E6" s="9">
        <v>4</v>
      </c>
      <c r="F6" s="9">
        <f>F5*1000</f>
        <v>1955.83</v>
      </c>
      <c r="G6" s="84" t="s">
        <v>12</v>
      </c>
      <c r="V6" s="9" t="s">
        <v>19</v>
      </c>
      <c r="W6" s="9" t="s">
        <v>20</v>
      </c>
      <c r="X6" s="9" t="str">
        <f>IF(Jezik=2,Table6[[#This Row],[Engleski]],Table6[[#This Row],[Srpski]])</f>
        <v>Neto prethodna</v>
      </c>
    </row>
    <row r="7" spans="2:33" x14ac:dyDescent="0.25">
      <c r="B7" s="14">
        <v>0</v>
      </c>
      <c r="C7" s="27" t="str">
        <f>IF(B7=0,"Financial Statements are not available in English.","")</f>
        <v>Financial Statements are not available in English.</v>
      </c>
      <c r="V7" s="9" t="s">
        <v>1</v>
      </c>
      <c r="W7" s="9" t="s">
        <v>2</v>
      </c>
      <c r="X7" s="9" t="str">
        <f>IF(Jezik=2,Table6[[#This Row],[Engleski]],Table6[[#This Row],[Srpski]])</f>
        <v>Pozicija</v>
      </c>
    </row>
    <row r="8" spans="2:33" x14ac:dyDescent="0.25">
      <c r="V8" s="9" t="s">
        <v>47</v>
      </c>
      <c r="W8" s="9" t="s">
        <v>48</v>
      </c>
      <c r="X8" s="9" t="str">
        <f>IF(Jezik=2,Table6[[#This Row],[Engleski]],Table6[[#This Row],[Srpski]])</f>
        <v>Oznaka</v>
      </c>
    </row>
    <row r="9" spans="2:33" x14ac:dyDescent="0.25">
      <c r="V9" s="9" t="s">
        <v>49</v>
      </c>
      <c r="W9" s="9" t="s">
        <v>50</v>
      </c>
      <c r="X9" s="9" t="str">
        <f>IF(Jezik=2,Table6[[#This Row],[Engleski]],Table6[[#This Row],[Srpski]])</f>
        <v>Emitent</v>
      </c>
    </row>
    <row r="10" spans="2:33" x14ac:dyDescent="0.25">
      <c r="B10" s="9" t="s">
        <v>44</v>
      </c>
      <c r="C10" s="9" t="str">
        <f>CONCATENATE(M1," finansijski izvještaji za ",Year,". godinu")</f>
        <v>Polugodišnji finansijski izvještaji za 2013. godinu</v>
      </c>
      <c r="V10" s="9" t="str">
        <f>CONCATENATE(Year," ",O$1)</f>
        <v>2013 (PG)</v>
      </c>
      <c r="W10" s="9" t="str">
        <f>CONCATENATE(Year," ",P$1)</f>
        <v>2013 (SA)</v>
      </c>
      <c r="X10" s="9" t="str">
        <f>IF(Jezik=2,Table6[[#This Row],[Engleski]],Table6[[#This Row],[Srpski]])</f>
        <v>2013 (PG)</v>
      </c>
    </row>
    <row r="11" spans="2:33" x14ac:dyDescent="0.25">
      <c r="B11" s="9" t="s">
        <v>45</v>
      </c>
      <c r="C11" s="9" t="str">
        <f>CONCATENATE(N1," Financial Statements for ",Year)</f>
        <v>Semi-Annual Financial Statements for 2013</v>
      </c>
      <c r="V11" s="9" t="str">
        <f>CONCATENATE(Year-1," ",O$1)</f>
        <v>2012 (PG)</v>
      </c>
      <c r="W11" s="9" t="str">
        <f>CONCATENATE(Year-1," ",P$1)</f>
        <v>2012 (SA)</v>
      </c>
      <c r="X11" s="9" t="str">
        <f>IF(Jezik=2,Table6[[#This Row],[Engleski]],Table6[[#This Row],[Srpski]])</f>
        <v>2012 (PG)</v>
      </c>
    </row>
    <row r="12" spans="2:33" x14ac:dyDescent="0.25">
      <c r="B12" s="9" t="s">
        <v>61</v>
      </c>
      <c r="C12" s="9">
        <f>COUNTA(Issuer[Simbol])</f>
        <v>10</v>
      </c>
    </row>
    <row r="13" spans="2:33" x14ac:dyDescent="0.25">
      <c r="B13" s="9" t="s">
        <v>109</v>
      </c>
      <c r="C13" s="9">
        <f>COUNTA(Summary[Code])</f>
        <v>10</v>
      </c>
    </row>
    <row r="17" spans="1:2" ht="15.75" x14ac:dyDescent="0.25">
      <c r="A17" s="70" t="s">
        <v>69</v>
      </c>
      <c r="B17" s="71"/>
    </row>
    <row r="18" spans="1:2" ht="15.75" x14ac:dyDescent="0.25">
      <c r="A18" s="71">
        <v>1</v>
      </c>
      <c r="B18" s="71" t="s">
        <v>71</v>
      </c>
    </row>
    <row r="19" spans="1:2" ht="15.75" x14ac:dyDescent="0.25">
      <c r="A19" s="71">
        <v>2</v>
      </c>
      <c r="B19" s="71" t="s">
        <v>70</v>
      </c>
    </row>
    <row r="20" spans="1:2" ht="15.75" x14ac:dyDescent="0.25">
      <c r="A20" s="71">
        <v>3</v>
      </c>
      <c r="B20" s="71" t="s">
        <v>396</v>
      </c>
    </row>
    <row r="21" spans="1:2" ht="15.75" x14ac:dyDescent="0.25">
      <c r="A21" s="71">
        <v>4</v>
      </c>
      <c r="B21" s="71" t="s">
        <v>391</v>
      </c>
    </row>
    <row r="22" spans="1:2" ht="15.75" x14ac:dyDescent="0.25">
      <c r="A22" s="71">
        <v>5</v>
      </c>
      <c r="B22" s="71" t="s">
        <v>395</v>
      </c>
    </row>
  </sheetData>
  <sheetProtection password="CBEB" sheet="1" objects="1" scenarios="1"/>
  <mergeCells count="4">
    <mergeCell ref="B3:B4"/>
    <mergeCell ref="B5:B6"/>
    <mergeCell ref="C3:C4"/>
    <mergeCell ref="C5:C6"/>
  </mergeCells>
  <dataValidations count="1">
    <dataValidation type="whole" allowBlank="1" showInputMessage="1" showErrorMessage="1" sqref="B7">
      <formula1>0</formula1>
      <formula2>1</formula2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7" r:id="rId4" name="Drop Down 3">
              <controlPr defaultSize="0" autoLine="0" autoPict="0">
                <anchor moveWithCells="1">
                  <from>
                    <xdr:col>2</xdr:col>
                    <xdr:colOff>104775</xdr:colOff>
                    <xdr:row>2</xdr:row>
                    <xdr:rowOff>57150</xdr:rowOff>
                  </from>
                  <to>
                    <xdr:col>2</xdr:col>
                    <xdr:colOff>1038225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Drop Down 4">
              <controlPr defaultSize="0" autoLine="0" autoPict="0">
                <anchor moveWithCells="1">
                  <from>
                    <xdr:col>2</xdr:col>
                    <xdr:colOff>104775</xdr:colOff>
                    <xdr:row>4</xdr:row>
                    <xdr:rowOff>57150</xdr:rowOff>
                  </from>
                  <to>
                    <xdr:col>2</xdr:col>
                    <xdr:colOff>1038225</xdr:colOff>
                    <xdr:row>5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tableParts count="6"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1"/>
  <sheetViews>
    <sheetView showGridLines="0" workbookViewId="0">
      <pane ySplit="1" topLeftCell="A2" activePane="bottomLeft" state="frozen"/>
      <selection activeCell="E3" sqref="E3:F3"/>
      <selection pane="bottomLeft" activeCell="B2" sqref="B2:C11"/>
    </sheetView>
  </sheetViews>
  <sheetFormatPr defaultRowHeight="15" x14ac:dyDescent="0.25"/>
  <cols>
    <col min="1" max="1" width="8.42578125" style="9" customWidth="1"/>
    <col min="2" max="2" width="9.42578125" style="9" bestFit="1" customWidth="1"/>
    <col min="3" max="4" width="61.28515625" style="9" bestFit="1" customWidth="1"/>
    <col min="5" max="16384" width="9.140625" style="9"/>
  </cols>
  <sheetData>
    <row r="1" spans="1:4" x14ac:dyDescent="0.25">
      <c r="A1" s="11" t="s">
        <v>65</v>
      </c>
      <c r="B1" s="27" t="s">
        <v>3</v>
      </c>
      <c r="C1" s="27" t="s">
        <v>4</v>
      </c>
      <c r="D1" s="9" t="s">
        <v>22</v>
      </c>
    </row>
    <row r="2" spans="1:4" x14ac:dyDescent="0.25">
      <c r="A2" s="11">
        <v>1</v>
      </c>
      <c r="B2" s="9" t="s">
        <v>397</v>
      </c>
      <c r="C2" s="9" t="s">
        <v>398</v>
      </c>
      <c r="D2" s="9" t="str">
        <f>B2&amp;" - "&amp;C2</f>
        <v>BBRB - BOBAR BANKA AD BIJELJINA</v>
      </c>
    </row>
    <row r="3" spans="1:4" x14ac:dyDescent="0.25">
      <c r="A3" s="11">
        <v>2</v>
      </c>
      <c r="B3" s="9" t="s">
        <v>399</v>
      </c>
      <c r="C3" s="9" t="s">
        <v>400</v>
      </c>
      <c r="D3" s="9" t="str">
        <f t="shared" ref="D3:D11" si="0">B3&amp;" - "&amp;C3</f>
        <v>BLKB - BALKAN INVESTMENT BANK AD BANJA LUKA</v>
      </c>
    </row>
    <row r="4" spans="1:4" x14ac:dyDescent="0.25">
      <c r="A4" s="11">
        <v>3</v>
      </c>
      <c r="B4" s="9" t="s">
        <v>401</v>
      </c>
      <c r="C4" s="9" t="s">
        <v>402</v>
      </c>
      <c r="D4" s="9" t="str">
        <f t="shared" si="0"/>
        <v>IEFB - MF BANKA AD BANJA LUKA</v>
      </c>
    </row>
    <row r="5" spans="1:4" x14ac:dyDescent="0.25">
      <c r="A5" s="11">
        <v>4</v>
      </c>
      <c r="B5" s="9" t="s">
        <v>403</v>
      </c>
      <c r="C5" s="9" t="s">
        <v>404</v>
      </c>
      <c r="D5" s="9" t="str">
        <f t="shared" si="0"/>
        <v>KMCB - KOMERCIJALNA BANKA AD BANJA LUKA</v>
      </c>
    </row>
    <row r="6" spans="1:4" x14ac:dyDescent="0.25">
      <c r="A6" s="11">
        <v>5</v>
      </c>
      <c r="B6" s="9" t="s">
        <v>405</v>
      </c>
      <c r="C6" s="9" t="s">
        <v>406</v>
      </c>
      <c r="D6" s="9" t="str">
        <f t="shared" si="0"/>
        <v>KRLB - HYPO ALPE- ADRIA- BANK A.D. BANJA LUKA</v>
      </c>
    </row>
    <row r="7" spans="1:4" x14ac:dyDescent="0.25">
      <c r="A7" s="11">
        <v>6</v>
      </c>
      <c r="B7" s="9" t="s">
        <v>407</v>
      </c>
      <c r="C7" s="9" t="s">
        <v>408</v>
      </c>
      <c r="D7" s="9" t="str">
        <f t="shared" si="0"/>
        <v>NBLB - UNICREDIT BANK AD BANJA LUKA</v>
      </c>
    </row>
    <row r="8" spans="1:4" x14ac:dyDescent="0.25">
      <c r="A8" s="11">
        <v>7</v>
      </c>
      <c r="B8" s="9" t="s">
        <v>409</v>
      </c>
      <c r="C8" s="9" t="s">
        <v>410</v>
      </c>
      <c r="D8" s="9" t="str">
        <f>B8&amp;" - "&amp;C8</f>
        <v>NOVB - NOVA BANKA  AD BANJA LUKA</v>
      </c>
    </row>
    <row r="9" spans="1:4" x14ac:dyDescent="0.25">
      <c r="A9" s="11">
        <v>8</v>
      </c>
      <c r="B9" s="9" t="s">
        <v>411</v>
      </c>
      <c r="C9" s="9" t="s">
        <v>412</v>
      </c>
      <c r="D9" s="9" t="str">
        <f t="shared" si="0"/>
        <v>PIBB - PAVLOVIĆ INTERNATIONAL BANK AD BIJELJINA</v>
      </c>
    </row>
    <row r="10" spans="1:4" x14ac:dyDescent="0.25">
      <c r="A10" s="11">
        <v>9</v>
      </c>
      <c r="B10" s="9" t="s">
        <v>413</v>
      </c>
      <c r="C10" s="9" t="s">
        <v>414</v>
      </c>
      <c r="D10" s="9" t="str">
        <f t="shared" si="0"/>
        <v>VBBB - NLB RAZVOJNA BANKA AD BANJA LUKA</v>
      </c>
    </row>
    <row r="11" spans="1:4" x14ac:dyDescent="0.25">
      <c r="A11" s="11">
        <v>10</v>
      </c>
      <c r="B11" s="9" t="s">
        <v>415</v>
      </c>
      <c r="C11" s="9" t="s">
        <v>1940</v>
      </c>
      <c r="D11" s="9" t="str">
        <f t="shared" si="0"/>
        <v>ZPKB - SBERBANK AD BANJA LUKA</v>
      </c>
    </row>
  </sheetData>
  <sheetProtection password="CBEB" sheet="1" objects="1" scenarios="1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2719"/>
  <sheetViews>
    <sheetView showGridLines="0" workbookViewId="0">
      <pane ySplit="1" topLeftCell="A2" activePane="bottomLeft" state="frozen"/>
      <selection activeCell="E3" sqref="E3:F3"/>
      <selection pane="bottomLeft" activeCell="A2" sqref="A2:E2719"/>
    </sheetView>
  </sheetViews>
  <sheetFormatPr defaultRowHeight="15" x14ac:dyDescent="0.25"/>
  <cols>
    <col min="1" max="1" width="12.140625" style="9" bestFit="1" customWidth="1"/>
    <col min="2" max="2" width="16.140625" style="9" bestFit="1" customWidth="1"/>
    <col min="3" max="3" width="12.5703125" style="9" bestFit="1" customWidth="1"/>
    <col min="4" max="4" width="14.28515625" style="9" bestFit="1" customWidth="1"/>
    <col min="5" max="5" width="15.42578125" style="9" bestFit="1" customWidth="1"/>
    <col min="6" max="16384" width="9.140625" style="9"/>
  </cols>
  <sheetData>
    <row r="1" spans="1:5" x14ac:dyDescent="0.25">
      <c r="A1" s="9" t="s">
        <v>51</v>
      </c>
      <c r="B1" s="9" t="s">
        <v>52</v>
      </c>
      <c r="C1" s="9" t="s">
        <v>16</v>
      </c>
      <c r="D1" s="9" t="s">
        <v>53</v>
      </c>
      <c r="E1" s="9" t="s">
        <v>54</v>
      </c>
    </row>
    <row r="2" spans="1:5" x14ac:dyDescent="0.25">
      <c r="A2" s="11" t="s">
        <v>416</v>
      </c>
      <c r="B2" s="11">
        <v>290422321</v>
      </c>
      <c r="C2" s="11">
        <v>18263364</v>
      </c>
      <c r="D2" s="11">
        <v>272158957</v>
      </c>
      <c r="E2" s="11">
        <v>242996433</v>
      </c>
    </row>
    <row r="3" spans="1:5" x14ac:dyDescent="0.25">
      <c r="A3" s="11" t="s">
        <v>417</v>
      </c>
      <c r="B3" s="11">
        <v>21101817</v>
      </c>
      <c r="C3" s="11">
        <v>79882</v>
      </c>
      <c r="D3" s="11">
        <v>21021935</v>
      </c>
      <c r="E3" s="11">
        <v>19507384</v>
      </c>
    </row>
    <row r="4" spans="1:5" x14ac:dyDescent="0.25">
      <c r="A4" s="11" t="s">
        <v>418</v>
      </c>
      <c r="B4" s="11">
        <v>9614018</v>
      </c>
      <c r="C4" s="11">
        <v>0</v>
      </c>
      <c r="D4" s="11">
        <v>9614018</v>
      </c>
      <c r="E4" s="11">
        <v>7725000</v>
      </c>
    </row>
    <row r="5" spans="1:5" x14ac:dyDescent="0.25">
      <c r="A5" s="11" t="s">
        <v>419</v>
      </c>
      <c r="B5" s="11">
        <v>1967736</v>
      </c>
      <c r="C5" s="11">
        <v>47315</v>
      </c>
      <c r="D5" s="11">
        <v>1920421</v>
      </c>
      <c r="E5" s="11">
        <v>681518</v>
      </c>
    </row>
    <row r="6" spans="1:5" x14ac:dyDescent="0.25">
      <c r="A6" s="11" t="s">
        <v>420</v>
      </c>
      <c r="B6" s="11">
        <v>9473020</v>
      </c>
      <c r="C6" s="11">
        <v>616</v>
      </c>
      <c r="D6" s="11">
        <v>9472404</v>
      </c>
      <c r="E6" s="11">
        <v>10895424</v>
      </c>
    </row>
    <row r="7" spans="1:5" x14ac:dyDescent="0.25">
      <c r="A7" s="11" t="s">
        <v>421</v>
      </c>
      <c r="B7" s="11">
        <v>47043</v>
      </c>
      <c r="C7" s="11">
        <v>31951</v>
      </c>
      <c r="D7" s="11">
        <v>15092</v>
      </c>
      <c r="E7" s="11">
        <v>205442</v>
      </c>
    </row>
    <row r="8" spans="1:5" x14ac:dyDescent="0.25">
      <c r="A8" s="11" t="s">
        <v>422</v>
      </c>
      <c r="B8" s="11">
        <v>27169823</v>
      </c>
      <c r="C8" s="11">
        <v>0</v>
      </c>
      <c r="D8" s="11">
        <v>27169823</v>
      </c>
      <c r="E8" s="11">
        <v>19201457</v>
      </c>
    </row>
    <row r="9" spans="1:5" x14ac:dyDescent="0.25">
      <c r="A9" s="11" t="s">
        <v>423</v>
      </c>
      <c r="B9" s="11">
        <v>27169823</v>
      </c>
      <c r="C9" s="11">
        <v>0</v>
      </c>
      <c r="D9" s="11">
        <v>27169823</v>
      </c>
      <c r="E9" s="11">
        <v>19201457</v>
      </c>
    </row>
    <row r="10" spans="1:5" x14ac:dyDescent="0.25">
      <c r="A10" s="11" t="s">
        <v>424</v>
      </c>
      <c r="B10" s="11">
        <v>15171195</v>
      </c>
      <c r="C10" s="11">
        <v>2252571</v>
      </c>
      <c r="D10" s="11">
        <v>12918624</v>
      </c>
      <c r="E10" s="11">
        <v>11763047</v>
      </c>
    </row>
    <row r="11" spans="1:5" x14ac:dyDescent="0.25">
      <c r="A11" s="11" t="s">
        <v>425</v>
      </c>
      <c r="B11" s="11">
        <v>14935392</v>
      </c>
      <c r="C11" s="11">
        <v>2245715</v>
      </c>
      <c r="D11" s="11">
        <v>12689677</v>
      </c>
      <c r="E11" s="11">
        <v>11570744</v>
      </c>
    </row>
    <row r="12" spans="1:5" x14ac:dyDescent="0.25">
      <c r="A12" s="11" t="s">
        <v>426</v>
      </c>
      <c r="B12" s="11">
        <v>235803</v>
      </c>
      <c r="C12" s="11">
        <v>6856</v>
      </c>
      <c r="D12" s="11">
        <v>228947</v>
      </c>
      <c r="E12" s="11">
        <v>192303</v>
      </c>
    </row>
    <row r="13" spans="1:5" x14ac:dyDescent="0.25">
      <c r="A13" s="11" t="s">
        <v>427</v>
      </c>
      <c r="B13" s="11">
        <v>181046848</v>
      </c>
      <c r="C13" s="11">
        <v>11382909</v>
      </c>
      <c r="D13" s="11">
        <v>169663939</v>
      </c>
      <c r="E13" s="11">
        <v>150543162</v>
      </c>
    </row>
    <row r="14" spans="1:5" x14ac:dyDescent="0.25">
      <c r="A14" s="11" t="s">
        <v>428</v>
      </c>
      <c r="B14" s="11">
        <v>136453678</v>
      </c>
      <c r="C14" s="11">
        <v>9268754</v>
      </c>
      <c r="D14" s="11">
        <v>127184924</v>
      </c>
      <c r="E14" s="11">
        <v>115426188</v>
      </c>
    </row>
    <row r="15" spans="1:5" x14ac:dyDescent="0.25">
      <c r="A15" s="11" t="s">
        <v>429</v>
      </c>
      <c r="B15" s="11">
        <v>27666979</v>
      </c>
      <c r="C15" s="11">
        <v>1729818</v>
      </c>
      <c r="D15" s="11">
        <v>25937161</v>
      </c>
      <c r="E15" s="11">
        <v>27027754</v>
      </c>
    </row>
    <row r="16" spans="1:5" x14ac:dyDescent="0.25">
      <c r="A16" s="11" t="s">
        <v>430</v>
      </c>
      <c r="B16" s="11">
        <v>16926191</v>
      </c>
      <c r="C16" s="11">
        <v>384337</v>
      </c>
      <c r="D16" s="11">
        <v>16541854</v>
      </c>
      <c r="E16" s="11">
        <v>8089220</v>
      </c>
    </row>
    <row r="17" spans="1:5" x14ac:dyDescent="0.25">
      <c r="A17" s="11" t="s">
        <v>431</v>
      </c>
      <c r="B17" s="11">
        <v>1449129</v>
      </c>
      <c r="C17" s="11">
        <v>0</v>
      </c>
      <c r="D17" s="11">
        <v>1449129</v>
      </c>
      <c r="E17" s="11">
        <v>1435231</v>
      </c>
    </row>
    <row r="18" spans="1:5" x14ac:dyDescent="0.25">
      <c r="A18" s="11" t="s">
        <v>432</v>
      </c>
      <c r="B18" s="11">
        <v>1449129</v>
      </c>
      <c r="C18" s="11">
        <v>0</v>
      </c>
      <c r="D18" s="11">
        <v>1449129</v>
      </c>
      <c r="E18" s="11">
        <v>1435231</v>
      </c>
    </row>
    <row r="19" spans="1:5" x14ac:dyDescent="0.25">
      <c r="A19" s="11" t="s">
        <v>433</v>
      </c>
      <c r="B19" s="11">
        <v>42363976</v>
      </c>
      <c r="C19" s="11">
        <v>4548002</v>
      </c>
      <c r="D19" s="11">
        <v>37815974</v>
      </c>
      <c r="E19" s="11">
        <v>38949041</v>
      </c>
    </row>
    <row r="20" spans="1:5" x14ac:dyDescent="0.25">
      <c r="A20" s="11" t="s">
        <v>434</v>
      </c>
      <c r="B20" s="11">
        <v>833058</v>
      </c>
      <c r="C20" s="11">
        <v>43229</v>
      </c>
      <c r="D20" s="11">
        <v>789829</v>
      </c>
      <c r="E20" s="11">
        <v>6914353</v>
      </c>
    </row>
    <row r="21" spans="1:5" x14ac:dyDescent="0.25">
      <c r="A21" s="11" t="s">
        <v>435</v>
      </c>
      <c r="B21" s="11">
        <v>39662162</v>
      </c>
      <c r="C21" s="11">
        <v>4454593</v>
      </c>
      <c r="D21" s="11">
        <v>35207569</v>
      </c>
      <c r="E21" s="11">
        <v>31249952</v>
      </c>
    </row>
    <row r="22" spans="1:5" x14ac:dyDescent="0.25">
      <c r="A22" s="11" t="s">
        <v>436</v>
      </c>
      <c r="B22" s="11">
        <v>1390189</v>
      </c>
      <c r="C22" s="11">
        <v>15732</v>
      </c>
      <c r="D22" s="11">
        <v>1374457</v>
      </c>
      <c r="E22" s="11">
        <v>501765</v>
      </c>
    </row>
    <row r="23" spans="1:5" x14ac:dyDescent="0.25">
      <c r="A23" s="11" t="s">
        <v>437</v>
      </c>
      <c r="B23" s="11">
        <v>468935</v>
      </c>
      <c r="C23" s="11">
        <v>33709</v>
      </c>
      <c r="D23" s="11">
        <v>435226</v>
      </c>
      <c r="E23" s="11">
        <v>274527</v>
      </c>
    </row>
    <row r="24" spans="1:5" x14ac:dyDescent="0.25">
      <c r="A24" s="11" t="s">
        <v>438</v>
      </c>
      <c r="B24" s="11">
        <v>9632</v>
      </c>
      <c r="C24" s="11">
        <v>739</v>
      </c>
      <c r="D24" s="11">
        <v>8893</v>
      </c>
      <c r="E24" s="11">
        <v>8444</v>
      </c>
    </row>
    <row r="25" spans="1:5" x14ac:dyDescent="0.25">
      <c r="A25" s="11" t="s">
        <v>439</v>
      </c>
      <c r="B25" s="11">
        <v>1132137</v>
      </c>
      <c r="C25" s="11">
        <v>0</v>
      </c>
      <c r="D25" s="11">
        <v>1132137</v>
      </c>
      <c r="E25" s="11">
        <v>1597108</v>
      </c>
    </row>
    <row r="26" spans="1:5" x14ac:dyDescent="0.25">
      <c r="A26" s="11" t="s">
        <v>440</v>
      </c>
      <c r="B26" s="11">
        <v>987396</v>
      </c>
      <c r="C26" s="11">
        <v>0</v>
      </c>
      <c r="D26" s="11">
        <v>987396</v>
      </c>
      <c r="E26" s="11">
        <v>3</v>
      </c>
    </row>
    <row r="27" spans="1:5" x14ac:dyDescent="0.25">
      <c r="A27" s="11" t="s">
        <v>441</v>
      </c>
      <c r="B27" s="11">
        <v>14724073</v>
      </c>
      <c r="C27" s="11">
        <v>4858648</v>
      </c>
      <c r="D27" s="11">
        <v>9865425</v>
      </c>
      <c r="E27" s="11">
        <v>10244605</v>
      </c>
    </row>
    <row r="28" spans="1:5" x14ac:dyDescent="0.25">
      <c r="A28" s="11" t="s">
        <v>442</v>
      </c>
      <c r="B28" s="11">
        <v>12975231</v>
      </c>
      <c r="C28" s="11">
        <v>3422094</v>
      </c>
      <c r="D28" s="11">
        <v>9553137</v>
      </c>
      <c r="E28" s="11">
        <v>9890695</v>
      </c>
    </row>
    <row r="29" spans="1:5" x14ac:dyDescent="0.25">
      <c r="A29" s="11" t="s">
        <v>443</v>
      </c>
      <c r="B29" s="11">
        <v>12062872</v>
      </c>
      <c r="C29" s="11">
        <v>3422094</v>
      </c>
      <c r="D29" s="11">
        <v>8640778</v>
      </c>
      <c r="E29" s="11">
        <v>8881502</v>
      </c>
    </row>
    <row r="30" spans="1:5" x14ac:dyDescent="0.25">
      <c r="A30" s="11" t="s">
        <v>444</v>
      </c>
      <c r="B30" s="11">
        <v>798775</v>
      </c>
      <c r="C30" s="11">
        <v>0</v>
      </c>
      <c r="D30" s="11">
        <v>798775</v>
      </c>
      <c r="E30" s="11">
        <v>804394</v>
      </c>
    </row>
    <row r="31" spans="1:5" x14ac:dyDescent="0.25">
      <c r="A31" s="11" t="s">
        <v>445</v>
      </c>
      <c r="B31" s="11">
        <v>113584</v>
      </c>
      <c r="C31" s="11">
        <v>0</v>
      </c>
      <c r="D31" s="11">
        <v>113584</v>
      </c>
      <c r="E31" s="11">
        <v>204799</v>
      </c>
    </row>
    <row r="32" spans="1:5" x14ac:dyDescent="0.25">
      <c r="A32" s="11" t="s">
        <v>446</v>
      </c>
      <c r="B32" s="11">
        <v>1748842</v>
      </c>
      <c r="C32" s="11">
        <v>1436554</v>
      </c>
      <c r="D32" s="11">
        <v>312288</v>
      </c>
      <c r="E32" s="11">
        <v>353910</v>
      </c>
    </row>
    <row r="33" spans="1:5" x14ac:dyDescent="0.25">
      <c r="A33" s="11" t="s">
        <v>447</v>
      </c>
      <c r="B33" s="11">
        <v>1748842</v>
      </c>
      <c r="C33" s="11">
        <v>1436554</v>
      </c>
      <c r="D33" s="11">
        <v>312288</v>
      </c>
      <c r="E33" s="11">
        <v>353910</v>
      </c>
    </row>
    <row r="34" spans="1:5" x14ac:dyDescent="0.25">
      <c r="A34" s="11" t="s">
        <v>448</v>
      </c>
      <c r="B34" s="11">
        <v>305146394</v>
      </c>
      <c r="C34" s="11">
        <v>23122012</v>
      </c>
      <c r="D34" s="11">
        <v>282024382</v>
      </c>
      <c r="E34" s="11">
        <v>253241038</v>
      </c>
    </row>
    <row r="35" spans="1:5" x14ac:dyDescent="0.25">
      <c r="A35" s="11" t="s">
        <v>449</v>
      </c>
      <c r="B35" s="11">
        <v>18367257</v>
      </c>
      <c r="C35" s="11">
        <v>0</v>
      </c>
      <c r="D35" s="11">
        <v>18367257</v>
      </c>
      <c r="E35" s="11">
        <v>25111739</v>
      </c>
    </row>
    <row r="36" spans="1:5" x14ac:dyDescent="0.25">
      <c r="A36" s="11" t="s">
        <v>450</v>
      </c>
      <c r="B36" s="11">
        <v>323513651</v>
      </c>
      <c r="C36" s="11">
        <v>23122012</v>
      </c>
      <c r="D36" s="11">
        <v>300391639</v>
      </c>
      <c r="E36" s="11">
        <v>278352777</v>
      </c>
    </row>
    <row r="37" spans="1:5" x14ac:dyDescent="0.25">
      <c r="A37" s="11" t="s">
        <v>451</v>
      </c>
      <c r="B37" s="11"/>
      <c r="C37" s="11"/>
      <c r="D37" s="11">
        <v>247619290</v>
      </c>
      <c r="E37" s="11">
        <v>218164817</v>
      </c>
    </row>
    <row r="38" spans="1:5" x14ac:dyDescent="0.25">
      <c r="A38" s="11" t="s">
        <v>452</v>
      </c>
      <c r="B38" s="11"/>
      <c r="C38" s="11"/>
      <c r="D38" s="11">
        <v>208000387</v>
      </c>
      <c r="E38" s="11">
        <v>186305446</v>
      </c>
    </row>
    <row r="39" spans="1:5" x14ac:dyDescent="0.25">
      <c r="A39" s="11" t="s">
        <v>453</v>
      </c>
      <c r="B39" s="11"/>
      <c r="C39" s="11"/>
      <c r="D39" s="11">
        <v>138498627</v>
      </c>
      <c r="E39" s="11">
        <v>125884354</v>
      </c>
    </row>
    <row r="40" spans="1:5" x14ac:dyDescent="0.25">
      <c r="A40" s="11" t="s">
        <v>454</v>
      </c>
      <c r="B40" s="11"/>
      <c r="C40" s="11"/>
      <c r="D40" s="11">
        <v>69501760</v>
      </c>
      <c r="E40" s="11">
        <v>60421092</v>
      </c>
    </row>
    <row r="41" spans="1:5" x14ac:dyDescent="0.25">
      <c r="A41" s="11" t="s">
        <v>455</v>
      </c>
      <c r="B41" s="11"/>
      <c r="C41" s="11"/>
      <c r="D41" s="11">
        <v>59632</v>
      </c>
      <c r="E41" s="11">
        <v>10512</v>
      </c>
    </row>
    <row r="42" spans="1:5" x14ac:dyDescent="0.25">
      <c r="A42" s="11" t="s">
        <v>456</v>
      </c>
      <c r="B42" s="11"/>
      <c r="C42" s="11"/>
      <c r="D42" s="11">
        <v>59623</v>
      </c>
      <c r="E42" s="11">
        <v>10510</v>
      </c>
    </row>
    <row r="43" spans="1:5" x14ac:dyDescent="0.25">
      <c r="A43" s="11" t="s">
        <v>457</v>
      </c>
      <c r="B43" s="11"/>
      <c r="C43" s="11"/>
      <c r="D43" s="11">
        <v>9</v>
      </c>
      <c r="E43" s="11">
        <v>2</v>
      </c>
    </row>
    <row r="44" spans="1:5" x14ac:dyDescent="0.25">
      <c r="A44" s="11" t="s">
        <v>458</v>
      </c>
      <c r="B44" s="11"/>
      <c r="C44" s="11"/>
      <c r="D44" s="11">
        <v>39559271</v>
      </c>
      <c r="E44" s="11">
        <v>31848859</v>
      </c>
    </row>
    <row r="45" spans="1:5" x14ac:dyDescent="0.25">
      <c r="A45" s="11" t="s">
        <v>459</v>
      </c>
      <c r="B45" s="11"/>
      <c r="C45" s="11"/>
      <c r="D45" s="11">
        <v>221774</v>
      </c>
      <c r="E45" s="11">
        <v>224939</v>
      </c>
    </row>
    <row r="46" spans="1:5" x14ac:dyDescent="0.25">
      <c r="A46" s="11" t="s">
        <v>460</v>
      </c>
      <c r="B46" s="11"/>
      <c r="C46" s="11"/>
      <c r="D46" s="11">
        <v>2371720</v>
      </c>
      <c r="E46" s="11">
        <v>811427</v>
      </c>
    </row>
    <row r="47" spans="1:5" x14ac:dyDescent="0.25">
      <c r="A47" s="11" t="s">
        <v>461</v>
      </c>
      <c r="B47" s="11"/>
      <c r="C47" s="11"/>
      <c r="D47" s="11">
        <v>179976</v>
      </c>
      <c r="E47" s="11">
        <v>168105</v>
      </c>
    </row>
    <row r="48" spans="1:5" x14ac:dyDescent="0.25">
      <c r="A48" s="11" t="s">
        <v>462</v>
      </c>
      <c r="B48" s="11"/>
      <c r="C48" s="11"/>
      <c r="D48" s="11">
        <v>24544</v>
      </c>
      <c r="E48" s="11">
        <v>34587</v>
      </c>
    </row>
    <row r="49" spans="1:5" x14ac:dyDescent="0.25">
      <c r="A49" s="11" t="s">
        <v>463</v>
      </c>
      <c r="B49" s="11"/>
      <c r="C49" s="11"/>
      <c r="D49" s="11">
        <v>803714</v>
      </c>
      <c r="E49" s="11">
        <v>781580</v>
      </c>
    </row>
    <row r="50" spans="1:5" x14ac:dyDescent="0.25">
      <c r="A50" s="11" t="s">
        <v>464</v>
      </c>
      <c r="B50" s="11"/>
      <c r="C50" s="11"/>
      <c r="D50" s="11">
        <v>1556331</v>
      </c>
      <c r="E50" s="11">
        <v>1342084</v>
      </c>
    </row>
    <row r="51" spans="1:5" x14ac:dyDescent="0.25">
      <c r="A51" s="11" t="s">
        <v>465</v>
      </c>
      <c r="B51" s="11"/>
      <c r="C51" s="11"/>
      <c r="D51" s="11">
        <v>31784063</v>
      </c>
      <c r="E51" s="11">
        <v>23955761</v>
      </c>
    </row>
    <row r="52" spans="1:5" x14ac:dyDescent="0.25">
      <c r="A52" s="11" t="s">
        <v>466</v>
      </c>
      <c r="B52" s="11"/>
      <c r="C52" s="11"/>
      <c r="D52" s="11">
        <v>19429</v>
      </c>
      <c r="E52" s="11">
        <v>18109</v>
      </c>
    </row>
    <row r="53" spans="1:5" x14ac:dyDescent="0.25">
      <c r="A53" s="11" t="s">
        <v>467</v>
      </c>
      <c r="B53" s="11"/>
      <c r="C53" s="11"/>
      <c r="D53" s="11">
        <v>1265843</v>
      </c>
      <c r="E53" s="11">
        <v>1070222</v>
      </c>
    </row>
    <row r="54" spans="1:5" x14ac:dyDescent="0.25">
      <c r="A54" s="11" t="s">
        <v>468</v>
      </c>
      <c r="B54" s="11"/>
      <c r="C54" s="11"/>
      <c r="D54" s="11">
        <v>1331877</v>
      </c>
      <c r="E54" s="11">
        <v>3442045</v>
      </c>
    </row>
    <row r="55" spans="1:5" x14ac:dyDescent="0.25">
      <c r="A55" s="11" t="s">
        <v>469</v>
      </c>
      <c r="B55" s="11"/>
      <c r="C55" s="11"/>
      <c r="D55" s="11">
        <v>34405092</v>
      </c>
      <c r="E55" s="11">
        <v>35076221</v>
      </c>
    </row>
    <row r="56" spans="1:5" x14ac:dyDescent="0.25">
      <c r="A56" s="11" t="s">
        <v>470</v>
      </c>
      <c r="B56" s="11"/>
      <c r="C56" s="11"/>
      <c r="D56" s="11">
        <v>30548000</v>
      </c>
      <c r="E56" s="11">
        <v>30548000</v>
      </c>
    </row>
    <row r="57" spans="1:5" x14ac:dyDescent="0.25">
      <c r="A57" s="11" t="s">
        <v>471</v>
      </c>
      <c r="B57" s="11"/>
      <c r="C57" s="11"/>
      <c r="D57" s="11">
        <v>30548000</v>
      </c>
      <c r="E57" s="11">
        <v>30548000</v>
      </c>
    </row>
    <row r="58" spans="1:5" x14ac:dyDescent="0.25">
      <c r="A58" s="11" t="s">
        <v>472</v>
      </c>
      <c r="B58" s="11"/>
      <c r="C58" s="11"/>
      <c r="D58" s="11">
        <v>3331484</v>
      </c>
      <c r="E58" s="11">
        <v>2959287</v>
      </c>
    </row>
    <row r="59" spans="1:5" x14ac:dyDescent="0.25">
      <c r="A59" s="11" t="s">
        <v>473</v>
      </c>
      <c r="B59" s="11"/>
      <c r="C59" s="11"/>
      <c r="D59" s="11">
        <v>344722</v>
      </c>
      <c r="E59" s="11">
        <v>296195</v>
      </c>
    </row>
    <row r="60" spans="1:5" x14ac:dyDescent="0.25">
      <c r="A60" s="11" t="s">
        <v>474</v>
      </c>
      <c r="B60" s="11"/>
      <c r="C60" s="11"/>
      <c r="D60" s="11">
        <v>2986762</v>
      </c>
      <c r="E60" s="11">
        <v>2663092</v>
      </c>
    </row>
    <row r="61" spans="1:5" x14ac:dyDescent="0.25">
      <c r="A61" s="11" t="s">
        <v>475</v>
      </c>
      <c r="B61" s="11"/>
      <c r="C61" s="11"/>
      <c r="D61" s="11">
        <v>525608</v>
      </c>
      <c r="E61" s="11">
        <v>1568934</v>
      </c>
    </row>
    <row r="62" spans="1:5" x14ac:dyDescent="0.25">
      <c r="A62" s="11" t="s">
        <v>476</v>
      </c>
      <c r="B62" s="11"/>
      <c r="C62" s="11"/>
      <c r="D62" s="11">
        <v>168871</v>
      </c>
      <c r="E62" s="11">
        <v>1294204</v>
      </c>
    </row>
    <row r="63" spans="1:5" x14ac:dyDescent="0.25">
      <c r="A63" s="11" t="s">
        <v>477</v>
      </c>
      <c r="B63" s="11"/>
      <c r="C63" s="11"/>
      <c r="D63" s="11">
        <v>356737</v>
      </c>
      <c r="E63" s="11">
        <v>274730</v>
      </c>
    </row>
    <row r="64" spans="1:5" x14ac:dyDescent="0.25">
      <c r="A64" s="11" t="s">
        <v>478</v>
      </c>
      <c r="B64" s="11"/>
      <c r="C64" s="11"/>
      <c r="D64" s="11">
        <v>282024382</v>
      </c>
      <c r="E64" s="11">
        <v>253241038</v>
      </c>
    </row>
    <row r="65" spans="1:5" x14ac:dyDescent="0.25">
      <c r="A65" s="11" t="s">
        <v>479</v>
      </c>
      <c r="B65" s="11"/>
      <c r="C65" s="11"/>
      <c r="D65" s="11">
        <v>18367257</v>
      </c>
      <c r="E65" s="11">
        <v>25111739</v>
      </c>
    </row>
    <row r="66" spans="1:5" x14ac:dyDescent="0.25">
      <c r="A66" s="11" t="s">
        <v>480</v>
      </c>
      <c r="B66" s="11"/>
      <c r="C66" s="11"/>
      <c r="D66" s="11">
        <v>300391639</v>
      </c>
      <c r="E66" s="11">
        <v>278352777</v>
      </c>
    </row>
    <row r="67" spans="1:5" x14ac:dyDescent="0.25">
      <c r="A67" s="11" t="s">
        <v>481</v>
      </c>
      <c r="B67" s="11"/>
      <c r="C67" s="11"/>
      <c r="D67" s="11">
        <v>8723247</v>
      </c>
      <c r="E67" s="11">
        <v>8416619</v>
      </c>
    </row>
    <row r="68" spans="1:5" x14ac:dyDescent="0.25">
      <c r="A68" s="11" t="s">
        <v>482</v>
      </c>
      <c r="B68" s="11"/>
      <c r="C68" s="11"/>
      <c r="D68" s="11">
        <v>8633232</v>
      </c>
      <c r="E68" s="11">
        <v>8277927</v>
      </c>
    </row>
    <row r="69" spans="1:5" x14ac:dyDescent="0.25">
      <c r="A69" s="11" t="s">
        <v>483</v>
      </c>
      <c r="B69" s="11"/>
      <c r="C69" s="11"/>
      <c r="D69" s="11">
        <v>90015</v>
      </c>
      <c r="E69" s="11">
        <v>138692</v>
      </c>
    </row>
    <row r="70" spans="1:5" x14ac:dyDescent="0.25">
      <c r="A70" s="11" t="s">
        <v>484</v>
      </c>
      <c r="B70" s="11"/>
      <c r="C70" s="11"/>
      <c r="D70" s="11">
        <v>3747306</v>
      </c>
      <c r="E70" s="11">
        <v>3256768</v>
      </c>
    </row>
    <row r="71" spans="1:5" x14ac:dyDescent="0.25">
      <c r="A71" s="11" t="s">
        <v>485</v>
      </c>
      <c r="B71" s="11"/>
      <c r="C71" s="11"/>
      <c r="D71" s="11">
        <v>2226417</v>
      </c>
      <c r="E71" s="11">
        <v>2010718</v>
      </c>
    </row>
    <row r="72" spans="1:5" x14ac:dyDescent="0.25">
      <c r="A72" s="11" t="s">
        <v>486</v>
      </c>
      <c r="B72" s="11"/>
      <c r="C72" s="11"/>
      <c r="D72" s="11">
        <v>1520889</v>
      </c>
      <c r="E72" s="11">
        <v>1246050</v>
      </c>
    </row>
    <row r="73" spans="1:5" x14ac:dyDescent="0.25">
      <c r="A73" s="11" t="s">
        <v>487</v>
      </c>
      <c r="B73" s="11"/>
      <c r="C73" s="11"/>
      <c r="D73" s="11">
        <v>4975941</v>
      </c>
      <c r="E73" s="11">
        <v>5159851</v>
      </c>
    </row>
    <row r="74" spans="1:5" x14ac:dyDescent="0.25">
      <c r="A74" s="11" t="s">
        <v>488</v>
      </c>
      <c r="B74" s="11"/>
      <c r="C74" s="11"/>
      <c r="D74" s="11">
        <v>2491073</v>
      </c>
      <c r="E74" s="11">
        <v>2523240</v>
      </c>
    </row>
    <row r="75" spans="1:5" x14ac:dyDescent="0.25">
      <c r="A75" s="11" t="s">
        <v>489</v>
      </c>
      <c r="B75" s="11"/>
      <c r="C75" s="11"/>
      <c r="D75" s="11">
        <v>336751</v>
      </c>
      <c r="E75" s="11">
        <v>333856</v>
      </c>
    </row>
    <row r="76" spans="1:5" x14ac:dyDescent="0.25">
      <c r="A76" s="11" t="s">
        <v>490</v>
      </c>
      <c r="B76" s="11"/>
      <c r="C76" s="11"/>
      <c r="D76" s="11">
        <v>947406</v>
      </c>
      <c r="E76" s="11">
        <v>956252</v>
      </c>
    </row>
    <row r="77" spans="1:5" x14ac:dyDescent="0.25">
      <c r="A77" s="11" t="s">
        <v>491</v>
      </c>
      <c r="B77" s="11"/>
      <c r="C77" s="11"/>
      <c r="D77" s="11">
        <v>1206916</v>
      </c>
      <c r="E77" s="11">
        <v>1233132</v>
      </c>
    </row>
    <row r="78" spans="1:5" x14ac:dyDescent="0.25">
      <c r="A78" s="11" t="s">
        <v>492</v>
      </c>
      <c r="B78" s="11"/>
      <c r="C78" s="11"/>
      <c r="D78" s="11">
        <v>461259</v>
      </c>
      <c r="E78" s="11">
        <v>445071</v>
      </c>
    </row>
    <row r="79" spans="1:5" x14ac:dyDescent="0.25">
      <c r="A79" s="11" t="s">
        <v>493</v>
      </c>
      <c r="B79" s="11"/>
      <c r="C79" s="11"/>
      <c r="D79" s="11">
        <v>98293</v>
      </c>
      <c r="E79" s="11">
        <v>115701</v>
      </c>
    </row>
    <row r="80" spans="1:5" x14ac:dyDescent="0.25">
      <c r="A80" s="11" t="s">
        <v>494</v>
      </c>
      <c r="B80" s="11"/>
      <c r="C80" s="11"/>
      <c r="D80" s="11">
        <v>11189</v>
      </c>
      <c r="E80" s="11">
        <v>11854</v>
      </c>
    </row>
    <row r="81" spans="1:5" x14ac:dyDescent="0.25">
      <c r="A81" s="11" t="s">
        <v>495</v>
      </c>
      <c r="B81" s="11"/>
      <c r="C81" s="11"/>
      <c r="D81" s="11">
        <v>351777</v>
      </c>
      <c r="E81" s="11">
        <v>317516</v>
      </c>
    </row>
    <row r="82" spans="1:5" x14ac:dyDescent="0.25">
      <c r="A82" s="11" t="s">
        <v>496</v>
      </c>
      <c r="B82" s="11"/>
      <c r="C82" s="11"/>
      <c r="D82" s="11">
        <v>2029814</v>
      </c>
      <c r="E82" s="11">
        <v>2078169</v>
      </c>
    </row>
    <row r="83" spans="1:5" x14ac:dyDescent="0.25">
      <c r="A83" s="11" t="s">
        <v>497</v>
      </c>
      <c r="B83" s="11"/>
      <c r="C83" s="11"/>
      <c r="D83" s="11">
        <v>0</v>
      </c>
      <c r="E83" s="11">
        <v>663</v>
      </c>
    </row>
    <row r="84" spans="1:5" x14ac:dyDescent="0.25">
      <c r="A84" s="11" t="s">
        <v>1898</v>
      </c>
      <c r="B84" s="11"/>
      <c r="C84" s="11"/>
      <c r="D84" s="11">
        <v>0</v>
      </c>
      <c r="E84" s="11">
        <v>663</v>
      </c>
    </row>
    <row r="85" spans="1:5" x14ac:dyDescent="0.25">
      <c r="A85" s="11" t="s">
        <v>498</v>
      </c>
      <c r="B85" s="11"/>
      <c r="C85" s="11"/>
      <c r="D85" s="11">
        <v>0</v>
      </c>
      <c r="E85" s="11">
        <v>663</v>
      </c>
    </row>
    <row r="86" spans="1:5" x14ac:dyDescent="0.25">
      <c r="A86" s="11" t="s">
        <v>499</v>
      </c>
      <c r="B86" s="11"/>
      <c r="C86" s="11"/>
      <c r="D86" s="11">
        <v>7005755</v>
      </c>
      <c r="E86" s="11">
        <v>7238683</v>
      </c>
    </row>
    <row r="87" spans="1:5" x14ac:dyDescent="0.25">
      <c r="A87" s="11" t="s">
        <v>500</v>
      </c>
      <c r="B87" s="11"/>
      <c r="C87" s="11"/>
      <c r="D87" s="11">
        <v>171721</v>
      </c>
      <c r="E87" s="11">
        <v>19589</v>
      </c>
    </row>
    <row r="88" spans="1:5" x14ac:dyDescent="0.25">
      <c r="A88" s="11" t="s">
        <v>501</v>
      </c>
      <c r="B88" s="11"/>
      <c r="C88" s="11"/>
      <c r="D88" s="11">
        <v>1098</v>
      </c>
      <c r="E88" s="11">
        <v>3304</v>
      </c>
    </row>
    <row r="89" spans="1:5" x14ac:dyDescent="0.25">
      <c r="A89" s="11" t="s">
        <v>502</v>
      </c>
      <c r="B89" s="11"/>
      <c r="C89" s="11"/>
      <c r="D89" s="11">
        <v>41</v>
      </c>
      <c r="E89" s="11">
        <v>7</v>
      </c>
    </row>
    <row r="90" spans="1:5" x14ac:dyDescent="0.25">
      <c r="A90" s="11" t="s">
        <v>503</v>
      </c>
      <c r="B90" s="11"/>
      <c r="C90" s="11"/>
      <c r="D90" s="11">
        <v>170582</v>
      </c>
      <c r="E90" s="11">
        <v>16278</v>
      </c>
    </row>
    <row r="91" spans="1:5" x14ac:dyDescent="0.25">
      <c r="A91" s="11" t="s">
        <v>504</v>
      </c>
      <c r="B91" s="11"/>
      <c r="C91" s="11"/>
      <c r="D91" s="11">
        <v>6877746</v>
      </c>
      <c r="E91" s="11">
        <v>6579720</v>
      </c>
    </row>
    <row r="92" spans="1:5" x14ac:dyDescent="0.25">
      <c r="A92" s="11" t="s">
        <v>505</v>
      </c>
      <c r="B92" s="11"/>
      <c r="C92" s="11"/>
      <c r="D92" s="11">
        <v>2426121</v>
      </c>
      <c r="E92" s="11">
        <v>2335317</v>
      </c>
    </row>
    <row r="93" spans="1:5" x14ac:dyDescent="0.25">
      <c r="A93" s="11" t="s">
        <v>506</v>
      </c>
      <c r="B93" s="11"/>
      <c r="C93" s="11"/>
      <c r="D93" s="11">
        <v>15176</v>
      </c>
      <c r="E93" s="11">
        <v>68188</v>
      </c>
    </row>
    <row r="94" spans="1:5" x14ac:dyDescent="0.25">
      <c r="A94" s="11" t="s">
        <v>1941</v>
      </c>
      <c r="B94" s="11"/>
      <c r="C94" s="11"/>
      <c r="D94" s="11">
        <v>7000</v>
      </c>
      <c r="E94" s="11">
        <v>0</v>
      </c>
    </row>
    <row r="95" spans="1:5" x14ac:dyDescent="0.25">
      <c r="A95" s="11" t="s">
        <v>507</v>
      </c>
      <c r="B95" s="11"/>
      <c r="C95" s="11"/>
      <c r="D95" s="11">
        <v>2064986</v>
      </c>
      <c r="E95" s="11">
        <v>2077251</v>
      </c>
    </row>
    <row r="96" spans="1:5" x14ac:dyDescent="0.25">
      <c r="A96" s="11" t="s">
        <v>1899</v>
      </c>
      <c r="B96" s="11"/>
      <c r="C96" s="11"/>
      <c r="D96" s="11">
        <v>0</v>
      </c>
      <c r="E96" s="11">
        <v>440</v>
      </c>
    </row>
    <row r="97" spans="1:5" x14ac:dyDescent="0.25">
      <c r="A97" s="11" t="s">
        <v>508</v>
      </c>
      <c r="B97" s="11"/>
      <c r="C97" s="11"/>
      <c r="D97" s="11">
        <v>105922</v>
      </c>
      <c r="E97" s="11">
        <v>105551</v>
      </c>
    </row>
    <row r="98" spans="1:5" x14ac:dyDescent="0.25">
      <c r="A98" s="11" t="s">
        <v>509</v>
      </c>
      <c r="B98" s="11"/>
      <c r="C98" s="11"/>
      <c r="D98" s="11">
        <v>189671</v>
      </c>
      <c r="E98" s="11">
        <v>172687</v>
      </c>
    </row>
    <row r="99" spans="1:5" x14ac:dyDescent="0.25">
      <c r="A99" s="11" t="s">
        <v>510</v>
      </c>
      <c r="B99" s="11"/>
      <c r="C99" s="11"/>
      <c r="D99" s="11">
        <v>758857</v>
      </c>
      <c r="E99" s="11">
        <v>694250</v>
      </c>
    </row>
    <row r="100" spans="1:5" x14ac:dyDescent="0.25">
      <c r="A100" s="11" t="s">
        <v>511</v>
      </c>
      <c r="B100" s="11"/>
      <c r="C100" s="11"/>
      <c r="D100" s="11">
        <v>603308</v>
      </c>
      <c r="E100" s="11">
        <v>288402</v>
      </c>
    </row>
    <row r="101" spans="1:5" x14ac:dyDescent="0.25">
      <c r="A101" s="11" t="s">
        <v>512</v>
      </c>
      <c r="B101" s="11"/>
      <c r="C101" s="11"/>
      <c r="D101" s="11">
        <v>642694</v>
      </c>
      <c r="E101" s="11">
        <v>793291</v>
      </c>
    </row>
    <row r="102" spans="1:5" x14ac:dyDescent="0.25">
      <c r="A102" s="11" t="s">
        <v>513</v>
      </c>
      <c r="B102" s="11"/>
      <c r="C102" s="11"/>
      <c r="D102" s="11">
        <v>63806</v>
      </c>
      <c r="E102" s="11">
        <v>43863</v>
      </c>
    </row>
    <row r="103" spans="1:5" x14ac:dyDescent="0.25">
      <c r="A103" s="11" t="s">
        <v>514</v>
      </c>
      <c r="B103" s="11"/>
      <c r="C103" s="11"/>
      <c r="D103" s="11">
        <v>205</v>
      </c>
      <c r="E103" s="11">
        <v>480</v>
      </c>
    </row>
    <row r="104" spans="1:5" x14ac:dyDescent="0.25">
      <c r="A104" s="11" t="s">
        <v>515</v>
      </c>
      <c r="B104" s="11"/>
      <c r="C104" s="11"/>
      <c r="D104" s="11">
        <v>6706025</v>
      </c>
      <c r="E104" s="11">
        <v>6560131</v>
      </c>
    </row>
    <row r="105" spans="1:5" x14ac:dyDescent="0.25">
      <c r="A105" s="11" t="s">
        <v>516</v>
      </c>
      <c r="B105" s="11"/>
      <c r="C105" s="11"/>
      <c r="D105" s="11">
        <v>177597</v>
      </c>
      <c r="E105" s="11">
        <v>317292</v>
      </c>
    </row>
    <row r="106" spans="1:5" x14ac:dyDescent="0.25">
      <c r="A106" s="11" t="s">
        <v>517</v>
      </c>
      <c r="B106" s="11"/>
      <c r="C106" s="11"/>
      <c r="D106" s="11">
        <v>39120</v>
      </c>
      <c r="E106" s="11">
        <v>239086</v>
      </c>
    </row>
    <row r="107" spans="1:5" x14ac:dyDescent="0.25">
      <c r="A107" s="11" t="s">
        <v>518</v>
      </c>
      <c r="B107" s="11"/>
      <c r="C107" s="11"/>
      <c r="D107" s="11">
        <v>25512</v>
      </c>
      <c r="E107" s="11">
        <v>13079</v>
      </c>
    </row>
    <row r="108" spans="1:5" x14ac:dyDescent="0.25">
      <c r="A108" s="11" t="s">
        <v>519</v>
      </c>
      <c r="B108" s="11"/>
      <c r="C108" s="11"/>
      <c r="D108" s="11">
        <v>112965</v>
      </c>
      <c r="E108" s="11">
        <v>65127</v>
      </c>
    </row>
    <row r="109" spans="1:5" x14ac:dyDescent="0.25">
      <c r="A109" s="11" t="s">
        <v>520</v>
      </c>
      <c r="B109" s="11"/>
      <c r="C109" s="11"/>
      <c r="D109" s="11">
        <v>172884</v>
      </c>
      <c r="E109" s="11">
        <v>186470</v>
      </c>
    </row>
    <row r="110" spans="1:5" x14ac:dyDescent="0.25">
      <c r="A110" s="11" t="s">
        <v>521</v>
      </c>
      <c r="B110" s="11"/>
      <c r="C110" s="11"/>
      <c r="D110" s="11">
        <v>0</v>
      </c>
      <c r="E110" s="11">
        <v>876</v>
      </c>
    </row>
    <row r="111" spans="1:5" x14ac:dyDescent="0.25">
      <c r="A111" s="11" t="s">
        <v>1942</v>
      </c>
      <c r="B111" s="11"/>
      <c r="C111" s="11"/>
      <c r="D111" s="11">
        <v>2907</v>
      </c>
      <c r="E111" s="11">
        <v>0</v>
      </c>
    </row>
    <row r="112" spans="1:5" x14ac:dyDescent="0.25">
      <c r="A112" s="11" t="s">
        <v>522</v>
      </c>
      <c r="B112" s="11"/>
      <c r="C112" s="11"/>
      <c r="D112" s="11">
        <v>123508</v>
      </c>
      <c r="E112" s="11">
        <v>22391</v>
      </c>
    </row>
    <row r="113" spans="1:5" x14ac:dyDescent="0.25">
      <c r="A113" s="11" t="s">
        <v>523</v>
      </c>
      <c r="B113" s="11"/>
      <c r="C113" s="11"/>
      <c r="D113" s="11">
        <v>46469</v>
      </c>
      <c r="E113" s="11">
        <v>163203</v>
      </c>
    </row>
    <row r="114" spans="1:5" x14ac:dyDescent="0.25">
      <c r="A114" s="11" t="s">
        <v>524</v>
      </c>
      <c r="B114" s="11"/>
      <c r="C114" s="11"/>
      <c r="D114" s="11">
        <v>0</v>
      </c>
      <c r="E114" s="11">
        <v>130822</v>
      </c>
    </row>
    <row r="115" spans="1:5" x14ac:dyDescent="0.25">
      <c r="A115" s="11" t="s">
        <v>1943</v>
      </c>
      <c r="B115" s="11"/>
      <c r="C115" s="11"/>
      <c r="D115" s="11">
        <v>-4713</v>
      </c>
      <c r="E115" s="11">
        <v>0</v>
      </c>
    </row>
    <row r="116" spans="1:5" x14ac:dyDescent="0.25">
      <c r="A116" s="11" t="s">
        <v>525</v>
      </c>
      <c r="B116" s="11"/>
      <c r="C116" s="11"/>
      <c r="D116" s="11">
        <v>304443</v>
      </c>
      <c r="E116" s="11">
        <v>809374</v>
      </c>
    </row>
    <row r="117" spans="1:5" x14ac:dyDescent="0.25">
      <c r="A117" s="11" t="s">
        <v>526</v>
      </c>
      <c r="B117" s="11"/>
      <c r="C117" s="11"/>
      <c r="D117" s="11">
        <v>353615</v>
      </c>
      <c r="E117" s="11">
        <v>189952</v>
      </c>
    </row>
    <row r="118" spans="1:5" x14ac:dyDescent="0.25">
      <c r="A118" s="11" t="s">
        <v>527</v>
      </c>
      <c r="B118" s="11"/>
      <c r="C118" s="11"/>
      <c r="D118" s="11">
        <v>13898</v>
      </c>
      <c r="E118" s="11">
        <v>0</v>
      </c>
    </row>
    <row r="119" spans="1:5" x14ac:dyDescent="0.25">
      <c r="A119" s="11" t="s">
        <v>528</v>
      </c>
      <c r="B119" s="11"/>
      <c r="C119" s="11"/>
      <c r="D119" s="11">
        <v>339717</v>
      </c>
      <c r="E119" s="11">
        <v>189952</v>
      </c>
    </row>
    <row r="120" spans="1:5" x14ac:dyDescent="0.25">
      <c r="A120" s="11" t="s">
        <v>529</v>
      </c>
      <c r="B120" s="11"/>
      <c r="C120" s="11"/>
      <c r="D120" s="11">
        <v>341924</v>
      </c>
      <c r="E120" s="11">
        <v>242360</v>
      </c>
    </row>
    <row r="121" spans="1:5" x14ac:dyDescent="0.25">
      <c r="A121" s="11" t="s">
        <v>530</v>
      </c>
      <c r="B121" s="11"/>
      <c r="C121" s="11"/>
      <c r="D121" s="11">
        <v>0</v>
      </c>
      <c r="E121" s="11">
        <v>15529</v>
      </c>
    </row>
    <row r="122" spans="1:5" x14ac:dyDescent="0.25">
      <c r="A122" s="11" t="s">
        <v>531</v>
      </c>
      <c r="B122" s="11"/>
      <c r="C122" s="11"/>
      <c r="D122" s="11">
        <v>341924</v>
      </c>
      <c r="E122" s="11">
        <v>226831</v>
      </c>
    </row>
    <row r="123" spans="1:5" x14ac:dyDescent="0.25">
      <c r="A123" s="11" t="s">
        <v>532</v>
      </c>
      <c r="B123" s="11"/>
      <c r="C123" s="11"/>
      <c r="D123" s="11">
        <v>-11691</v>
      </c>
      <c r="E123" s="11">
        <v>52408</v>
      </c>
    </row>
    <row r="124" spans="1:5" x14ac:dyDescent="0.25">
      <c r="A124" s="11" t="s">
        <v>533</v>
      </c>
      <c r="B124" s="11"/>
      <c r="C124" s="11"/>
      <c r="D124" s="11">
        <v>316134</v>
      </c>
      <c r="E124" s="11">
        <v>756966</v>
      </c>
    </row>
    <row r="125" spans="1:5" x14ac:dyDescent="0.25">
      <c r="A125" s="11" t="s">
        <v>534</v>
      </c>
      <c r="B125" s="11"/>
      <c r="C125" s="11"/>
      <c r="D125" s="11">
        <v>147263</v>
      </c>
      <c r="E125" s="11">
        <v>207525</v>
      </c>
    </row>
    <row r="126" spans="1:5" x14ac:dyDescent="0.25">
      <c r="A126" s="11" t="s">
        <v>535</v>
      </c>
      <c r="B126" s="11"/>
      <c r="C126" s="11"/>
      <c r="D126" s="11">
        <v>168871</v>
      </c>
      <c r="E126" s="11">
        <v>549441</v>
      </c>
    </row>
    <row r="127" spans="1:5" x14ac:dyDescent="0.25">
      <c r="A127" s="11" t="s">
        <v>536</v>
      </c>
      <c r="B127" s="11"/>
      <c r="C127" s="11"/>
      <c r="D127" s="11">
        <v>168871</v>
      </c>
      <c r="E127" s="11">
        <v>549441</v>
      </c>
    </row>
    <row r="128" spans="1:5" x14ac:dyDescent="0.25">
      <c r="A128" s="11" t="s">
        <v>537</v>
      </c>
      <c r="B128" s="11"/>
      <c r="C128" s="11"/>
      <c r="D128" s="11">
        <v>161114</v>
      </c>
      <c r="E128" s="11">
        <v>524202</v>
      </c>
    </row>
    <row r="129" spans="1:5" x14ac:dyDescent="0.25">
      <c r="A129" s="11" t="s">
        <v>538</v>
      </c>
      <c r="B129" s="11"/>
      <c r="C129" s="11"/>
      <c r="D129" s="11">
        <v>7757</v>
      </c>
      <c r="E129" s="11">
        <v>25239</v>
      </c>
    </row>
    <row r="130" spans="1:5" x14ac:dyDescent="0.25">
      <c r="A130" s="11" t="s">
        <v>539</v>
      </c>
      <c r="B130" s="11"/>
      <c r="C130" s="11"/>
      <c r="D130" s="11">
        <v>18</v>
      </c>
      <c r="E130" s="11">
        <v>59</v>
      </c>
    </row>
    <row r="131" spans="1:5" x14ac:dyDescent="0.25">
      <c r="A131" s="11" t="s">
        <v>540</v>
      </c>
      <c r="B131" s="11"/>
      <c r="C131" s="11"/>
      <c r="D131" s="11">
        <v>180</v>
      </c>
      <c r="E131" s="11">
        <v>177</v>
      </c>
    </row>
    <row r="132" spans="1:5" x14ac:dyDescent="0.25">
      <c r="A132" s="11" t="s">
        <v>541</v>
      </c>
      <c r="B132" s="11"/>
      <c r="C132" s="11"/>
      <c r="D132" s="11">
        <v>187</v>
      </c>
      <c r="E132" s="11">
        <v>183</v>
      </c>
    </row>
    <row r="133" spans="1:5" x14ac:dyDescent="0.25">
      <c r="A133" s="93" t="s">
        <v>542</v>
      </c>
      <c r="B133" s="93"/>
      <c r="C133" s="93"/>
      <c r="D133" s="93">
        <v>11444</v>
      </c>
      <c r="E133" s="93">
        <v>9411</v>
      </c>
    </row>
    <row r="134" spans="1:5" x14ac:dyDescent="0.25">
      <c r="A134" s="93" t="s">
        <v>543</v>
      </c>
      <c r="B134" s="93"/>
      <c r="C134" s="93"/>
      <c r="D134" s="93">
        <v>3849</v>
      </c>
      <c r="E134" s="93">
        <v>3447</v>
      </c>
    </row>
    <row r="135" spans="1:5" x14ac:dyDescent="0.25">
      <c r="A135" s="93" t="s">
        <v>544</v>
      </c>
      <c r="B135" s="93"/>
      <c r="C135" s="93"/>
      <c r="D135" s="93">
        <v>20</v>
      </c>
      <c r="E135" s="93">
        <v>239</v>
      </c>
    </row>
    <row r="136" spans="1:5" x14ac:dyDescent="0.25">
      <c r="A136" s="93" t="s">
        <v>545</v>
      </c>
      <c r="B136" s="93"/>
      <c r="C136" s="93"/>
      <c r="D136" s="93">
        <v>5546</v>
      </c>
      <c r="E136" s="93">
        <v>4605</v>
      </c>
    </row>
    <row r="137" spans="1:5" x14ac:dyDescent="0.25">
      <c r="A137" s="93" t="s">
        <v>546</v>
      </c>
      <c r="B137" s="93"/>
      <c r="C137" s="93"/>
      <c r="D137" s="93">
        <v>-2191</v>
      </c>
      <c r="E137" s="93">
        <v>-398</v>
      </c>
    </row>
    <row r="138" spans="1:5" x14ac:dyDescent="0.25">
      <c r="A138" s="93" t="s">
        <v>547</v>
      </c>
      <c r="B138" s="93"/>
      <c r="C138" s="93"/>
      <c r="D138" s="93">
        <v>-14425</v>
      </c>
      <c r="E138" s="93">
        <v>-29507</v>
      </c>
    </row>
    <row r="139" spans="1:5" x14ac:dyDescent="0.25">
      <c r="A139" s="93" t="s">
        <v>548</v>
      </c>
      <c r="B139" s="93"/>
      <c r="C139" s="93"/>
      <c r="D139" s="93">
        <v>25577</v>
      </c>
      <c r="E139" s="93">
        <v>10640</v>
      </c>
    </row>
    <row r="140" spans="1:5" x14ac:dyDescent="0.25">
      <c r="A140" s="93" t="s">
        <v>549</v>
      </c>
      <c r="B140" s="93"/>
      <c r="C140" s="93"/>
      <c r="D140" s="93">
        <v>69</v>
      </c>
      <c r="E140" s="93">
        <v>543</v>
      </c>
    </row>
    <row r="141" spans="1:5" x14ac:dyDescent="0.25">
      <c r="A141" s="93" t="s">
        <v>550</v>
      </c>
      <c r="B141" s="93"/>
      <c r="C141" s="93"/>
      <c r="D141" s="93">
        <v>10961</v>
      </c>
      <c r="E141" s="93">
        <v>-18210</v>
      </c>
    </row>
    <row r="142" spans="1:5" x14ac:dyDescent="0.25">
      <c r="A142" s="93" t="s">
        <v>551</v>
      </c>
      <c r="B142" s="93"/>
      <c r="C142" s="93"/>
      <c r="D142" s="93">
        <v>26</v>
      </c>
      <c r="E142" s="93">
        <v>13</v>
      </c>
    </row>
    <row r="143" spans="1:5" x14ac:dyDescent="0.25">
      <c r="A143" s="93" t="s">
        <v>552</v>
      </c>
      <c r="B143" s="93"/>
      <c r="C143" s="93"/>
      <c r="D143" s="93">
        <v>-41</v>
      </c>
      <c r="E143" s="93">
        <v>-83</v>
      </c>
    </row>
    <row r="144" spans="1:5" x14ac:dyDescent="0.25">
      <c r="A144" s="93" t="s">
        <v>553</v>
      </c>
      <c r="B144" s="93"/>
      <c r="C144" s="93"/>
      <c r="D144" s="93">
        <v>-409</v>
      </c>
      <c r="E144" s="93">
        <v>-223</v>
      </c>
    </row>
    <row r="145" spans="1:5" x14ac:dyDescent="0.25">
      <c r="A145" s="93" t="s">
        <v>554</v>
      </c>
      <c r="B145" s="93"/>
      <c r="C145" s="93"/>
      <c r="D145" s="93">
        <v>-995</v>
      </c>
      <c r="E145" s="93">
        <v>15</v>
      </c>
    </row>
    <row r="146" spans="1:5" x14ac:dyDescent="0.25">
      <c r="A146" s="93" t="s">
        <v>1999</v>
      </c>
      <c r="B146" s="93"/>
      <c r="C146" s="93"/>
      <c r="D146" s="93">
        <v>150</v>
      </c>
      <c r="E146" s="93">
        <v>0</v>
      </c>
    </row>
    <row r="147" spans="1:5" x14ac:dyDescent="0.25">
      <c r="A147" s="93" t="s">
        <v>555</v>
      </c>
      <c r="B147" s="93"/>
      <c r="C147" s="93"/>
      <c r="D147" s="93">
        <v>-1269</v>
      </c>
      <c r="E147" s="93">
        <v>-278</v>
      </c>
    </row>
    <row r="148" spans="1:5" x14ac:dyDescent="0.25">
      <c r="A148" s="93" t="s">
        <v>556</v>
      </c>
      <c r="B148" s="93"/>
      <c r="C148" s="93"/>
      <c r="D148" s="93">
        <v>3053</v>
      </c>
      <c r="E148" s="93">
        <v>6937</v>
      </c>
    </row>
    <row r="149" spans="1:5" x14ac:dyDescent="0.25">
      <c r="A149" s="93" t="s">
        <v>557</v>
      </c>
      <c r="B149" s="93"/>
      <c r="C149" s="93"/>
      <c r="D149" s="93">
        <v>1268</v>
      </c>
      <c r="E149" s="93">
        <v>1265</v>
      </c>
    </row>
    <row r="150" spans="1:5" x14ac:dyDescent="0.25">
      <c r="A150" s="93" t="s">
        <v>558</v>
      </c>
      <c r="B150" s="93"/>
      <c r="C150" s="93"/>
      <c r="D150" s="93">
        <v>0</v>
      </c>
      <c r="E150" s="93">
        <v>601</v>
      </c>
    </row>
    <row r="151" spans="1:5" x14ac:dyDescent="0.25">
      <c r="A151" s="93" t="s">
        <v>559</v>
      </c>
      <c r="B151" s="93"/>
      <c r="C151" s="93"/>
      <c r="D151" s="93">
        <v>1785</v>
      </c>
      <c r="E151" s="93">
        <v>5071</v>
      </c>
    </row>
    <row r="152" spans="1:5" x14ac:dyDescent="0.25">
      <c r="A152" s="93" t="s">
        <v>560</v>
      </c>
      <c r="B152" s="93"/>
      <c r="C152" s="93"/>
      <c r="D152" s="93">
        <v>11477</v>
      </c>
      <c r="E152" s="93">
        <v>-13417</v>
      </c>
    </row>
    <row r="153" spans="1:5" x14ac:dyDescent="0.25">
      <c r="A153" s="93" t="s">
        <v>561</v>
      </c>
      <c r="B153" s="93"/>
      <c r="C153" s="93"/>
      <c r="D153" s="93">
        <v>37823</v>
      </c>
      <c r="E153" s="93">
        <v>55333</v>
      </c>
    </row>
    <row r="154" spans="1:5" x14ac:dyDescent="0.25">
      <c r="A154" s="93" t="s">
        <v>562</v>
      </c>
      <c r="B154" s="93"/>
      <c r="C154" s="93"/>
      <c r="D154" s="93">
        <v>-43</v>
      </c>
      <c r="E154" s="93">
        <v>23</v>
      </c>
    </row>
    <row r="155" spans="1:5" x14ac:dyDescent="0.25">
      <c r="A155" s="93" t="s">
        <v>563</v>
      </c>
      <c r="B155" s="93"/>
      <c r="C155" s="93"/>
      <c r="D155" s="93">
        <v>49257</v>
      </c>
      <c r="E155" s="93">
        <v>41939</v>
      </c>
    </row>
    <row r="156" spans="1:5" x14ac:dyDescent="0.25">
      <c r="A156" s="11" t="s">
        <v>564</v>
      </c>
      <c r="B156" s="11">
        <v>289181936</v>
      </c>
      <c r="C156" s="11">
        <v>53996032</v>
      </c>
      <c r="D156" s="11">
        <v>235185904</v>
      </c>
      <c r="E156" s="11">
        <v>227107965</v>
      </c>
    </row>
    <row r="157" spans="1:5" x14ac:dyDescent="0.25">
      <c r="A157" s="11" t="s">
        <v>565</v>
      </c>
      <c r="B157" s="11">
        <v>18807685</v>
      </c>
      <c r="C157" s="11">
        <v>7074906</v>
      </c>
      <c r="D157" s="11">
        <v>11732779</v>
      </c>
      <c r="E157" s="11">
        <v>15960237</v>
      </c>
    </row>
    <row r="158" spans="1:5" x14ac:dyDescent="0.25">
      <c r="A158" s="11" t="s">
        <v>566</v>
      </c>
      <c r="B158" s="11">
        <v>4242464</v>
      </c>
      <c r="C158" s="11">
        <v>0</v>
      </c>
      <c r="D158" s="11">
        <v>4242464</v>
      </c>
      <c r="E158" s="11">
        <v>3739673</v>
      </c>
    </row>
    <row r="159" spans="1:5" x14ac:dyDescent="0.25">
      <c r="A159" s="11" t="s">
        <v>567</v>
      </c>
      <c r="B159" s="11">
        <v>5552808</v>
      </c>
      <c r="C159" s="11">
        <v>1499543</v>
      </c>
      <c r="D159" s="11">
        <v>4053265</v>
      </c>
      <c r="E159" s="11">
        <v>3251498</v>
      </c>
    </row>
    <row r="160" spans="1:5" x14ac:dyDescent="0.25">
      <c r="A160" s="11" t="s">
        <v>568</v>
      </c>
      <c r="B160" s="11">
        <v>2416520</v>
      </c>
      <c r="C160" s="11">
        <v>0</v>
      </c>
      <c r="D160" s="11">
        <v>2416520</v>
      </c>
      <c r="E160" s="11">
        <v>8842317</v>
      </c>
    </row>
    <row r="161" spans="1:5" x14ac:dyDescent="0.25">
      <c r="A161" s="11" t="s">
        <v>569</v>
      </c>
      <c r="B161" s="11">
        <v>6595893</v>
      </c>
      <c r="C161" s="11">
        <v>5575363</v>
      </c>
      <c r="D161" s="11">
        <v>1020530</v>
      </c>
      <c r="E161" s="11">
        <v>126749</v>
      </c>
    </row>
    <row r="162" spans="1:5" x14ac:dyDescent="0.25">
      <c r="A162" s="11" t="s">
        <v>570</v>
      </c>
      <c r="B162" s="11">
        <v>27639533</v>
      </c>
      <c r="C162" s="11">
        <v>0</v>
      </c>
      <c r="D162" s="11">
        <v>27639533</v>
      </c>
      <c r="E162" s="11">
        <v>13838617</v>
      </c>
    </row>
    <row r="163" spans="1:5" x14ac:dyDescent="0.25">
      <c r="A163" s="11" t="s">
        <v>571</v>
      </c>
      <c r="B163" s="11">
        <v>27639533</v>
      </c>
      <c r="C163" s="11">
        <v>0</v>
      </c>
      <c r="D163" s="11">
        <v>27639533</v>
      </c>
      <c r="E163" s="11">
        <v>13838617</v>
      </c>
    </row>
    <row r="164" spans="1:5" x14ac:dyDescent="0.25">
      <c r="A164" s="11" t="s">
        <v>572</v>
      </c>
      <c r="B164" s="11">
        <v>6104810</v>
      </c>
      <c r="C164" s="11">
        <v>2327744</v>
      </c>
      <c r="D164" s="11">
        <v>3777066</v>
      </c>
      <c r="E164" s="11">
        <v>2715020</v>
      </c>
    </row>
    <row r="165" spans="1:5" x14ac:dyDescent="0.25">
      <c r="A165" s="11" t="s">
        <v>573</v>
      </c>
      <c r="B165" s="11">
        <v>5374869</v>
      </c>
      <c r="C165" s="11">
        <v>1760809</v>
      </c>
      <c r="D165" s="11">
        <v>3614060</v>
      </c>
      <c r="E165" s="11">
        <v>2554088</v>
      </c>
    </row>
    <row r="166" spans="1:5" x14ac:dyDescent="0.25">
      <c r="A166" s="11" t="s">
        <v>574</v>
      </c>
      <c r="B166" s="11">
        <v>729941</v>
      </c>
      <c r="C166" s="11">
        <v>566935</v>
      </c>
      <c r="D166" s="11">
        <v>163006</v>
      </c>
      <c r="E166" s="11">
        <v>160932</v>
      </c>
    </row>
    <row r="167" spans="1:5" x14ac:dyDescent="0.25">
      <c r="A167" s="11" t="s">
        <v>575</v>
      </c>
      <c r="B167" s="11">
        <v>186368449</v>
      </c>
      <c r="C167" s="11">
        <v>27897918</v>
      </c>
      <c r="D167" s="11">
        <v>158470531</v>
      </c>
      <c r="E167" s="11">
        <v>172988315</v>
      </c>
    </row>
    <row r="168" spans="1:5" x14ac:dyDescent="0.25">
      <c r="A168" s="11" t="s">
        <v>576</v>
      </c>
      <c r="B168" s="11">
        <v>38883285</v>
      </c>
      <c r="C168" s="11">
        <v>14812102</v>
      </c>
      <c r="D168" s="11">
        <v>24071183</v>
      </c>
      <c r="E168" s="11">
        <v>30213567</v>
      </c>
    </row>
    <row r="169" spans="1:5" x14ac:dyDescent="0.25">
      <c r="A169" s="11" t="s">
        <v>577</v>
      </c>
      <c r="B169" s="11">
        <v>130805331</v>
      </c>
      <c r="C169" s="11">
        <v>4838076</v>
      </c>
      <c r="D169" s="11">
        <v>125967255</v>
      </c>
      <c r="E169" s="11">
        <v>134246458</v>
      </c>
    </row>
    <row r="170" spans="1:5" x14ac:dyDescent="0.25">
      <c r="A170" s="11" t="s">
        <v>578</v>
      </c>
      <c r="B170" s="11">
        <v>16679833</v>
      </c>
      <c r="C170" s="11">
        <v>8247740</v>
      </c>
      <c r="D170" s="11">
        <v>8432093</v>
      </c>
      <c r="E170" s="11">
        <v>8528290</v>
      </c>
    </row>
    <row r="171" spans="1:5" x14ac:dyDescent="0.25">
      <c r="A171" s="11" t="s">
        <v>579</v>
      </c>
      <c r="B171" s="11">
        <v>5627840</v>
      </c>
      <c r="C171" s="11">
        <v>1611395</v>
      </c>
      <c r="D171" s="11">
        <v>4016445</v>
      </c>
      <c r="E171" s="11">
        <v>4942671</v>
      </c>
    </row>
    <row r="172" spans="1:5" x14ac:dyDescent="0.25">
      <c r="A172" s="11" t="s">
        <v>580</v>
      </c>
      <c r="B172" s="11">
        <v>2938524</v>
      </c>
      <c r="C172" s="11">
        <v>0</v>
      </c>
      <c r="D172" s="11">
        <v>2938524</v>
      </c>
      <c r="E172" s="11">
        <v>3864750</v>
      </c>
    </row>
    <row r="173" spans="1:5" x14ac:dyDescent="0.25">
      <c r="A173" s="11" t="s">
        <v>581</v>
      </c>
      <c r="B173" s="11">
        <v>2689316</v>
      </c>
      <c r="C173" s="11">
        <v>1611395</v>
      </c>
      <c r="D173" s="11">
        <v>1077921</v>
      </c>
      <c r="E173" s="11">
        <v>1077921</v>
      </c>
    </row>
    <row r="174" spans="1:5" x14ac:dyDescent="0.25">
      <c r="A174" s="11" t="s">
        <v>582</v>
      </c>
      <c r="B174" s="11">
        <v>30215293</v>
      </c>
      <c r="C174" s="11">
        <v>14920365</v>
      </c>
      <c r="D174" s="11">
        <v>15294928</v>
      </c>
      <c r="E174" s="11">
        <v>7089931</v>
      </c>
    </row>
    <row r="175" spans="1:5" x14ac:dyDescent="0.25">
      <c r="A175" s="11" t="s">
        <v>583</v>
      </c>
      <c r="B175" s="11">
        <v>24507929</v>
      </c>
      <c r="C175" s="11">
        <v>11512075</v>
      </c>
      <c r="D175" s="11">
        <v>12995854</v>
      </c>
      <c r="E175" s="11">
        <v>5508549</v>
      </c>
    </row>
    <row r="176" spans="1:5" x14ac:dyDescent="0.25">
      <c r="A176" s="11" t="s">
        <v>584</v>
      </c>
      <c r="B176" s="11">
        <v>1927325</v>
      </c>
      <c r="C176" s="11">
        <v>49407</v>
      </c>
      <c r="D176" s="11">
        <v>1877918</v>
      </c>
      <c r="E176" s="11">
        <v>1355866</v>
      </c>
    </row>
    <row r="177" spans="1:5" x14ac:dyDescent="0.25">
      <c r="A177" s="11" t="s">
        <v>585</v>
      </c>
      <c r="B177" s="11">
        <v>3533378</v>
      </c>
      <c r="C177" s="11">
        <v>3358335</v>
      </c>
      <c r="D177" s="11">
        <v>175043</v>
      </c>
      <c r="E177" s="11">
        <v>81870</v>
      </c>
    </row>
    <row r="178" spans="1:5" x14ac:dyDescent="0.25">
      <c r="A178" s="11" t="s">
        <v>586</v>
      </c>
      <c r="B178" s="11">
        <v>246661</v>
      </c>
      <c r="C178" s="11">
        <v>548</v>
      </c>
      <c r="D178" s="11">
        <v>246113</v>
      </c>
      <c r="E178" s="11">
        <v>143646</v>
      </c>
    </row>
    <row r="179" spans="1:5" x14ac:dyDescent="0.25">
      <c r="A179" s="11" t="s">
        <v>587</v>
      </c>
      <c r="B179" s="11">
        <v>5058358</v>
      </c>
      <c r="C179" s="11">
        <v>163704</v>
      </c>
      <c r="D179" s="11">
        <v>4894654</v>
      </c>
      <c r="E179" s="11">
        <v>4898735</v>
      </c>
    </row>
    <row r="180" spans="1:5" x14ac:dyDescent="0.25">
      <c r="A180" s="11" t="s">
        <v>588</v>
      </c>
      <c r="B180" s="11">
        <v>9359968</v>
      </c>
      <c r="C180" s="11">
        <v>0</v>
      </c>
      <c r="D180" s="11">
        <v>9359968</v>
      </c>
      <c r="E180" s="11">
        <v>4674439</v>
      </c>
    </row>
    <row r="181" spans="1:5" x14ac:dyDescent="0.25">
      <c r="A181" s="11" t="s">
        <v>589</v>
      </c>
      <c r="B181" s="11">
        <v>24146598</v>
      </c>
      <c r="C181" s="11">
        <v>6281299</v>
      </c>
      <c r="D181" s="11">
        <v>17865299</v>
      </c>
      <c r="E181" s="11">
        <v>18418291</v>
      </c>
    </row>
    <row r="182" spans="1:5" x14ac:dyDescent="0.25">
      <c r="A182" s="11" t="s">
        <v>590</v>
      </c>
      <c r="B182" s="11">
        <v>20542713</v>
      </c>
      <c r="C182" s="11">
        <v>3666435</v>
      </c>
      <c r="D182" s="11">
        <v>16876278</v>
      </c>
      <c r="E182" s="11">
        <v>17357972</v>
      </c>
    </row>
    <row r="183" spans="1:5" x14ac:dyDescent="0.25">
      <c r="A183" s="11" t="s">
        <v>1900</v>
      </c>
      <c r="B183" s="11">
        <v>20451025</v>
      </c>
      <c r="C183" s="11">
        <v>3666435</v>
      </c>
      <c r="D183" s="11">
        <v>16784590</v>
      </c>
      <c r="E183" s="11">
        <v>17260523</v>
      </c>
    </row>
    <row r="184" spans="1:5" x14ac:dyDescent="0.25">
      <c r="A184" s="11" t="s">
        <v>1944</v>
      </c>
      <c r="B184" s="11">
        <v>81365</v>
      </c>
      <c r="C184" s="11">
        <v>0</v>
      </c>
      <c r="D184" s="11">
        <v>81365</v>
      </c>
      <c r="E184" s="11">
        <v>81365</v>
      </c>
    </row>
    <row r="185" spans="1:5" x14ac:dyDescent="0.25">
      <c r="A185" s="11" t="s">
        <v>591</v>
      </c>
      <c r="B185" s="11">
        <v>10323</v>
      </c>
      <c r="C185" s="11">
        <v>0</v>
      </c>
      <c r="D185" s="11">
        <v>10323</v>
      </c>
      <c r="E185" s="11">
        <v>16084</v>
      </c>
    </row>
    <row r="186" spans="1:5" x14ac:dyDescent="0.25">
      <c r="A186" s="11" t="s">
        <v>592</v>
      </c>
      <c r="B186" s="11">
        <v>3574423</v>
      </c>
      <c r="C186" s="11">
        <v>2614864</v>
      </c>
      <c r="D186" s="11">
        <v>959559</v>
      </c>
      <c r="E186" s="11">
        <v>1030857</v>
      </c>
    </row>
    <row r="187" spans="1:5" x14ac:dyDescent="0.25">
      <c r="A187" s="11" t="s">
        <v>593</v>
      </c>
      <c r="B187" s="11">
        <v>3566975</v>
      </c>
      <c r="C187" s="11">
        <v>2614864</v>
      </c>
      <c r="D187" s="11">
        <v>952111</v>
      </c>
      <c r="E187" s="11">
        <v>841226</v>
      </c>
    </row>
    <row r="188" spans="1:5" x14ac:dyDescent="0.25">
      <c r="A188" s="11" t="s">
        <v>594</v>
      </c>
      <c r="B188" s="11">
        <v>7448</v>
      </c>
      <c r="C188" s="11">
        <v>0</v>
      </c>
      <c r="D188" s="11">
        <v>7448</v>
      </c>
      <c r="E188" s="11">
        <v>189631</v>
      </c>
    </row>
    <row r="189" spans="1:5" x14ac:dyDescent="0.25">
      <c r="A189" s="11" t="s">
        <v>595</v>
      </c>
      <c r="B189" s="11">
        <v>29462</v>
      </c>
      <c r="C189" s="11">
        <v>0</v>
      </c>
      <c r="D189" s="11">
        <v>29462</v>
      </c>
      <c r="E189" s="11">
        <v>29462</v>
      </c>
    </row>
    <row r="190" spans="1:5" x14ac:dyDescent="0.25">
      <c r="A190" s="11" t="s">
        <v>596</v>
      </c>
      <c r="B190" s="11">
        <v>313328534</v>
      </c>
      <c r="C190" s="11">
        <v>60277331</v>
      </c>
      <c r="D190" s="11">
        <v>253051203</v>
      </c>
      <c r="E190" s="11">
        <v>245526256</v>
      </c>
    </row>
    <row r="191" spans="1:5" x14ac:dyDescent="0.25">
      <c r="A191" s="11" t="s">
        <v>597</v>
      </c>
      <c r="B191" s="11">
        <v>66482000</v>
      </c>
      <c r="C191" s="11">
        <v>0</v>
      </c>
      <c r="D191" s="11">
        <v>66482000</v>
      </c>
      <c r="E191" s="11">
        <v>76324721</v>
      </c>
    </row>
    <row r="192" spans="1:5" x14ac:dyDescent="0.25">
      <c r="A192" s="11" t="s">
        <v>598</v>
      </c>
      <c r="B192" s="11">
        <v>379810534</v>
      </c>
      <c r="C192" s="11">
        <v>60277331</v>
      </c>
      <c r="D192" s="11">
        <v>319533203</v>
      </c>
      <c r="E192" s="11">
        <v>321850977</v>
      </c>
    </row>
    <row r="193" spans="1:5" x14ac:dyDescent="0.25">
      <c r="A193" s="11" t="s">
        <v>599</v>
      </c>
      <c r="B193" s="11"/>
      <c r="C193" s="11"/>
      <c r="D193" s="11">
        <v>214344844</v>
      </c>
      <c r="E193" s="11">
        <v>236425302</v>
      </c>
    </row>
    <row r="194" spans="1:5" x14ac:dyDescent="0.25">
      <c r="A194" s="11" t="s">
        <v>600</v>
      </c>
      <c r="B194" s="11"/>
      <c r="C194" s="11"/>
      <c r="D194" s="11">
        <v>200668459</v>
      </c>
      <c r="E194" s="11">
        <v>221560016</v>
      </c>
    </row>
    <row r="195" spans="1:5" x14ac:dyDescent="0.25">
      <c r="A195" s="11" t="s">
        <v>601</v>
      </c>
      <c r="B195" s="11"/>
      <c r="C195" s="11"/>
      <c r="D195" s="11">
        <v>55953806</v>
      </c>
      <c r="E195" s="11">
        <v>41699378</v>
      </c>
    </row>
    <row r="196" spans="1:5" x14ac:dyDescent="0.25">
      <c r="A196" s="11" t="s">
        <v>602</v>
      </c>
      <c r="B196" s="11"/>
      <c r="C196" s="11"/>
      <c r="D196" s="11">
        <v>89587887</v>
      </c>
      <c r="E196" s="11">
        <v>94519981</v>
      </c>
    </row>
    <row r="197" spans="1:5" x14ac:dyDescent="0.25">
      <c r="A197" s="11" t="s">
        <v>603</v>
      </c>
      <c r="B197" s="11"/>
      <c r="C197" s="11"/>
      <c r="D197" s="11">
        <v>55126766</v>
      </c>
      <c r="E197" s="11">
        <v>85340657</v>
      </c>
    </row>
    <row r="198" spans="1:5" x14ac:dyDescent="0.25">
      <c r="A198" s="11" t="s">
        <v>604</v>
      </c>
      <c r="B198" s="11"/>
      <c r="C198" s="11"/>
      <c r="D198" s="11">
        <v>47776</v>
      </c>
      <c r="E198" s="11">
        <v>7134</v>
      </c>
    </row>
    <row r="199" spans="1:5" x14ac:dyDescent="0.25">
      <c r="A199" s="11" t="s">
        <v>605</v>
      </c>
      <c r="B199" s="11"/>
      <c r="C199" s="11"/>
      <c r="D199" s="11">
        <v>37877</v>
      </c>
      <c r="E199" s="11">
        <v>7085</v>
      </c>
    </row>
    <row r="200" spans="1:5" x14ac:dyDescent="0.25">
      <c r="A200" s="11" t="s">
        <v>606</v>
      </c>
      <c r="B200" s="11"/>
      <c r="C200" s="11"/>
      <c r="D200" s="11">
        <v>9899</v>
      </c>
      <c r="E200" s="11">
        <v>49</v>
      </c>
    </row>
    <row r="201" spans="1:5" x14ac:dyDescent="0.25">
      <c r="A201" s="11" t="s">
        <v>607</v>
      </c>
      <c r="B201" s="11"/>
      <c r="C201" s="11"/>
      <c r="D201" s="11">
        <v>13628609</v>
      </c>
      <c r="E201" s="11">
        <v>14858152</v>
      </c>
    </row>
    <row r="202" spans="1:5" x14ac:dyDescent="0.25">
      <c r="A202" s="11" t="s">
        <v>608</v>
      </c>
      <c r="B202" s="11"/>
      <c r="C202" s="11"/>
      <c r="D202" s="11">
        <v>266505</v>
      </c>
      <c r="E202" s="11">
        <v>2700</v>
      </c>
    </row>
    <row r="203" spans="1:5" x14ac:dyDescent="0.25">
      <c r="A203" s="11" t="s">
        <v>609</v>
      </c>
      <c r="B203" s="11"/>
      <c r="C203" s="11"/>
      <c r="D203" s="11">
        <v>3751266</v>
      </c>
      <c r="E203" s="11">
        <v>4791304</v>
      </c>
    </row>
    <row r="204" spans="1:5" x14ac:dyDescent="0.25">
      <c r="A204" s="11" t="s">
        <v>610</v>
      </c>
      <c r="B204" s="11"/>
      <c r="C204" s="11"/>
      <c r="D204" s="11">
        <v>195645</v>
      </c>
      <c r="E204" s="11">
        <v>23803</v>
      </c>
    </row>
    <row r="205" spans="1:5" x14ac:dyDescent="0.25">
      <c r="A205" s="11" t="s">
        <v>611</v>
      </c>
      <c r="B205" s="11"/>
      <c r="C205" s="11"/>
      <c r="D205" s="11">
        <v>98796</v>
      </c>
      <c r="E205" s="11">
        <v>378745</v>
      </c>
    </row>
    <row r="206" spans="1:5" x14ac:dyDescent="0.25">
      <c r="A206" s="11" t="s">
        <v>612</v>
      </c>
      <c r="B206" s="11"/>
      <c r="C206" s="11"/>
      <c r="D206" s="11">
        <v>1865760</v>
      </c>
      <c r="E206" s="11">
        <v>2332294</v>
      </c>
    </row>
    <row r="207" spans="1:5" x14ac:dyDescent="0.25">
      <c r="A207" s="11" t="s">
        <v>613</v>
      </c>
      <c r="B207" s="11"/>
      <c r="C207" s="11"/>
      <c r="D207" s="11">
        <v>5000000</v>
      </c>
      <c r="E207" s="11">
        <v>5000000</v>
      </c>
    </row>
    <row r="208" spans="1:5" x14ac:dyDescent="0.25">
      <c r="A208" s="11" t="s">
        <v>614</v>
      </c>
      <c r="B208" s="11"/>
      <c r="C208" s="11"/>
      <c r="D208" s="11">
        <v>1322601</v>
      </c>
      <c r="E208" s="11">
        <v>1337321</v>
      </c>
    </row>
    <row r="209" spans="1:5" x14ac:dyDescent="0.25">
      <c r="A209" s="11" t="s">
        <v>615</v>
      </c>
      <c r="B209" s="11"/>
      <c r="C209" s="11"/>
      <c r="D209" s="11">
        <v>1128036</v>
      </c>
      <c r="E209" s="11">
        <v>991985</v>
      </c>
    </row>
    <row r="210" spans="1:5" x14ac:dyDescent="0.25">
      <c r="A210" s="11" t="s">
        <v>616</v>
      </c>
      <c r="B210" s="11"/>
      <c r="C210" s="11"/>
      <c r="D210" s="11">
        <v>38706359</v>
      </c>
      <c r="E210" s="11">
        <v>9100954</v>
      </c>
    </row>
    <row r="211" spans="1:5" x14ac:dyDescent="0.25">
      <c r="A211" s="11" t="s">
        <v>617</v>
      </c>
      <c r="B211" s="11"/>
      <c r="C211" s="11"/>
      <c r="D211" s="11">
        <v>35018810</v>
      </c>
      <c r="E211" s="11">
        <v>35000000</v>
      </c>
    </row>
    <row r="212" spans="1:5" x14ac:dyDescent="0.25">
      <c r="A212" s="11" t="s">
        <v>618</v>
      </c>
      <c r="B212" s="11"/>
      <c r="C212" s="11"/>
      <c r="D212" s="11">
        <v>35018810</v>
      </c>
      <c r="E212" s="11">
        <v>35000000</v>
      </c>
    </row>
    <row r="213" spans="1:5" x14ac:dyDescent="0.25">
      <c r="A213" s="11" t="s">
        <v>619</v>
      </c>
      <c r="B213" s="11"/>
      <c r="C213" s="11"/>
      <c r="D213" s="11">
        <v>2324575</v>
      </c>
      <c r="E213" s="11">
        <v>2570413</v>
      </c>
    </row>
    <row r="214" spans="1:5" x14ac:dyDescent="0.25">
      <c r="A214" s="11" t="s">
        <v>620</v>
      </c>
      <c r="B214" s="11"/>
      <c r="C214" s="11"/>
      <c r="D214" s="11">
        <v>1</v>
      </c>
      <c r="E214" s="11">
        <v>245839</v>
      </c>
    </row>
    <row r="215" spans="1:5" x14ac:dyDescent="0.25">
      <c r="A215" s="11" t="s">
        <v>621</v>
      </c>
      <c r="B215" s="11"/>
      <c r="C215" s="11"/>
      <c r="D215" s="11">
        <v>2324574</v>
      </c>
      <c r="E215" s="11">
        <v>2324574</v>
      </c>
    </row>
    <row r="216" spans="1:5" x14ac:dyDescent="0.25">
      <c r="A216" s="11" t="s">
        <v>622</v>
      </c>
      <c r="B216" s="11"/>
      <c r="C216" s="11"/>
      <c r="D216" s="11">
        <v>1757569</v>
      </c>
      <c r="E216" s="11">
        <v>1757569</v>
      </c>
    </row>
    <row r="217" spans="1:5" x14ac:dyDescent="0.25">
      <c r="A217" s="11" t="s">
        <v>623</v>
      </c>
      <c r="B217" s="11"/>
      <c r="C217" s="11"/>
      <c r="D217" s="11">
        <v>1757569</v>
      </c>
      <c r="E217" s="11">
        <v>1757569</v>
      </c>
    </row>
    <row r="218" spans="1:5" x14ac:dyDescent="0.25">
      <c r="A218" s="11" t="s">
        <v>624</v>
      </c>
      <c r="B218" s="11"/>
      <c r="C218" s="11"/>
      <c r="D218" s="11">
        <v>0</v>
      </c>
      <c r="E218" s="11">
        <v>3407055</v>
      </c>
    </row>
    <row r="219" spans="1:5" x14ac:dyDescent="0.25">
      <c r="A219" s="11" t="s">
        <v>625</v>
      </c>
      <c r="B219" s="11"/>
      <c r="C219" s="11"/>
      <c r="D219" s="11">
        <v>0</v>
      </c>
      <c r="E219" s="11">
        <v>3407055</v>
      </c>
    </row>
    <row r="220" spans="1:5" x14ac:dyDescent="0.25">
      <c r="A220" s="11" t="s">
        <v>1945</v>
      </c>
      <c r="B220" s="11"/>
      <c r="C220" s="11"/>
      <c r="D220" s="11">
        <v>394595</v>
      </c>
      <c r="E220" s="11">
        <v>33634083</v>
      </c>
    </row>
    <row r="221" spans="1:5" x14ac:dyDescent="0.25">
      <c r="A221" s="11" t="s">
        <v>1946</v>
      </c>
      <c r="B221" s="11"/>
      <c r="C221" s="11"/>
      <c r="D221" s="11">
        <v>394595</v>
      </c>
      <c r="E221" s="11">
        <v>33634083</v>
      </c>
    </row>
    <row r="222" spans="1:5" x14ac:dyDescent="0.25">
      <c r="A222" s="11" t="s">
        <v>626</v>
      </c>
      <c r="B222" s="11"/>
      <c r="C222" s="11"/>
      <c r="D222" s="11">
        <v>253051203</v>
      </c>
      <c r="E222" s="11">
        <v>245526256</v>
      </c>
    </row>
    <row r="223" spans="1:5" x14ac:dyDescent="0.25">
      <c r="A223" s="11" t="s">
        <v>627</v>
      </c>
      <c r="B223" s="11"/>
      <c r="C223" s="11"/>
      <c r="D223" s="11">
        <v>66482000</v>
      </c>
      <c r="E223" s="11">
        <v>76324721</v>
      </c>
    </row>
    <row r="224" spans="1:5" x14ac:dyDescent="0.25">
      <c r="A224" s="11" t="s">
        <v>628</v>
      </c>
      <c r="B224" s="11"/>
      <c r="C224" s="11"/>
      <c r="D224" s="11">
        <v>319533203</v>
      </c>
      <c r="E224" s="11">
        <v>321850977</v>
      </c>
    </row>
    <row r="225" spans="1:5" x14ac:dyDescent="0.25">
      <c r="A225" s="11" t="s">
        <v>629</v>
      </c>
      <c r="B225" s="11"/>
      <c r="C225" s="11"/>
      <c r="D225" s="11">
        <v>6543457</v>
      </c>
      <c r="E225" s="11">
        <v>9057624</v>
      </c>
    </row>
    <row r="226" spans="1:5" x14ac:dyDescent="0.25">
      <c r="A226" s="11" t="s">
        <v>630</v>
      </c>
      <c r="B226" s="11"/>
      <c r="C226" s="11"/>
      <c r="D226" s="11">
        <v>2270213</v>
      </c>
      <c r="E226" s="11">
        <v>2696159</v>
      </c>
    </row>
    <row r="227" spans="1:5" x14ac:dyDescent="0.25">
      <c r="A227" s="11" t="s">
        <v>631</v>
      </c>
      <c r="B227" s="11"/>
      <c r="C227" s="11"/>
      <c r="D227" s="11">
        <v>4261759</v>
      </c>
      <c r="E227" s="11">
        <v>6124097</v>
      </c>
    </row>
    <row r="228" spans="1:5" x14ac:dyDescent="0.25">
      <c r="A228" s="11" t="s">
        <v>632</v>
      </c>
      <c r="B228" s="11"/>
      <c r="C228" s="11"/>
      <c r="D228" s="11">
        <v>11485</v>
      </c>
      <c r="E228" s="11">
        <v>237368</v>
      </c>
    </row>
    <row r="229" spans="1:5" x14ac:dyDescent="0.25">
      <c r="A229" s="11" t="s">
        <v>633</v>
      </c>
      <c r="B229" s="11"/>
      <c r="C229" s="11"/>
      <c r="D229" s="11">
        <v>3291551</v>
      </c>
      <c r="E229" s="11">
        <v>4234089</v>
      </c>
    </row>
    <row r="230" spans="1:5" x14ac:dyDescent="0.25">
      <c r="A230" s="11" t="s">
        <v>634</v>
      </c>
      <c r="B230" s="11"/>
      <c r="C230" s="11"/>
      <c r="D230" s="11">
        <v>973105</v>
      </c>
      <c r="E230" s="11">
        <v>1184542</v>
      </c>
    </row>
    <row r="231" spans="1:5" x14ac:dyDescent="0.25">
      <c r="A231" s="11" t="s">
        <v>635</v>
      </c>
      <c r="B231" s="11"/>
      <c r="C231" s="11"/>
      <c r="D231" s="11">
        <v>1179614</v>
      </c>
      <c r="E231" s="11">
        <v>1631149</v>
      </c>
    </row>
    <row r="232" spans="1:5" x14ac:dyDescent="0.25">
      <c r="A232" s="11" t="s">
        <v>636</v>
      </c>
      <c r="B232" s="11"/>
      <c r="C232" s="11"/>
      <c r="D232" s="11">
        <v>1138832</v>
      </c>
      <c r="E232" s="11">
        <v>1418398</v>
      </c>
    </row>
    <row r="233" spans="1:5" x14ac:dyDescent="0.25">
      <c r="A233" s="11" t="s">
        <v>637</v>
      </c>
      <c r="B233" s="11"/>
      <c r="C233" s="11"/>
      <c r="D233" s="11">
        <v>3251906</v>
      </c>
      <c r="E233" s="11">
        <v>4823535</v>
      </c>
    </row>
    <row r="234" spans="1:5" x14ac:dyDescent="0.25">
      <c r="A234" s="11" t="s">
        <v>638</v>
      </c>
      <c r="B234" s="11"/>
      <c r="C234" s="11"/>
      <c r="D234" s="11">
        <v>3704600</v>
      </c>
      <c r="E234" s="11">
        <v>4585200</v>
      </c>
    </row>
    <row r="235" spans="1:5" x14ac:dyDescent="0.25">
      <c r="A235" s="11" t="s">
        <v>639</v>
      </c>
      <c r="B235" s="11"/>
      <c r="C235" s="11"/>
      <c r="D235" s="11">
        <v>682071</v>
      </c>
      <c r="E235" s="11">
        <v>651560</v>
      </c>
    </row>
    <row r="236" spans="1:5" x14ac:dyDescent="0.25">
      <c r="A236" s="11" t="s">
        <v>640</v>
      </c>
      <c r="B236" s="11"/>
      <c r="C236" s="11"/>
      <c r="D236" s="11">
        <v>626524</v>
      </c>
      <c r="E236" s="11">
        <v>583180</v>
      </c>
    </row>
    <row r="237" spans="1:5" x14ac:dyDescent="0.25">
      <c r="A237" s="11" t="s">
        <v>641</v>
      </c>
      <c r="B237" s="11"/>
      <c r="C237" s="11"/>
      <c r="D237" s="11">
        <v>2396005</v>
      </c>
      <c r="E237" s="11">
        <v>3350460</v>
      </c>
    </row>
    <row r="238" spans="1:5" x14ac:dyDescent="0.25">
      <c r="A238" s="11" t="s">
        <v>642</v>
      </c>
      <c r="B238" s="11"/>
      <c r="C238" s="11"/>
      <c r="D238" s="11">
        <v>1594180</v>
      </c>
      <c r="E238" s="11">
        <v>2642632</v>
      </c>
    </row>
    <row r="239" spans="1:5" x14ac:dyDescent="0.25">
      <c r="A239" s="11" t="s">
        <v>643</v>
      </c>
      <c r="B239" s="11"/>
      <c r="C239" s="11"/>
      <c r="D239" s="11">
        <v>105764</v>
      </c>
      <c r="E239" s="11">
        <v>93975</v>
      </c>
    </row>
    <row r="240" spans="1:5" x14ac:dyDescent="0.25">
      <c r="A240" s="11" t="s">
        <v>644</v>
      </c>
      <c r="B240" s="11"/>
      <c r="C240" s="11"/>
      <c r="D240" s="11">
        <v>98916</v>
      </c>
      <c r="E240" s="11">
        <v>103373</v>
      </c>
    </row>
    <row r="241" spans="1:5" x14ac:dyDescent="0.25">
      <c r="A241" s="11" t="s">
        <v>645</v>
      </c>
      <c r="B241" s="11"/>
      <c r="C241" s="11"/>
      <c r="D241" s="11">
        <v>1389500</v>
      </c>
      <c r="E241" s="11">
        <v>2445284</v>
      </c>
    </row>
    <row r="242" spans="1:5" x14ac:dyDescent="0.25">
      <c r="A242" s="11" t="s">
        <v>646</v>
      </c>
      <c r="B242" s="11"/>
      <c r="C242" s="11"/>
      <c r="D242" s="11">
        <v>2110420</v>
      </c>
      <c r="E242" s="11">
        <v>1942568</v>
      </c>
    </row>
    <row r="243" spans="1:5" x14ac:dyDescent="0.25">
      <c r="A243" s="11" t="s">
        <v>647</v>
      </c>
      <c r="B243" s="11"/>
      <c r="C243" s="11"/>
      <c r="D243" s="11">
        <v>5362326</v>
      </c>
      <c r="E243" s="11">
        <v>6766103</v>
      </c>
    </row>
    <row r="244" spans="1:5" x14ac:dyDescent="0.25">
      <c r="A244" s="11" t="s">
        <v>648</v>
      </c>
      <c r="B244" s="11"/>
      <c r="C244" s="11"/>
      <c r="D244" s="11">
        <v>4924657</v>
      </c>
      <c r="E244" s="11">
        <v>2631473</v>
      </c>
    </row>
    <row r="245" spans="1:5" x14ac:dyDescent="0.25">
      <c r="A245" s="11" t="s">
        <v>649</v>
      </c>
      <c r="B245" s="11"/>
      <c r="C245" s="11"/>
      <c r="D245" s="11">
        <v>20390</v>
      </c>
      <c r="E245" s="11">
        <v>0</v>
      </c>
    </row>
    <row r="246" spans="1:5" x14ac:dyDescent="0.25">
      <c r="A246" s="11" t="s">
        <v>650</v>
      </c>
      <c r="B246" s="11"/>
      <c r="C246" s="11"/>
      <c r="D246" s="11">
        <v>59951</v>
      </c>
      <c r="E246" s="11">
        <v>77083</v>
      </c>
    </row>
    <row r="247" spans="1:5" x14ac:dyDescent="0.25">
      <c r="A247" s="11" t="s">
        <v>651</v>
      </c>
      <c r="B247" s="11"/>
      <c r="C247" s="11"/>
      <c r="D247" s="11">
        <v>4713168</v>
      </c>
      <c r="E247" s="11">
        <v>2408290</v>
      </c>
    </row>
    <row r="248" spans="1:5" x14ac:dyDescent="0.25">
      <c r="A248" s="11" t="s">
        <v>652</v>
      </c>
      <c r="B248" s="11"/>
      <c r="C248" s="11"/>
      <c r="D248" s="11">
        <v>131148</v>
      </c>
      <c r="E248" s="11">
        <v>146100</v>
      </c>
    </row>
    <row r="249" spans="1:5" x14ac:dyDescent="0.25">
      <c r="A249" s="11" t="s">
        <v>653</v>
      </c>
      <c r="B249" s="11"/>
      <c r="C249" s="11"/>
      <c r="D249" s="11">
        <v>10843863</v>
      </c>
      <c r="E249" s="11">
        <v>9040486</v>
      </c>
    </row>
    <row r="250" spans="1:5" x14ac:dyDescent="0.25">
      <c r="A250" s="11" t="s">
        <v>654</v>
      </c>
      <c r="B250" s="11"/>
      <c r="C250" s="11"/>
      <c r="D250" s="11">
        <v>4641195</v>
      </c>
      <c r="E250" s="11">
        <v>2549501</v>
      </c>
    </row>
    <row r="251" spans="1:5" x14ac:dyDescent="0.25">
      <c r="A251" s="11" t="s">
        <v>655</v>
      </c>
      <c r="B251" s="11"/>
      <c r="C251" s="11"/>
      <c r="D251" s="11">
        <v>4698</v>
      </c>
      <c r="E251" s="11">
        <v>53336</v>
      </c>
    </row>
    <row r="252" spans="1:5" x14ac:dyDescent="0.25">
      <c r="A252" s="11" t="s">
        <v>656</v>
      </c>
      <c r="B252" s="11"/>
      <c r="C252" s="11"/>
      <c r="D252" s="11">
        <v>2646576</v>
      </c>
      <c r="E252" s="11">
        <v>2622151</v>
      </c>
    </row>
    <row r="253" spans="1:5" x14ac:dyDescent="0.25">
      <c r="A253" s="11" t="s">
        <v>657</v>
      </c>
      <c r="B253" s="11"/>
      <c r="C253" s="11"/>
      <c r="D253" s="11">
        <v>14326</v>
      </c>
      <c r="E253" s="11">
        <v>7009</v>
      </c>
    </row>
    <row r="254" spans="1:5" x14ac:dyDescent="0.25">
      <c r="A254" s="11" t="s">
        <v>658</v>
      </c>
      <c r="B254" s="11"/>
      <c r="C254" s="11"/>
      <c r="D254" s="11">
        <v>77169</v>
      </c>
      <c r="E254" s="11">
        <v>117854</v>
      </c>
    </row>
    <row r="255" spans="1:5" x14ac:dyDescent="0.25">
      <c r="A255" s="11" t="s">
        <v>659</v>
      </c>
      <c r="B255" s="11"/>
      <c r="C255" s="11"/>
      <c r="D255" s="11">
        <v>413820</v>
      </c>
      <c r="E255" s="11">
        <v>427431</v>
      </c>
    </row>
    <row r="256" spans="1:5" x14ac:dyDescent="0.25">
      <c r="A256" s="11" t="s">
        <v>660</v>
      </c>
      <c r="B256" s="11"/>
      <c r="C256" s="11"/>
      <c r="D256" s="11">
        <v>1318513</v>
      </c>
      <c r="E256" s="11">
        <v>1443886</v>
      </c>
    </row>
    <row r="257" spans="1:5" x14ac:dyDescent="0.25">
      <c r="A257" s="11" t="s">
        <v>661</v>
      </c>
      <c r="B257" s="11"/>
      <c r="C257" s="11"/>
      <c r="D257" s="11">
        <v>600808</v>
      </c>
      <c r="E257" s="11">
        <v>583050</v>
      </c>
    </row>
    <row r="258" spans="1:5" x14ac:dyDescent="0.25">
      <c r="A258" s="11" t="s">
        <v>662</v>
      </c>
      <c r="B258" s="11"/>
      <c r="C258" s="11"/>
      <c r="D258" s="11">
        <v>1060218</v>
      </c>
      <c r="E258" s="11">
        <v>1118716</v>
      </c>
    </row>
    <row r="259" spans="1:5" x14ac:dyDescent="0.25">
      <c r="A259" s="11" t="s">
        <v>663</v>
      </c>
      <c r="B259" s="11"/>
      <c r="C259" s="11"/>
      <c r="D259" s="11">
        <v>66496</v>
      </c>
      <c r="E259" s="11">
        <v>117472</v>
      </c>
    </row>
    <row r="260" spans="1:5" x14ac:dyDescent="0.25">
      <c r="A260" s="11" t="s">
        <v>664</v>
      </c>
      <c r="B260" s="11"/>
      <c r="C260" s="11"/>
      <c r="D260" s="11">
        <v>44</v>
      </c>
      <c r="E260" s="11">
        <v>80</v>
      </c>
    </row>
    <row r="261" spans="1:5" x14ac:dyDescent="0.25">
      <c r="A261" s="11" t="s">
        <v>665</v>
      </c>
      <c r="B261" s="11"/>
      <c r="C261" s="11"/>
      <c r="D261" s="11">
        <v>5919206</v>
      </c>
      <c r="E261" s="11">
        <v>6409013</v>
      </c>
    </row>
    <row r="262" spans="1:5" x14ac:dyDescent="0.25">
      <c r="A262" s="11" t="s">
        <v>666</v>
      </c>
      <c r="B262" s="11"/>
      <c r="C262" s="11"/>
      <c r="D262" s="11">
        <v>406282</v>
      </c>
      <c r="E262" s="11">
        <v>395732</v>
      </c>
    </row>
    <row r="263" spans="1:5" x14ac:dyDescent="0.25">
      <c r="A263" s="11" t="s">
        <v>1947</v>
      </c>
      <c r="B263" s="11"/>
      <c r="C263" s="11"/>
      <c r="D263" s="11">
        <v>261984</v>
      </c>
      <c r="E263" s="11">
        <v>0</v>
      </c>
    </row>
    <row r="264" spans="1:5" x14ac:dyDescent="0.25">
      <c r="A264" s="11" t="s">
        <v>667</v>
      </c>
      <c r="B264" s="11"/>
      <c r="C264" s="11"/>
      <c r="D264" s="11">
        <v>0</v>
      </c>
      <c r="E264" s="11">
        <v>19927</v>
      </c>
    </row>
    <row r="265" spans="1:5" x14ac:dyDescent="0.25">
      <c r="A265" s="11" t="s">
        <v>668</v>
      </c>
      <c r="B265" s="11"/>
      <c r="C265" s="11"/>
      <c r="D265" s="11">
        <v>10410</v>
      </c>
      <c r="E265" s="11">
        <v>2642</v>
      </c>
    </row>
    <row r="266" spans="1:5" x14ac:dyDescent="0.25">
      <c r="A266" s="11" t="s">
        <v>669</v>
      </c>
      <c r="B266" s="11"/>
      <c r="C266" s="11"/>
      <c r="D266" s="11">
        <v>4139</v>
      </c>
      <c r="E266" s="11">
        <v>158135</v>
      </c>
    </row>
    <row r="267" spans="1:5" x14ac:dyDescent="0.25">
      <c r="A267" s="11" t="s">
        <v>670</v>
      </c>
      <c r="B267" s="11"/>
      <c r="C267" s="11"/>
      <c r="D267" s="11">
        <v>73</v>
      </c>
      <c r="E267" s="11">
        <v>291</v>
      </c>
    </row>
    <row r="268" spans="1:5" x14ac:dyDescent="0.25">
      <c r="A268" s="11" t="s">
        <v>671</v>
      </c>
      <c r="B268" s="11"/>
      <c r="C268" s="11"/>
      <c r="D268" s="11">
        <v>115171</v>
      </c>
      <c r="E268" s="11">
        <v>127202</v>
      </c>
    </row>
    <row r="269" spans="1:5" x14ac:dyDescent="0.25">
      <c r="A269" s="11" t="s">
        <v>672</v>
      </c>
      <c r="B269" s="11"/>
      <c r="C269" s="11"/>
      <c r="D269" s="11">
        <v>14505</v>
      </c>
      <c r="E269" s="11">
        <v>87535</v>
      </c>
    </row>
    <row r="270" spans="1:5" x14ac:dyDescent="0.25">
      <c r="A270" s="11" t="s">
        <v>673</v>
      </c>
      <c r="B270" s="11"/>
      <c r="C270" s="11"/>
      <c r="D270" s="11">
        <v>122531</v>
      </c>
      <c r="E270" s="11">
        <v>80310</v>
      </c>
    </row>
    <row r="271" spans="1:5" x14ac:dyDescent="0.25">
      <c r="A271" s="11" t="s">
        <v>674</v>
      </c>
      <c r="B271" s="11"/>
      <c r="C271" s="11"/>
      <c r="D271" s="11">
        <v>405</v>
      </c>
      <c r="E271" s="11">
        <v>1460</v>
      </c>
    </row>
    <row r="272" spans="1:5" x14ac:dyDescent="0.25">
      <c r="A272" s="11" t="s">
        <v>675</v>
      </c>
      <c r="B272" s="11"/>
      <c r="C272" s="11"/>
      <c r="D272" s="11">
        <v>0</v>
      </c>
      <c r="E272" s="11">
        <v>2</v>
      </c>
    </row>
    <row r="273" spans="1:5" x14ac:dyDescent="0.25">
      <c r="A273" s="11" t="s">
        <v>1948</v>
      </c>
      <c r="B273" s="11"/>
      <c r="C273" s="11"/>
      <c r="D273" s="11">
        <v>57481</v>
      </c>
      <c r="E273" s="11">
        <v>0</v>
      </c>
    </row>
    <row r="274" spans="1:5" x14ac:dyDescent="0.25">
      <c r="A274" s="11" t="s">
        <v>676</v>
      </c>
      <c r="B274" s="11"/>
      <c r="C274" s="11"/>
      <c r="D274" s="11">
        <v>48</v>
      </c>
      <c r="E274" s="11">
        <v>29</v>
      </c>
    </row>
    <row r="275" spans="1:5" x14ac:dyDescent="0.25">
      <c r="A275" s="11" t="s">
        <v>677</v>
      </c>
      <c r="B275" s="11"/>
      <c r="C275" s="11"/>
      <c r="D275" s="11">
        <v>64327</v>
      </c>
      <c r="E275" s="11">
        <v>74153</v>
      </c>
    </row>
    <row r="276" spans="1:5" x14ac:dyDescent="0.25">
      <c r="A276" s="11" t="s">
        <v>1901</v>
      </c>
      <c r="B276" s="11"/>
      <c r="C276" s="11"/>
      <c r="D276" s="11">
        <v>270</v>
      </c>
      <c r="E276" s="11">
        <v>4666</v>
      </c>
    </row>
    <row r="277" spans="1:5" x14ac:dyDescent="0.25">
      <c r="A277" s="11" t="s">
        <v>678</v>
      </c>
      <c r="B277" s="11"/>
      <c r="C277" s="11"/>
      <c r="D277" s="11">
        <v>283751</v>
      </c>
      <c r="E277" s="11">
        <v>315422</v>
      </c>
    </row>
    <row r="278" spans="1:5" x14ac:dyDescent="0.25">
      <c r="A278" s="11" t="s">
        <v>679</v>
      </c>
      <c r="B278" s="11"/>
      <c r="C278" s="11"/>
      <c r="D278" s="11">
        <v>0</v>
      </c>
      <c r="E278" s="11">
        <v>672512</v>
      </c>
    </row>
    <row r="279" spans="1:5" x14ac:dyDescent="0.25">
      <c r="A279" s="11" t="s">
        <v>1949</v>
      </c>
      <c r="B279" s="11"/>
      <c r="C279" s="11"/>
      <c r="D279" s="11">
        <v>273129</v>
      </c>
      <c r="E279" s="11">
        <v>0</v>
      </c>
    </row>
    <row r="280" spans="1:5" x14ac:dyDescent="0.25">
      <c r="A280" s="11" t="s">
        <v>680</v>
      </c>
      <c r="B280" s="11"/>
      <c r="C280" s="11"/>
      <c r="D280" s="11">
        <v>2897959</v>
      </c>
      <c r="E280" s="11">
        <v>6510402</v>
      </c>
    </row>
    <row r="281" spans="1:5" x14ac:dyDescent="0.25">
      <c r="A281" s="11" t="s">
        <v>681</v>
      </c>
      <c r="B281" s="11"/>
      <c r="C281" s="11"/>
      <c r="D281" s="11">
        <v>224574</v>
      </c>
      <c r="E281" s="11">
        <v>568935</v>
      </c>
    </row>
    <row r="282" spans="1:5" x14ac:dyDescent="0.25">
      <c r="A282" s="11" t="s">
        <v>682</v>
      </c>
      <c r="B282" s="11"/>
      <c r="C282" s="11"/>
      <c r="D282" s="11">
        <v>2673385</v>
      </c>
      <c r="E282" s="11">
        <v>5941467</v>
      </c>
    </row>
    <row r="283" spans="1:5" x14ac:dyDescent="0.25">
      <c r="A283" s="11" t="s">
        <v>683</v>
      </c>
      <c r="B283" s="11"/>
      <c r="C283" s="11"/>
      <c r="D283" s="11">
        <v>3019425</v>
      </c>
      <c r="E283" s="11">
        <v>6533207</v>
      </c>
    </row>
    <row r="284" spans="1:5" x14ac:dyDescent="0.25">
      <c r="A284" s="11" t="s">
        <v>684</v>
      </c>
      <c r="B284" s="11"/>
      <c r="C284" s="11"/>
      <c r="D284" s="11">
        <v>228062</v>
      </c>
      <c r="E284" s="11">
        <v>527998</v>
      </c>
    </row>
    <row r="285" spans="1:5" x14ac:dyDescent="0.25">
      <c r="A285" s="11" t="s">
        <v>685</v>
      </c>
      <c r="B285" s="11"/>
      <c r="C285" s="11"/>
      <c r="D285" s="11">
        <v>2791363</v>
      </c>
      <c r="E285" s="11">
        <v>6005209</v>
      </c>
    </row>
    <row r="286" spans="1:5" x14ac:dyDescent="0.25">
      <c r="A286" s="11" t="s">
        <v>686</v>
      </c>
      <c r="B286" s="11"/>
      <c r="C286" s="11"/>
      <c r="D286" s="11">
        <v>121466</v>
      </c>
      <c r="E286" s="11">
        <v>22805</v>
      </c>
    </row>
    <row r="287" spans="1:5" x14ac:dyDescent="0.25">
      <c r="A287" s="11" t="s">
        <v>687</v>
      </c>
      <c r="B287" s="11"/>
      <c r="C287" s="11"/>
      <c r="D287" s="11">
        <v>0</v>
      </c>
      <c r="E287" s="11">
        <v>649707</v>
      </c>
    </row>
    <row r="288" spans="1:5" x14ac:dyDescent="0.25">
      <c r="A288" s="11" t="s">
        <v>1950</v>
      </c>
      <c r="B288" s="11"/>
      <c r="C288" s="11"/>
      <c r="D288" s="11">
        <v>394595</v>
      </c>
      <c r="E288" s="11">
        <v>0</v>
      </c>
    </row>
    <row r="289" spans="1:5" x14ac:dyDescent="0.25">
      <c r="A289" s="11" t="s">
        <v>688</v>
      </c>
      <c r="B289" s="11"/>
      <c r="C289" s="11"/>
      <c r="D289" s="11">
        <v>0</v>
      </c>
      <c r="E289" s="11">
        <v>649707</v>
      </c>
    </row>
    <row r="290" spans="1:5" x14ac:dyDescent="0.25">
      <c r="A290" s="11" t="s">
        <v>1951</v>
      </c>
      <c r="B290" s="11"/>
      <c r="C290" s="11"/>
      <c r="D290" s="11">
        <v>394595</v>
      </c>
      <c r="E290" s="11">
        <v>0</v>
      </c>
    </row>
    <row r="291" spans="1:5" x14ac:dyDescent="0.25">
      <c r="A291" s="11" t="s">
        <v>689</v>
      </c>
      <c r="B291" s="11"/>
      <c r="C291" s="11"/>
      <c r="D291" s="11">
        <v>0</v>
      </c>
      <c r="E291" s="11">
        <v>649707</v>
      </c>
    </row>
    <row r="292" spans="1:5" x14ac:dyDescent="0.25">
      <c r="A292" s="11" t="s">
        <v>1952</v>
      </c>
      <c r="B292" s="11"/>
      <c r="C292" s="11"/>
      <c r="D292" s="11">
        <v>394595</v>
      </c>
      <c r="E292" s="11">
        <v>0</v>
      </c>
    </row>
    <row r="293" spans="1:5" x14ac:dyDescent="0.25">
      <c r="A293" s="11" t="s">
        <v>1953</v>
      </c>
      <c r="B293" s="11"/>
      <c r="C293" s="11"/>
      <c r="D293" s="11">
        <v>218</v>
      </c>
      <c r="E293" s="11">
        <v>219</v>
      </c>
    </row>
    <row r="294" spans="1:5" x14ac:dyDescent="0.25">
      <c r="A294" s="11" t="s">
        <v>690</v>
      </c>
      <c r="B294" s="11"/>
      <c r="C294" s="11"/>
      <c r="D294" s="11">
        <v>216</v>
      </c>
      <c r="E294" s="11">
        <v>218</v>
      </c>
    </row>
    <row r="295" spans="1:5" x14ac:dyDescent="0.25">
      <c r="A295" s="93" t="s">
        <v>1902</v>
      </c>
      <c r="B295" s="93"/>
      <c r="C295" s="93"/>
      <c r="D295" s="93">
        <v>3928</v>
      </c>
      <c r="E295" s="93">
        <v>8915</v>
      </c>
    </row>
    <row r="296" spans="1:5" x14ac:dyDescent="0.25">
      <c r="A296" s="93" t="s">
        <v>1903</v>
      </c>
      <c r="B296" s="93"/>
      <c r="C296" s="93"/>
      <c r="D296" s="93">
        <v>3824</v>
      </c>
      <c r="E296" s="93">
        <v>3616</v>
      </c>
    </row>
    <row r="297" spans="1:5" x14ac:dyDescent="0.25">
      <c r="A297" s="93" t="s">
        <v>1904</v>
      </c>
      <c r="B297" s="93"/>
      <c r="C297" s="93"/>
      <c r="D297" s="93">
        <v>5143</v>
      </c>
      <c r="E297" s="93">
        <v>5326</v>
      </c>
    </row>
    <row r="298" spans="1:5" x14ac:dyDescent="0.25">
      <c r="A298" s="93" t="s">
        <v>1905</v>
      </c>
      <c r="B298" s="93"/>
      <c r="C298" s="93"/>
      <c r="D298" s="93">
        <v>-2404</v>
      </c>
      <c r="E298" s="93">
        <v>1499</v>
      </c>
    </row>
    <row r="299" spans="1:5" x14ac:dyDescent="0.25">
      <c r="A299" s="93" t="s">
        <v>1906</v>
      </c>
      <c r="B299" s="93"/>
      <c r="C299" s="93"/>
      <c r="D299" s="93">
        <v>6502</v>
      </c>
      <c r="E299" s="93">
        <v>-16339</v>
      </c>
    </row>
    <row r="300" spans="1:5" x14ac:dyDescent="0.25">
      <c r="A300" s="93" t="s">
        <v>1907</v>
      </c>
      <c r="B300" s="93"/>
      <c r="C300" s="93"/>
      <c r="D300" s="93">
        <v>-18211</v>
      </c>
      <c r="E300" s="93">
        <v>-9889</v>
      </c>
    </row>
    <row r="301" spans="1:5" x14ac:dyDescent="0.25">
      <c r="A301" s="93" t="s">
        <v>1908</v>
      </c>
      <c r="B301" s="93"/>
      <c r="C301" s="93"/>
      <c r="D301" s="93">
        <v>0</v>
      </c>
      <c r="E301" s="93">
        <v>32</v>
      </c>
    </row>
    <row r="302" spans="1:5" x14ac:dyDescent="0.25">
      <c r="A302" s="93" t="s">
        <v>1909</v>
      </c>
      <c r="B302" s="93"/>
      <c r="C302" s="93"/>
      <c r="D302" s="93">
        <v>-19152</v>
      </c>
      <c r="E302" s="93">
        <v>-24788</v>
      </c>
    </row>
    <row r="303" spans="1:5" x14ac:dyDescent="0.25">
      <c r="A303" s="93" t="s">
        <v>1910</v>
      </c>
      <c r="B303" s="93"/>
      <c r="C303" s="93"/>
      <c r="D303" s="93">
        <v>-3</v>
      </c>
      <c r="E303" s="93">
        <v>20546</v>
      </c>
    </row>
    <row r="304" spans="1:5" x14ac:dyDescent="0.25">
      <c r="A304" s="93" t="s">
        <v>2058</v>
      </c>
      <c r="B304" s="93"/>
      <c r="C304" s="93"/>
      <c r="D304" s="93">
        <v>0</v>
      </c>
      <c r="E304" s="93">
        <v>649707</v>
      </c>
    </row>
    <row r="305" spans="1:5" x14ac:dyDescent="0.25">
      <c r="A305" s="93" t="s">
        <v>2059</v>
      </c>
      <c r="B305" s="93"/>
      <c r="C305" s="93"/>
      <c r="D305" s="93">
        <v>394595</v>
      </c>
      <c r="E305" s="93">
        <v>0</v>
      </c>
    </row>
    <row r="306" spans="1:5" x14ac:dyDescent="0.25">
      <c r="A306" s="93" t="s">
        <v>2000</v>
      </c>
      <c r="B306" s="93"/>
      <c r="C306" s="93"/>
      <c r="D306" s="93">
        <v>-11</v>
      </c>
      <c r="E306" s="93">
        <v>-295</v>
      </c>
    </row>
    <row r="307" spans="1:5" x14ac:dyDescent="0.25">
      <c r="A307" s="93" t="s">
        <v>2000</v>
      </c>
      <c r="B307" s="93"/>
      <c r="C307" s="93"/>
      <c r="D307" s="93">
        <v>1389500</v>
      </c>
      <c r="E307" s="93">
        <v>2445284</v>
      </c>
    </row>
    <row r="308" spans="1:5" x14ac:dyDescent="0.25">
      <c r="A308" s="93" t="s">
        <v>2000</v>
      </c>
      <c r="B308" s="93"/>
      <c r="C308" s="93"/>
      <c r="D308" s="93">
        <v>218</v>
      </c>
      <c r="E308" s="93">
        <v>219</v>
      </c>
    </row>
    <row r="309" spans="1:5" x14ac:dyDescent="0.25">
      <c r="A309" s="93" t="s">
        <v>1911</v>
      </c>
      <c r="B309" s="93"/>
      <c r="C309" s="93"/>
      <c r="D309" s="93">
        <v>-197</v>
      </c>
      <c r="E309" s="93">
        <v>1335</v>
      </c>
    </row>
    <row r="310" spans="1:5" x14ac:dyDescent="0.25">
      <c r="A310" s="93" t="s">
        <v>1911</v>
      </c>
      <c r="B310" s="93"/>
      <c r="C310" s="93"/>
      <c r="D310" s="93">
        <v>2110420</v>
      </c>
      <c r="E310" s="93">
        <v>1942568</v>
      </c>
    </row>
    <row r="311" spans="1:5" x14ac:dyDescent="0.25">
      <c r="A311" s="93" t="s">
        <v>2060</v>
      </c>
      <c r="B311" s="93"/>
      <c r="C311" s="93"/>
      <c r="D311" s="93">
        <v>216</v>
      </c>
      <c r="E311" s="93">
        <v>218</v>
      </c>
    </row>
    <row r="312" spans="1:5" x14ac:dyDescent="0.25">
      <c r="A312" s="93" t="s">
        <v>1912</v>
      </c>
      <c r="B312" s="93"/>
      <c r="C312" s="93"/>
      <c r="D312" s="93">
        <v>-211</v>
      </c>
      <c r="E312" s="93">
        <v>21586</v>
      </c>
    </row>
    <row r="313" spans="1:5" x14ac:dyDescent="0.25">
      <c r="A313" s="93" t="s">
        <v>2001</v>
      </c>
      <c r="B313" s="93"/>
      <c r="C313" s="93"/>
      <c r="D313" s="93">
        <v>30000</v>
      </c>
      <c r="E313" s="93">
        <v>0</v>
      </c>
    </row>
    <row r="314" spans="1:5" x14ac:dyDescent="0.25">
      <c r="A314" s="93" t="s">
        <v>1913</v>
      </c>
      <c r="B314" s="93"/>
      <c r="C314" s="93"/>
      <c r="D314" s="93">
        <v>845</v>
      </c>
      <c r="E314" s="93">
        <v>800</v>
      </c>
    </row>
    <row r="315" spans="1:5" x14ac:dyDescent="0.25">
      <c r="A315" s="93" t="s">
        <v>1914</v>
      </c>
      <c r="B315" s="93"/>
      <c r="C315" s="93"/>
      <c r="D315" s="93">
        <v>1371</v>
      </c>
      <c r="E315" s="93">
        <v>4166</v>
      </c>
    </row>
    <row r="316" spans="1:5" x14ac:dyDescent="0.25">
      <c r="A316" s="93" t="s">
        <v>1915</v>
      </c>
      <c r="B316" s="93"/>
      <c r="C316" s="93"/>
      <c r="D316" s="93">
        <v>3286</v>
      </c>
      <c r="E316" s="93">
        <v>5640</v>
      </c>
    </row>
    <row r="317" spans="1:5" x14ac:dyDescent="0.25">
      <c r="A317" s="93" t="s">
        <v>1915</v>
      </c>
      <c r="B317" s="93"/>
      <c r="C317" s="93"/>
      <c r="D317" s="93">
        <v>5362326</v>
      </c>
      <c r="E317" s="93">
        <v>6766103</v>
      </c>
    </row>
    <row r="318" spans="1:5" x14ac:dyDescent="0.25">
      <c r="A318" s="93" t="s">
        <v>2014</v>
      </c>
      <c r="B318" s="93"/>
      <c r="C318" s="93"/>
      <c r="D318" s="93">
        <v>4924657</v>
      </c>
      <c r="E318" s="93">
        <v>2631473</v>
      </c>
    </row>
    <row r="319" spans="1:5" x14ac:dyDescent="0.25">
      <c r="A319" s="93" t="s">
        <v>2015</v>
      </c>
      <c r="B319" s="93"/>
      <c r="C319" s="93"/>
      <c r="D319" s="93">
        <v>20390</v>
      </c>
      <c r="E319" s="93">
        <v>0</v>
      </c>
    </row>
    <row r="320" spans="1:5" x14ac:dyDescent="0.25">
      <c r="A320" s="93" t="s">
        <v>1916</v>
      </c>
      <c r="B320" s="93"/>
      <c r="C320" s="93"/>
      <c r="D320" s="93">
        <v>27240</v>
      </c>
      <c r="E320" s="93">
        <v>-2274</v>
      </c>
    </row>
    <row r="321" spans="1:5" x14ac:dyDescent="0.25">
      <c r="A321" s="93" t="s">
        <v>1916</v>
      </c>
      <c r="B321" s="93"/>
      <c r="C321" s="93"/>
      <c r="D321" s="93">
        <v>59951</v>
      </c>
      <c r="E321" s="93">
        <v>77083</v>
      </c>
    </row>
    <row r="322" spans="1:5" x14ac:dyDescent="0.25">
      <c r="A322" s="93" t="s">
        <v>1917</v>
      </c>
      <c r="B322" s="93"/>
      <c r="C322" s="93"/>
      <c r="D322" s="93">
        <v>7877</v>
      </c>
      <c r="E322" s="93">
        <v>-5476</v>
      </c>
    </row>
    <row r="323" spans="1:5" x14ac:dyDescent="0.25">
      <c r="A323" s="93" t="s">
        <v>1918</v>
      </c>
      <c r="B323" s="93"/>
      <c r="C323" s="93"/>
      <c r="D323" s="93">
        <v>26421</v>
      </c>
      <c r="E323" s="93">
        <v>40000</v>
      </c>
    </row>
    <row r="324" spans="1:5" x14ac:dyDescent="0.25">
      <c r="A324" s="93" t="s">
        <v>1918</v>
      </c>
      <c r="B324" s="93"/>
      <c r="C324" s="93"/>
      <c r="D324" s="93">
        <v>4713168</v>
      </c>
      <c r="E324" s="93">
        <v>2408290</v>
      </c>
    </row>
    <row r="325" spans="1:5" x14ac:dyDescent="0.25">
      <c r="A325" s="93" t="s">
        <v>2016</v>
      </c>
      <c r="B325" s="93"/>
      <c r="C325" s="93"/>
      <c r="D325" s="93">
        <v>131148</v>
      </c>
      <c r="E325" s="93">
        <v>146100</v>
      </c>
    </row>
    <row r="326" spans="1:5" x14ac:dyDescent="0.25">
      <c r="A326" s="93" t="s">
        <v>1919</v>
      </c>
      <c r="B326" s="93"/>
      <c r="C326" s="93"/>
      <c r="D326" s="93">
        <v>34298</v>
      </c>
      <c r="E326" s="93">
        <v>34524</v>
      </c>
    </row>
    <row r="327" spans="1:5" x14ac:dyDescent="0.25">
      <c r="A327" s="93" t="s">
        <v>1919</v>
      </c>
      <c r="B327" s="93"/>
      <c r="C327" s="93"/>
      <c r="D327" s="93">
        <v>10843863</v>
      </c>
      <c r="E327" s="93">
        <v>9040486</v>
      </c>
    </row>
    <row r="328" spans="1:5" x14ac:dyDescent="0.25">
      <c r="A328" s="93" t="s">
        <v>2017</v>
      </c>
      <c r="B328" s="93"/>
      <c r="C328" s="93"/>
      <c r="D328" s="93">
        <v>4641195</v>
      </c>
      <c r="E328" s="93">
        <v>2549501</v>
      </c>
    </row>
    <row r="329" spans="1:5" x14ac:dyDescent="0.25">
      <c r="A329" s="93" t="s">
        <v>2018</v>
      </c>
      <c r="B329" s="93"/>
      <c r="C329" s="93"/>
      <c r="D329" s="93">
        <v>4698</v>
      </c>
      <c r="E329" s="93">
        <v>53336</v>
      </c>
    </row>
    <row r="330" spans="1:5" x14ac:dyDescent="0.25">
      <c r="A330" s="93" t="s">
        <v>2019</v>
      </c>
      <c r="B330" s="93"/>
      <c r="C330" s="93"/>
      <c r="D330" s="93">
        <v>2646576</v>
      </c>
      <c r="E330" s="93">
        <v>2622151</v>
      </c>
    </row>
    <row r="331" spans="1:5" x14ac:dyDescent="0.25">
      <c r="A331" s="93" t="s">
        <v>2020</v>
      </c>
      <c r="B331" s="93"/>
      <c r="C331" s="93"/>
      <c r="D331" s="93">
        <v>14326</v>
      </c>
      <c r="E331" s="93">
        <v>7009</v>
      </c>
    </row>
    <row r="332" spans="1:5" x14ac:dyDescent="0.25">
      <c r="A332" s="93" t="s">
        <v>2021</v>
      </c>
      <c r="B332" s="93"/>
      <c r="C332" s="93"/>
      <c r="D332" s="93">
        <v>77169</v>
      </c>
      <c r="E332" s="93">
        <v>117854</v>
      </c>
    </row>
    <row r="333" spans="1:5" x14ac:dyDescent="0.25">
      <c r="A333" s="93" t="s">
        <v>2022</v>
      </c>
      <c r="B333" s="93"/>
      <c r="C333" s="93"/>
      <c r="D333" s="93">
        <v>413820</v>
      </c>
      <c r="E333" s="93">
        <v>427431</v>
      </c>
    </row>
    <row r="334" spans="1:5" x14ac:dyDescent="0.25">
      <c r="A334" s="93" t="s">
        <v>2023</v>
      </c>
      <c r="B334" s="93"/>
      <c r="C334" s="93"/>
      <c r="D334" s="93">
        <v>1318513</v>
      </c>
      <c r="E334" s="93">
        <v>1443886</v>
      </c>
    </row>
    <row r="335" spans="1:5" x14ac:dyDescent="0.25">
      <c r="A335" s="93" t="s">
        <v>2024</v>
      </c>
      <c r="B335" s="93"/>
      <c r="C335" s="93"/>
      <c r="D335" s="93">
        <v>600808</v>
      </c>
      <c r="E335" s="93">
        <v>583050</v>
      </c>
    </row>
    <row r="336" spans="1:5" x14ac:dyDescent="0.25">
      <c r="A336" s="93" t="s">
        <v>2025</v>
      </c>
      <c r="B336" s="93"/>
      <c r="C336" s="93"/>
      <c r="D336" s="93">
        <v>1060218</v>
      </c>
      <c r="E336" s="93">
        <v>1118716</v>
      </c>
    </row>
    <row r="337" spans="1:5" x14ac:dyDescent="0.25">
      <c r="A337" s="93" t="s">
        <v>2026</v>
      </c>
      <c r="B337" s="93"/>
      <c r="C337" s="93"/>
      <c r="D337" s="93">
        <v>66496</v>
      </c>
      <c r="E337" s="93">
        <v>117472</v>
      </c>
    </row>
    <row r="338" spans="1:5" x14ac:dyDescent="0.25">
      <c r="A338" s="93" t="s">
        <v>2027</v>
      </c>
      <c r="B338" s="93"/>
      <c r="C338" s="93"/>
      <c r="D338" s="93">
        <v>44</v>
      </c>
      <c r="E338" s="93">
        <v>80</v>
      </c>
    </row>
    <row r="339" spans="1:5" x14ac:dyDescent="0.25">
      <c r="A339" s="93" t="s">
        <v>2028</v>
      </c>
      <c r="B339" s="93"/>
      <c r="C339" s="93"/>
      <c r="D339" s="93">
        <v>5919206</v>
      </c>
      <c r="E339" s="93">
        <v>6409013</v>
      </c>
    </row>
    <row r="340" spans="1:5" x14ac:dyDescent="0.25">
      <c r="A340" s="93" t="s">
        <v>2029</v>
      </c>
      <c r="B340" s="93"/>
      <c r="C340" s="93"/>
      <c r="D340" s="93">
        <v>406282</v>
      </c>
      <c r="E340" s="93">
        <v>395732</v>
      </c>
    </row>
    <row r="341" spans="1:5" x14ac:dyDescent="0.25">
      <c r="A341" s="93" t="s">
        <v>2030</v>
      </c>
      <c r="B341" s="93"/>
      <c r="C341" s="93"/>
      <c r="D341" s="93">
        <v>261984</v>
      </c>
      <c r="E341" s="93">
        <v>0</v>
      </c>
    </row>
    <row r="342" spans="1:5" x14ac:dyDescent="0.25">
      <c r="A342" s="93" t="s">
        <v>2031</v>
      </c>
      <c r="B342" s="93"/>
      <c r="C342" s="93"/>
      <c r="D342" s="93">
        <v>0</v>
      </c>
      <c r="E342" s="93">
        <v>19927</v>
      </c>
    </row>
    <row r="343" spans="1:5" x14ac:dyDescent="0.25">
      <c r="A343" s="93" t="s">
        <v>2032</v>
      </c>
      <c r="B343" s="93"/>
      <c r="C343" s="93"/>
      <c r="D343" s="93">
        <v>10410</v>
      </c>
      <c r="E343" s="93">
        <v>2642</v>
      </c>
    </row>
    <row r="344" spans="1:5" x14ac:dyDescent="0.25">
      <c r="A344" s="93" t="s">
        <v>2033</v>
      </c>
      <c r="B344" s="93"/>
      <c r="C344" s="93"/>
      <c r="D344" s="93">
        <v>4139</v>
      </c>
      <c r="E344" s="93">
        <v>158135</v>
      </c>
    </row>
    <row r="345" spans="1:5" x14ac:dyDescent="0.25">
      <c r="A345" s="93" t="s">
        <v>2034</v>
      </c>
      <c r="B345" s="93"/>
      <c r="C345" s="93"/>
      <c r="D345" s="93">
        <v>73</v>
      </c>
      <c r="E345" s="93">
        <v>291</v>
      </c>
    </row>
    <row r="346" spans="1:5" x14ac:dyDescent="0.25">
      <c r="A346" s="93" t="s">
        <v>2035</v>
      </c>
      <c r="B346" s="93"/>
      <c r="C346" s="93"/>
      <c r="D346" s="93">
        <v>115171</v>
      </c>
      <c r="E346" s="93">
        <v>127202</v>
      </c>
    </row>
    <row r="347" spans="1:5" x14ac:dyDescent="0.25">
      <c r="A347" s="93" t="s">
        <v>2036</v>
      </c>
      <c r="B347" s="93"/>
      <c r="C347" s="93"/>
      <c r="D347" s="93">
        <v>14505</v>
      </c>
      <c r="E347" s="93">
        <v>87535</v>
      </c>
    </row>
    <row r="348" spans="1:5" x14ac:dyDescent="0.25">
      <c r="A348" s="93" t="s">
        <v>2037</v>
      </c>
      <c r="B348" s="93"/>
      <c r="C348" s="93"/>
      <c r="D348" s="93">
        <v>122531</v>
      </c>
      <c r="E348" s="93">
        <v>80310</v>
      </c>
    </row>
    <row r="349" spans="1:5" x14ac:dyDescent="0.25">
      <c r="A349" s="93" t="s">
        <v>2038</v>
      </c>
      <c r="B349" s="93"/>
      <c r="C349" s="93"/>
      <c r="D349" s="93">
        <v>405</v>
      </c>
      <c r="E349" s="93">
        <v>1460</v>
      </c>
    </row>
    <row r="350" spans="1:5" x14ac:dyDescent="0.25">
      <c r="A350" s="93" t="s">
        <v>2039</v>
      </c>
      <c r="B350" s="93"/>
      <c r="C350" s="93"/>
      <c r="D350" s="93">
        <v>0</v>
      </c>
      <c r="E350" s="93">
        <v>2</v>
      </c>
    </row>
    <row r="351" spans="1:5" x14ac:dyDescent="0.25">
      <c r="A351" s="93" t="s">
        <v>2040</v>
      </c>
      <c r="B351" s="93"/>
      <c r="C351" s="93"/>
      <c r="D351" s="93">
        <v>57481</v>
      </c>
      <c r="E351" s="93">
        <v>0</v>
      </c>
    </row>
    <row r="352" spans="1:5" x14ac:dyDescent="0.25">
      <c r="A352" s="93" t="s">
        <v>2041</v>
      </c>
      <c r="B352" s="93"/>
      <c r="C352" s="93"/>
      <c r="D352" s="93">
        <v>48</v>
      </c>
      <c r="E352" s="93">
        <v>29</v>
      </c>
    </row>
    <row r="353" spans="1:5" x14ac:dyDescent="0.25">
      <c r="A353" s="93" t="s">
        <v>2042</v>
      </c>
      <c r="B353" s="93"/>
      <c r="C353" s="93"/>
      <c r="D353" s="93">
        <v>64327</v>
      </c>
      <c r="E353" s="93">
        <v>74153</v>
      </c>
    </row>
    <row r="354" spans="1:5" x14ac:dyDescent="0.25">
      <c r="A354" s="93" t="s">
        <v>2043</v>
      </c>
      <c r="B354" s="93"/>
      <c r="C354" s="93"/>
      <c r="D354" s="93">
        <v>270</v>
      </c>
      <c r="E354" s="93">
        <v>4666</v>
      </c>
    </row>
    <row r="355" spans="1:5" x14ac:dyDescent="0.25">
      <c r="A355" s="93" t="s">
        <v>2044</v>
      </c>
      <c r="B355" s="93"/>
      <c r="C355" s="93"/>
      <c r="D355" s="93">
        <v>283751</v>
      </c>
      <c r="E355" s="93">
        <v>315422</v>
      </c>
    </row>
    <row r="356" spans="1:5" x14ac:dyDescent="0.25">
      <c r="A356" s="93" t="s">
        <v>2045</v>
      </c>
      <c r="B356" s="93"/>
      <c r="C356" s="93"/>
      <c r="D356" s="93">
        <v>0</v>
      </c>
      <c r="E356" s="93">
        <v>672512</v>
      </c>
    </row>
    <row r="357" spans="1:5" x14ac:dyDescent="0.25">
      <c r="A357" s="93" t="s">
        <v>2046</v>
      </c>
      <c r="B357" s="93"/>
      <c r="C357" s="93"/>
      <c r="D357" s="93">
        <v>273129</v>
      </c>
      <c r="E357" s="93">
        <v>0</v>
      </c>
    </row>
    <row r="358" spans="1:5" x14ac:dyDescent="0.25">
      <c r="A358" s="93" t="s">
        <v>2047</v>
      </c>
      <c r="B358" s="93"/>
      <c r="C358" s="93"/>
      <c r="D358" s="93">
        <v>2897959</v>
      </c>
      <c r="E358" s="93">
        <v>6510402</v>
      </c>
    </row>
    <row r="359" spans="1:5" x14ac:dyDescent="0.25">
      <c r="A359" s="93" t="s">
        <v>2048</v>
      </c>
      <c r="B359" s="93"/>
      <c r="C359" s="93"/>
      <c r="D359" s="93">
        <v>224574</v>
      </c>
      <c r="E359" s="93">
        <v>568935</v>
      </c>
    </row>
    <row r="360" spans="1:5" x14ac:dyDescent="0.25">
      <c r="A360" s="93" t="s">
        <v>2049</v>
      </c>
      <c r="B360" s="93"/>
      <c r="C360" s="93"/>
      <c r="D360" s="93">
        <v>2673385</v>
      </c>
      <c r="E360" s="93">
        <v>5941467</v>
      </c>
    </row>
    <row r="361" spans="1:5" x14ac:dyDescent="0.25">
      <c r="A361" s="93" t="s">
        <v>2050</v>
      </c>
      <c r="B361" s="93"/>
      <c r="C361" s="93"/>
      <c r="D361" s="93">
        <v>3019425</v>
      </c>
      <c r="E361" s="93">
        <v>6533207</v>
      </c>
    </row>
    <row r="362" spans="1:5" x14ac:dyDescent="0.25">
      <c r="A362" s="93" t="s">
        <v>2051</v>
      </c>
      <c r="B362" s="93"/>
      <c r="C362" s="93"/>
      <c r="D362" s="93">
        <v>228062</v>
      </c>
      <c r="E362" s="93">
        <v>527998</v>
      </c>
    </row>
    <row r="363" spans="1:5" x14ac:dyDescent="0.25">
      <c r="A363" s="93" t="s">
        <v>2052</v>
      </c>
      <c r="B363" s="93"/>
      <c r="C363" s="93"/>
      <c r="D363" s="93">
        <v>2791363</v>
      </c>
      <c r="E363" s="93">
        <v>6005209</v>
      </c>
    </row>
    <row r="364" spans="1:5" x14ac:dyDescent="0.25">
      <c r="A364" s="93" t="s">
        <v>2053</v>
      </c>
      <c r="B364" s="93"/>
      <c r="C364" s="93"/>
      <c r="D364" s="93">
        <v>121466</v>
      </c>
      <c r="E364" s="93">
        <v>22805</v>
      </c>
    </row>
    <row r="365" spans="1:5" x14ac:dyDescent="0.25">
      <c r="A365" s="93" t="s">
        <v>2054</v>
      </c>
      <c r="B365" s="93"/>
      <c r="C365" s="93"/>
      <c r="D365" s="93">
        <v>0</v>
      </c>
      <c r="E365" s="93">
        <v>649707</v>
      </c>
    </row>
    <row r="366" spans="1:5" x14ac:dyDescent="0.25">
      <c r="A366" s="93" t="s">
        <v>2055</v>
      </c>
      <c r="B366" s="93"/>
      <c r="C366" s="93"/>
      <c r="D366" s="93">
        <v>394595</v>
      </c>
      <c r="E366" s="93">
        <v>0</v>
      </c>
    </row>
    <row r="367" spans="1:5" x14ac:dyDescent="0.25">
      <c r="A367" s="93" t="s">
        <v>2056</v>
      </c>
      <c r="B367" s="93"/>
      <c r="C367" s="93"/>
      <c r="D367" s="93">
        <v>0</v>
      </c>
      <c r="E367" s="93">
        <v>649707</v>
      </c>
    </row>
    <row r="368" spans="1:5" x14ac:dyDescent="0.25">
      <c r="A368" s="93" t="s">
        <v>2057</v>
      </c>
      <c r="B368" s="93"/>
      <c r="C368" s="93"/>
      <c r="D368" s="93">
        <v>394595</v>
      </c>
      <c r="E368" s="93">
        <v>0</v>
      </c>
    </row>
    <row r="369" spans="1:5" x14ac:dyDescent="0.25">
      <c r="A369" s="11" t="s">
        <v>691</v>
      </c>
      <c r="B369" s="11">
        <v>122041560</v>
      </c>
      <c r="C369" s="11">
        <v>3239070</v>
      </c>
      <c r="D369" s="11">
        <v>118802490</v>
      </c>
      <c r="E369" s="11">
        <v>101901103</v>
      </c>
    </row>
    <row r="370" spans="1:5" x14ac:dyDescent="0.25">
      <c r="A370" s="11" t="s">
        <v>692</v>
      </c>
      <c r="B370" s="11">
        <v>5961897</v>
      </c>
      <c r="C370" s="11">
        <v>39240</v>
      </c>
      <c r="D370" s="11">
        <v>5922657</v>
      </c>
      <c r="E370" s="11">
        <v>6834759</v>
      </c>
    </row>
    <row r="371" spans="1:5" x14ac:dyDescent="0.25">
      <c r="A371" s="11" t="s">
        <v>693</v>
      </c>
      <c r="B371" s="11">
        <v>1862228</v>
      </c>
      <c r="C371" s="11">
        <v>0</v>
      </c>
      <c r="D371" s="11">
        <v>1862228</v>
      </c>
      <c r="E371" s="11">
        <v>1573561</v>
      </c>
    </row>
    <row r="372" spans="1:5" x14ac:dyDescent="0.25">
      <c r="A372" s="11" t="s">
        <v>694</v>
      </c>
      <c r="B372" s="11">
        <v>103923</v>
      </c>
      <c r="C372" s="11">
        <v>27502</v>
      </c>
      <c r="D372" s="11">
        <v>76421</v>
      </c>
      <c r="E372" s="11">
        <v>35739</v>
      </c>
    </row>
    <row r="373" spans="1:5" x14ac:dyDescent="0.25">
      <c r="A373" s="11" t="s">
        <v>695</v>
      </c>
      <c r="B373" s="11">
        <v>3977465</v>
      </c>
      <c r="C373" s="11">
        <v>746</v>
      </c>
      <c r="D373" s="11">
        <v>3976719</v>
      </c>
      <c r="E373" s="11">
        <v>5215374</v>
      </c>
    </row>
    <row r="374" spans="1:5" x14ac:dyDescent="0.25">
      <c r="A374" s="11" t="s">
        <v>696</v>
      </c>
      <c r="B374" s="11">
        <v>18281</v>
      </c>
      <c r="C374" s="11">
        <v>10992</v>
      </c>
      <c r="D374" s="11">
        <v>7289</v>
      </c>
      <c r="E374" s="11">
        <v>10085</v>
      </c>
    </row>
    <row r="375" spans="1:5" x14ac:dyDescent="0.25">
      <c r="A375" s="11" t="s">
        <v>697</v>
      </c>
      <c r="B375" s="11">
        <v>16335426</v>
      </c>
      <c r="C375" s="11">
        <v>0</v>
      </c>
      <c r="D375" s="11">
        <v>16335426</v>
      </c>
      <c r="E375" s="11">
        <v>11085555</v>
      </c>
    </row>
    <row r="376" spans="1:5" x14ac:dyDescent="0.25">
      <c r="A376" s="11" t="s">
        <v>698</v>
      </c>
      <c r="B376" s="11">
        <v>16335426</v>
      </c>
      <c r="C376" s="11">
        <v>0</v>
      </c>
      <c r="D376" s="11">
        <v>16335426</v>
      </c>
      <c r="E376" s="11">
        <v>11085555</v>
      </c>
    </row>
    <row r="377" spans="1:5" x14ac:dyDescent="0.25">
      <c r="A377" s="11" t="s">
        <v>699</v>
      </c>
      <c r="B377" s="11">
        <v>476821</v>
      </c>
      <c r="C377" s="11">
        <v>71887</v>
      </c>
      <c r="D377" s="11">
        <v>404934</v>
      </c>
      <c r="E377" s="11">
        <v>233443</v>
      </c>
    </row>
    <row r="378" spans="1:5" x14ac:dyDescent="0.25">
      <c r="A378" s="11" t="s">
        <v>700</v>
      </c>
      <c r="B378" s="11">
        <v>476498</v>
      </c>
      <c r="C378" s="11">
        <v>71885</v>
      </c>
      <c r="D378" s="11">
        <v>404613</v>
      </c>
      <c r="E378" s="11">
        <v>233189</v>
      </c>
    </row>
    <row r="379" spans="1:5" x14ac:dyDescent="0.25">
      <c r="A379" s="11" t="s">
        <v>701</v>
      </c>
      <c r="B379" s="11">
        <v>323</v>
      </c>
      <c r="C379" s="11">
        <v>2</v>
      </c>
      <c r="D379" s="11">
        <v>321</v>
      </c>
      <c r="E379" s="11">
        <v>254</v>
      </c>
    </row>
    <row r="380" spans="1:5" x14ac:dyDescent="0.25">
      <c r="A380" s="11" t="s">
        <v>702</v>
      </c>
      <c r="B380" s="11">
        <v>94603436</v>
      </c>
      <c r="C380" s="11">
        <v>1717046</v>
      </c>
      <c r="D380" s="11">
        <v>92886390</v>
      </c>
      <c r="E380" s="11">
        <v>80788053</v>
      </c>
    </row>
    <row r="381" spans="1:5" x14ac:dyDescent="0.25">
      <c r="A381" s="11" t="s">
        <v>703</v>
      </c>
      <c r="B381" s="11">
        <v>19517792</v>
      </c>
      <c r="C381" s="11">
        <v>277414</v>
      </c>
      <c r="D381" s="11">
        <v>19240378</v>
      </c>
      <c r="E381" s="11">
        <v>20380929</v>
      </c>
    </row>
    <row r="382" spans="1:5" x14ac:dyDescent="0.25">
      <c r="A382" s="11" t="s">
        <v>704</v>
      </c>
      <c r="B382" s="11">
        <v>75085644</v>
      </c>
      <c r="C382" s="11">
        <v>1439632</v>
      </c>
      <c r="D382" s="11">
        <v>73646012</v>
      </c>
      <c r="E382" s="11">
        <v>60407124</v>
      </c>
    </row>
    <row r="383" spans="1:5" x14ac:dyDescent="0.25">
      <c r="A383" s="11" t="s">
        <v>705</v>
      </c>
      <c r="B383" s="11">
        <v>4493509</v>
      </c>
      <c r="C383" s="11">
        <v>1296604</v>
      </c>
      <c r="D383" s="11">
        <v>3196905</v>
      </c>
      <c r="E383" s="11">
        <v>2900791</v>
      </c>
    </row>
    <row r="384" spans="1:5" x14ac:dyDescent="0.25">
      <c r="A384" s="11" t="s">
        <v>706</v>
      </c>
      <c r="B384" s="11">
        <v>58804</v>
      </c>
      <c r="C384" s="11">
        <v>1896</v>
      </c>
      <c r="D384" s="11">
        <v>56908</v>
      </c>
      <c r="E384" s="11">
        <v>1192084</v>
      </c>
    </row>
    <row r="385" spans="1:5" x14ac:dyDescent="0.25">
      <c r="A385" s="11" t="s">
        <v>707</v>
      </c>
      <c r="B385" s="11">
        <v>3694897</v>
      </c>
      <c r="C385" s="11">
        <v>1294708</v>
      </c>
      <c r="D385" s="11">
        <v>2400189</v>
      </c>
      <c r="E385" s="11">
        <v>1015734</v>
      </c>
    </row>
    <row r="386" spans="1:5" x14ac:dyDescent="0.25">
      <c r="A386" s="11" t="s">
        <v>708</v>
      </c>
      <c r="B386" s="11">
        <v>477870</v>
      </c>
      <c r="C386" s="11">
        <v>0</v>
      </c>
      <c r="D386" s="11">
        <v>477870</v>
      </c>
      <c r="E386" s="11">
        <v>464138</v>
      </c>
    </row>
    <row r="387" spans="1:5" x14ac:dyDescent="0.25">
      <c r="A387" s="11" t="s">
        <v>1920</v>
      </c>
      <c r="B387" s="11">
        <v>261938</v>
      </c>
      <c r="C387" s="11">
        <v>0</v>
      </c>
      <c r="D387" s="11">
        <v>261938</v>
      </c>
      <c r="E387" s="11">
        <v>228835</v>
      </c>
    </row>
    <row r="388" spans="1:5" x14ac:dyDescent="0.25">
      <c r="A388" s="11" t="s">
        <v>709</v>
      </c>
      <c r="B388" s="11">
        <v>170471</v>
      </c>
      <c r="C388" s="11">
        <v>114293</v>
      </c>
      <c r="D388" s="11">
        <v>56178</v>
      </c>
      <c r="E388" s="11">
        <v>58502</v>
      </c>
    </row>
    <row r="389" spans="1:5" x14ac:dyDescent="0.25">
      <c r="A389" s="11" t="s">
        <v>710</v>
      </c>
      <c r="B389" s="11">
        <v>2746061</v>
      </c>
      <c r="C389" s="11">
        <v>1186233</v>
      </c>
      <c r="D389" s="11">
        <v>1559828</v>
      </c>
      <c r="E389" s="11">
        <v>1552583</v>
      </c>
    </row>
    <row r="390" spans="1:5" x14ac:dyDescent="0.25">
      <c r="A390" s="11" t="s">
        <v>711</v>
      </c>
      <c r="B390" s="11">
        <v>1899182</v>
      </c>
      <c r="C390" s="11">
        <v>637951</v>
      </c>
      <c r="D390" s="11">
        <v>1261231</v>
      </c>
      <c r="E390" s="11">
        <v>1168004</v>
      </c>
    </row>
    <row r="391" spans="1:5" x14ac:dyDescent="0.25">
      <c r="A391" s="11" t="s">
        <v>712</v>
      </c>
      <c r="B391" s="11">
        <v>1779937</v>
      </c>
      <c r="C391" s="11">
        <v>637951</v>
      </c>
      <c r="D391" s="11">
        <v>1141986</v>
      </c>
      <c r="E391" s="11">
        <v>1052280</v>
      </c>
    </row>
    <row r="392" spans="1:5" x14ac:dyDescent="0.25">
      <c r="A392" s="11" t="s">
        <v>713</v>
      </c>
      <c r="B392" s="11">
        <v>117254</v>
      </c>
      <c r="C392" s="11">
        <v>0</v>
      </c>
      <c r="D392" s="11">
        <v>117254</v>
      </c>
      <c r="E392" s="11">
        <v>101161</v>
      </c>
    </row>
    <row r="393" spans="1:5" x14ac:dyDescent="0.25">
      <c r="A393" s="11" t="s">
        <v>714</v>
      </c>
      <c r="B393" s="11">
        <v>1991</v>
      </c>
      <c r="C393" s="11">
        <v>0</v>
      </c>
      <c r="D393" s="11">
        <v>1991</v>
      </c>
      <c r="E393" s="11">
        <v>14563</v>
      </c>
    </row>
    <row r="394" spans="1:5" x14ac:dyDescent="0.25">
      <c r="A394" s="11" t="s">
        <v>715</v>
      </c>
      <c r="B394" s="11">
        <v>846879</v>
      </c>
      <c r="C394" s="11">
        <v>548282</v>
      </c>
      <c r="D394" s="11">
        <v>298597</v>
      </c>
      <c r="E394" s="11">
        <v>384579</v>
      </c>
    </row>
    <row r="395" spans="1:5" x14ac:dyDescent="0.25">
      <c r="A395" s="11" t="s">
        <v>716</v>
      </c>
      <c r="B395" s="11">
        <v>846879</v>
      </c>
      <c r="C395" s="11">
        <v>548282</v>
      </c>
      <c r="D395" s="11">
        <v>298597</v>
      </c>
      <c r="E395" s="11">
        <v>384579</v>
      </c>
    </row>
    <row r="396" spans="1:5" x14ac:dyDescent="0.25">
      <c r="A396" s="11" t="s">
        <v>717</v>
      </c>
      <c r="B396" s="11">
        <v>124787621</v>
      </c>
      <c r="C396" s="11">
        <v>4425303</v>
      </c>
      <c r="D396" s="11">
        <v>120362318</v>
      </c>
      <c r="E396" s="11">
        <v>103453686</v>
      </c>
    </row>
    <row r="397" spans="1:5" x14ac:dyDescent="0.25">
      <c r="A397" s="11" t="s">
        <v>718</v>
      </c>
      <c r="B397" s="11">
        <v>106683646</v>
      </c>
      <c r="C397" s="11">
        <v>0</v>
      </c>
      <c r="D397" s="11">
        <v>106683646</v>
      </c>
      <c r="E397" s="11">
        <v>93330377</v>
      </c>
    </row>
    <row r="398" spans="1:5" x14ac:dyDescent="0.25">
      <c r="A398" s="11" t="s">
        <v>719</v>
      </c>
      <c r="B398" s="11">
        <v>231471267</v>
      </c>
      <c r="C398" s="11">
        <v>4425303</v>
      </c>
      <c r="D398" s="11">
        <v>227045964</v>
      </c>
      <c r="E398" s="11">
        <v>196784063</v>
      </c>
    </row>
    <row r="399" spans="1:5" x14ac:dyDescent="0.25">
      <c r="A399" s="93" t="s">
        <v>2061</v>
      </c>
      <c r="B399" s="93"/>
      <c r="C399" s="93"/>
      <c r="D399" s="93">
        <v>118802490</v>
      </c>
      <c r="E399" s="93">
        <v>101901103</v>
      </c>
    </row>
    <row r="400" spans="1:5" x14ac:dyDescent="0.25">
      <c r="A400" s="93" t="s">
        <v>2062</v>
      </c>
      <c r="B400" s="93"/>
      <c r="C400" s="93"/>
      <c r="D400" s="93">
        <v>5922657</v>
      </c>
      <c r="E400" s="93">
        <v>6834759</v>
      </c>
    </row>
    <row r="401" spans="1:5" x14ac:dyDescent="0.25">
      <c r="A401" s="93" t="s">
        <v>2063</v>
      </c>
      <c r="B401" s="93"/>
      <c r="C401" s="93"/>
      <c r="D401" s="93">
        <v>1862228</v>
      </c>
      <c r="E401" s="93">
        <v>1573561</v>
      </c>
    </row>
    <row r="402" spans="1:5" x14ac:dyDescent="0.25">
      <c r="A402" s="93" t="s">
        <v>2064</v>
      </c>
      <c r="B402" s="93"/>
      <c r="C402" s="93"/>
      <c r="D402" s="93">
        <v>76421</v>
      </c>
      <c r="E402" s="93">
        <v>35739</v>
      </c>
    </row>
    <row r="403" spans="1:5" x14ac:dyDescent="0.25">
      <c r="A403" s="93" t="s">
        <v>2065</v>
      </c>
      <c r="B403" s="93"/>
      <c r="C403" s="93"/>
      <c r="D403" s="93">
        <v>3976719</v>
      </c>
      <c r="E403" s="93">
        <v>5215374</v>
      </c>
    </row>
    <row r="404" spans="1:5" x14ac:dyDescent="0.25">
      <c r="A404" s="93" t="s">
        <v>2066</v>
      </c>
      <c r="B404" s="93"/>
      <c r="C404" s="93"/>
      <c r="D404" s="93">
        <v>7289</v>
      </c>
      <c r="E404" s="93">
        <v>10085</v>
      </c>
    </row>
    <row r="405" spans="1:5" x14ac:dyDescent="0.25">
      <c r="A405" s="93" t="s">
        <v>2067</v>
      </c>
      <c r="B405" s="93"/>
      <c r="C405" s="93"/>
      <c r="D405" s="93">
        <v>16335426</v>
      </c>
      <c r="E405" s="93">
        <v>11085555</v>
      </c>
    </row>
    <row r="406" spans="1:5" x14ac:dyDescent="0.25">
      <c r="A406" s="93" t="s">
        <v>2068</v>
      </c>
      <c r="B406" s="93"/>
      <c r="C406" s="93"/>
      <c r="D406" s="93">
        <v>16335426</v>
      </c>
      <c r="E406" s="93">
        <v>11085555</v>
      </c>
    </row>
    <row r="407" spans="1:5" x14ac:dyDescent="0.25">
      <c r="A407" s="11" t="s">
        <v>720</v>
      </c>
      <c r="B407" s="11"/>
      <c r="C407" s="11"/>
      <c r="D407" s="11">
        <v>99832456</v>
      </c>
      <c r="E407" s="11">
        <v>83066316</v>
      </c>
    </row>
    <row r="408" spans="1:5" x14ac:dyDescent="0.25">
      <c r="A408" s="11" t="s">
        <v>721</v>
      </c>
      <c r="B408" s="11"/>
      <c r="C408" s="11"/>
      <c r="D408" s="11">
        <v>97545033</v>
      </c>
      <c r="E408" s="11">
        <v>81291602</v>
      </c>
    </row>
    <row r="409" spans="1:5" x14ac:dyDescent="0.25">
      <c r="A409" s="11" t="s">
        <v>722</v>
      </c>
      <c r="B409" s="11"/>
      <c r="C409" s="11"/>
      <c r="D409" s="11">
        <v>19490582</v>
      </c>
      <c r="E409" s="11">
        <v>17351761</v>
      </c>
    </row>
    <row r="410" spans="1:5" x14ac:dyDescent="0.25">
      <c r="A410" s="11" t="s">
        <v>723</v>
      </c>
      <c r="B410" s="11"/>
      <c r="C410" s="11"/>
      <c r="D410" s="11">
        <v>37036781</v>
      </c>
      <c r="E410" s="11">
        <v>37618472</v>
      </c>
    </row>
    <row r="411" spans="1:5" x14ac:dyDescent="0.25">
      <c r="A411" s="11" t="s">
        <v>724</v>
      </c>
      <c r="B411" s="11"/>
      <c r="C411" s="11"/>
      <c r="D411" s="11">
        <v>41017670</v>
      </c>
      <c r="E411" s="11">
        <v>26321369</v>
      </c>
    </row>
    <row r="412" spans="1:5" x14ac:dyDescent="0.25">
      <c r="A412" s="11" t="s">
        <v>725</v>
      </c>
      <c r="B412" s="11"/>
      <c r="C412" s="11"/>
      <c r="D412" s="11">
        <v>103336</v>
      </c>
      <c r="E412" s="11">
        <v>214816</v>
      </c>
    </row>
    <row r="413" spans="1:5" x14ac:dyDescent="0.25">
      <c r="A413" s="11" t="s">
        <v>726</v>
      </c>
      <c r="B413" s="11"/>
      <c r="C413" s="11"/>
      <c r="D413" s="11">
        <v>99038</v>
      </c>
      <c r="E413" s="11">
        <v>211147</v>
      </c>
    </row>
    <row r="414" spans="1:5" x14ac:dyDescent="0.25">
      <c r="A414" s="11" t="s">
        <v>727</v>
      </c>
      <c r="B414" s="11"/>
      <c r="C414" s="11"/>
      <c r="D414" s="11">
        <v>4298</v>
      </c>
      <c r="E414" s="11">
        <v>3669</v>
      </c>
    </row>
    <row r="415" spans="1:5" x14ac:dyDescent="0.25">
      <c r="A415" s="11" t="s">
        <v>728</v>
      </c>
      <c r="B415" s="11"/>
      <c r="C415" s="11"/>
      <c r="D415" s="11">
        <v>2184087</v>
      </c>
      <c r="E415" s="11">
        <v>1559898</v>
      </c>
    </row>
    <row r="416" spans="1:5" x14ac:dyDescent="0.25">
      <c r="A416" s="11" t="s">
        <v>1921</v>
      </c>
      <c r="B416" s="11"/>
      <c r="C416" s="11"/>
      <c r="D416" s="11">
        <v>185829</v>
      </c>
      <c r="E416" s="11">
        <v>8124</v>
      </c>
    </row>
    <row r="417" spans="1:5" x14ac:dyDescent="0.25">
      <c r="A417" s="11" t="s">
        <v>729</v>
      </c>
      <c r="B417" s="11"/>
      <c r="C417" s="11"/>
      <c r="D417" s="11">
        <v>411957</v>
      </c>
      <c r="E417" s="11">
        <v>388684</v>
      </c>
    </row>
    <row r="418" spans="1:5" x14ac:dyDescent="0.25">
      <c r="A418" s="11" t="s">
        <v>730</v>
      </c>
      <c r="B418" s="11"/>
      <c r="C418" s="11"/>
      <c r="D418" s="11">
        <v>130164</v>
      </c>
      <c r="E418" s="11">
        <v>24510</v>
      </c>
    </row>
    <row r="419" spans="1:5" x14ac:dyDescent="0.25">
      <c r="A419" s="11" t="s">
        <v>1922</v>
      </c>
      <c r="B419" s="11"/>
      <c r="C419" s="11"/>
      <c r="D419" s="11">
        <v>0</v>
      </c>
      <c r="E419" s="11">
        <v>19462</v>
      </c>
    </row>
    <row r="420" spans="1:5" x14ac:dyDescent="0.25">
      <c r="A420" s="11" t="s">
        <v>731</v>
      </c>
      <c r="B420" s="11"/>
      <c r="C420" s="11"/>
      <c r="D420" s="11">
        <v>99314</v>
      </c>
      <c r="E420" s="11">
        <v>88998</v>
      </c>
    </row>
    <row r="421" spans="1:5" x14ac:dyDescent="0.25">
      <c r="A421" s="11" t="s">
        <v>732</v>
      </c>
      <c r="B421" s="11"/>
      <c r="C421" s="11"/>
      <c r="D421" s="11">
        <v>1050156</v>
      </c>
      <c r="E421" s="11">
        <v>859945</v>
      </c>
    </row>
    <row r="422" spans="1:5" x14ac:dyDescent="0.25">
      <c r="A422" s="11" t="s">
        <v>733</v>
      </c>
      <c r="B422" s="11"/>
      <c r="C422" s="11"/>
      <c r="D422" s="11">
        <v>17299</v>
      </c>
      <c r="E422" s="11">
        <v>14007</v>
      </c>
    </row>
    <row r="423" spans="1:5" x14ac:dyDescent="0.25">
      <c r="A423" s="11" t="s">
        <v>734</v>
      </c>
      <c r="B423" s="11"/>
      <c r="C423" s="11"/>
      <c r="D423" s="11">
        <v>289368</v>
      </c>
      <c r="E423" s="11">
        <v>156168</v>
      </c>
    </row>
    <row r="424" spans="1:5" x14ac:dyDescent="0.25">
      <c r="A424" s="11" t="s">
        <v>735</v>
      </c>
      <c r="B424" s="11"/>
      <c r="C424" s="11"/>
      <c r="D424" s="11">
        <v>20529862</v>
      </c>
      <c r="E424" s="11">
        <v>20387370</v>
      </c>
    </row>
    <row r="425" spans="1:5" x14ac:dyDescent="0.25">
      <c r="A425" s="11" t="s">
        <v>736</v>
      </c>
      <c r="B425" s="11"/>
      <c r="C425" s="11"/>
      <c r="D425" s="11">
        <v>26000000</v>
      </c>
      <c r="E425" s="11">
        <v>26000000</v>
      </c>
    </row>
    <row r="426" spans="1:5" x14ac:dyDescent="0.25">
      <c r="A426" s="11" t="s">
        <v>737</v>
      </c>
      <c r="B426" s="11"/>
      <c r="C426" s="11"/>
      <c r="D426" s="11">
        <v>26000000</v>
      </c>
      <c r="E426" s="11">
        <v>26000000</v>
      </c>
    </row>
    <row r="427" spans="1:5" x14ac:dyDescent="0.25">
      <c r="A427" s="11" t="s">
        <v>738</v>
      </c>
      <c r="B427" s="11"/>
      <c r="C427" s="11"/>
      <c r="D427" s="11">
        <v>856860</v>
      </c>
      <c r="E427" s="11">
        <v>261574</v>
      </c>
    </row>
    <row r="428" spans="1:5" x14ac:dyDescent="0.25">
      <c r="A428" s="11" t="s">
        <v>739</v>
      </c>
      <c r="B428" s="11"/>
      <c r="C428" s="11"/>
      <c r="D428" s="11">
        <v>856860</v>
      </c>
      <c r="E428" s="11">
        <v>261574</v>
      </c>
    </row>
    <row r="429" spans="1:5" x14ac:dyDescent="0.25">
      <c r="A429" s="11" t="s">
        <v>740</v>
      </c>
      <c r="B429" s="11"/>
      <c r="C429" s="11"/>
      <c r="D429" s="11">
        <v>142492</v>
      </c>
      <c r="E429" s="11">
        <v>595286</v>
      </c>
    </row>
    <row r="430" spans="1:5" x14ac:dyDescent="0.25">
      <c r="A430" s="11" t="s">
        <v>1954</v>
      </c>
      <c r="B430" s="11"/>
      <c r="C430" s="11"/>
      <c r="D430" s="11">
        <v>0</v>
      </c>
      <c r="E430" s="11">
        <v>595286</v>
      </c>
    </row>
    <row r="431" spans="1:5" x14ac:dyDescent="0.25">
      <c r="A431" s="11" t="s">
        <v>1923</v>
      </c>
      <c r="B431" s="11"/>
      <c r="C431" s="11"/>
      <c r="D431" s="11">
        <v>142492</v>
      </c>
      <c r="E431" s="11">
        <v>0</v>
      </c>
    </row>
    <row r="432" spans="1:5" x14ac:dyDescent="0.25">
      <c r="A432" s="11" t="s">
        <v>741</v>
      </c>
      <c r="B432" s="11"/>
      <c r="C432" s="11"/>
      <c r="D432" s="11">
        <v>6469490</v>
      </c>
      <c r="E432" s="11">
        <v>6469490</v>
      </c>
    </row>
    <row r="433" spans="1:5" x14ac:dyDescent="0.25">
      <c r="A433" s="11" t="s">
        <v>742</v>
      </c>
      <c r="B433" s="11"/>
      <c r="C433" s="11"/>
      <c r="D433" s="11">
        <v>6469490</v>
      </c>
      <c r="E433" s="11">
        <v>6469490</v>
      </c>
    </row>
    <row r="434" spans="1:5" x14ac:dyDescent="0.25">
      <c r="A434" s="11" t="s">
        <v>743</v>
      </c>
      <c r="B434" s="11"/>
      <c r="C434" s="11"/>
      <c r="D434" s="11">
        <v>120362318</v>
      </c>
      <c r="E434" s="11">
        <v>103453686</v>
      </c>
    </row>
    <row r="435" spans="1:5" x14ac:dyDescent="0.25">
      <c r="A435" s="11" t="s">
        <v>744</v>
      </c>
      <c r="B435" s="11"/>
      <c r="C435" s="11"/>
      <c r="D435" s="11">
        <v>106683646</v>
      </c>
      <c r="E435" s="11">
        <v>93330377</v>
      </c>
    </row>
    <row r="436" spans="1:5" x14ac:dyDescent="0.25">
      <c r="A436" s="11" t="s">
        <v>745</v>
      </c>
      <c r="B436" s="11"/>
      <c r="C436" s="11"/>
      <c r="D436" s="11">
        <v>227045964</v>
      </c>
      <c r="E436" s="11">
        <v>196784063</v>
      </c>
    </row>
    <row r="437" spans="1:5" x14ac:dyDescent="0.25">
      <c r="A437" s="11" t="s">
        <v>746</v>
      </c>
      <c r="B437" s="11"/>
      <c r="C437" s="11"/>
      <c r="D437" s="11">
        <v>4812710</v>
      </c>
      <c r="E437" s="11">
        <v>2608569</v>
      </c>
    </row>
    <row r="438" spans="1:5" x14ac:dyDescent="0.25">
      <c r="A438" s="11" t="s">
        <v>747</v>
      </c>
      <c r="B438" s="11"/>
      <c r="C438" s="11"/>
      <c r="D438" s="11">
        <v>1162696</v>
      </c>
      <c r="E438" s="11">
        <v>789103</v>
      </c>
    </row>
    <row r="439" spans="1:5" x14ac:dyDescent="0.25">
      <c r="A439" s="11" t="s">
        <v>748</v>
      </c>
      <c r="B439" s="11"/>
      <c r="C439" s="11"/>
      <c r="D439" s="11">
        <v>3650014</v>
      </c>
      <c r="E439" s="11">
        <v>1818097</v>
      </c>
    </row>
    <row r="440" spans="1:5" x14ac:dyDescent="0.25">
      <c r="A440" s="11" t="s">
        <v>749</v>
      </c>
      <c r="B440" s="11"/>
      <c r="C440" s="11"/>
      <c r="D440" s="11">
        <v>0</v>
      </c>
      <c r="E440" s="11">
        <v>1369</v>
      </c>
    </row>
    <row r="441" spans="1:5" x14ac:dyDescent="0.25">
      <c r="A441" s="11" t="s">
        <v>750</v>
      </c>
      <c r="B441" s="11"/>
      <c r="C441" s="11"/>
      <c r="D441" s="11">
        <v>1810129</v>
      </c>
      <c r="E441" s="11">
        <v>636428</v>
      </c>
    </row>
    <row r="442" spans="1:5" x14ac:dyDescent="0.25">
      <c r="A442" s="11" t="s">
        <v>751</v>
      </c>
      <c r="B442" s="11"/>
      <c r="C442" s="11"/>
      <c r="D442" s="11">
        <v>207503</v>
      </c>
      <c r="E442" s="11">
        <v>93447</v>
      </c>
    </row>
    <row r="443" spans="1:5" x14ac:dyDescent="0.25">
      <c r="A443" s="11" t="s">
        <v>752</v>
      </c>
      <c r="B443" s="11"/>
      <c r="C443" s="11"/>
      <c r="D443" s="11">
        <v>801784</v>
      </c>
      <c r="E443" s="11">
        <v>452063</v>
      </c>
    </row>
    <row r="444" spans="1:5" x14ac:dyDescent="0.25">
      <c r="A444" s="11" t="s">
        <v>753</v>
      </c>
      <c r="B444" s="11"/>
      <c r="C444" s="11"/>
      <c r="D444" s="11">
        <v>800842</v>
      </c>
      <c r="E444" s="11">
        <v>90918</v>
      </c>
    </row>
    <row r="445" spans="1:5" x14ac:dyDescent="0.25">
      <c r="A445" s="11" t="s">
        <v>754</v>
      </c>
      <c r="B445" s="11"/>
      <c r="C445" s="11"/>
      <c r="D445" s="11">
        <v>3002581</v>
      </c>
      <c r="E445" s="11">
        <v>1972141</v>
      </c>
    </row>
    <row r="446" spans="1:5" x14ac:dyDescent="0.25">
      <c r="A446" s="11" t="s">
        <v>755</v>
      </c>
      <c r="B446" s="11"/>
      <c r="C446" s="11"/>
      <c r="D446" s="11">
        <v>772296</v>
      </c>
      <c r="E446" s="11">
        <v>463407</v>
      </c>
    </row>
    <row r="447" spans="1:5" x14ac:dyDescent="0.25">
      <c r="A447" s="11" t="s">
        <v>756</v>
      </c>
      <c r="B447" s="11"/>
      <c r="C447" s="11"/>
      <c r="D447" s="11">
        <v>226218</v>
      </c>
      <c r="E447" s="11">
        <v>151917</v>
      </c>
    </row>
    <row r="448" spans="1:5" x14ac:dyDescent="0.25">
      <c r="A448" s="11" t="s">
        <v>757</v>
      </c>
      <c r="B448" s="11"/>
      <c r="C448" s="11"/>
      <c r="D448" s="11">
        <v>346442</v>
      </c>
      <c r="E448" s="11">
        <v>176774</v>
      </c>
    </row>
    <row r="449" spans="1:5" x14ac:dyDescent="0.25">
      <c r="A449" s="11" t="s">
        <v>758</v>
      </c>
      <c r="B449" s="11"/>
      <c r="C449" s="11"/>
      <c r="D449" s="11">
        <v>199636</v>
      </c>
      <c r="E449" s="11">
        <v>134716</v>
      </c>
    </row>
    <row r="450" spans="1:5" x14ac:dyDescent="0.25">
      <c r="A450" s="11" t="s">
        <v>759</v>
      </c>
      <c r="B450" s="11"/>
      <c r="C450" s="11"/>
      <c r="D450" s="11">
        <v>200938</v>
      </c>
      <c r="E450" s="11">
        <v>83840</v>
      </c>
    </row>
    <row r="451" spans="1:5" x14ac:dyDescent="0.25">
      <c r="A451" s="11" t="s">
        <v>1955</v>
      </c>
      <c r="B451" s="11"/>
      <c r="C451" s="11"/>
      <c r="D451" s="11">
        <v>59</v>
      </c>
      <c r="E451" s="11">
        <v>0</v>
      </c>
    </row>
    <row r="452" spans="1:5" x14ac:dyDescent="0.25">
      <c r="A452" s="11" t="s">
        <v>760</v>
      </c>
      <c r="B452" s="11"/>
      <c r="C452" s="11"/>
      <c r="D452" s="11">
        <v>43463</v>
      </c>
      <c r="E452" s="11">
        <v>4325</v>
      </c>
    </row>
    <row r="453" spans="1:5" x14ac:dyDescent="0.25">
      <c r="A453" s="11" t="s">
        <v>761</v>
      </c>
      <c r="B453" s="11"/>
      <c r="C453" s="11"/>
      <c r="D453" s="11">
        <v>157416</v>
      </c>
      <c r="E453" s="11">
        <v>79515</v>
      </c>
    </row>
    <row r="454" spans="1:5" x14ac:dyDescent="0.25">
      <c r="A454" s="11" t="s">
        <v>762</v>
      </c>
      <c r="B454" s="11"/>
      <c r="C454" s="11"/>
      <c r="D454" s="11">
        <v>571358</v>
      </c>
      <c r="E454" s="11">
        <v>379567</v>
      </c>
    </row>
    <row r="455" spans="1:5" x14ac:dyDescent="0.25">
      <c r="A455" s="11" t="s">
        <v>763</v>
      </c>
      <c r="B455" s="11"/>
      <c r="C455" s="11"/>
      <c r="D455" s="11">
        <v>3573939</v>
      </c>
      <c r="E455" s="11">
        <v>2351708</v>
      </c>
    </row>
    <row r="456" spans="1:5" x14ac:dyDescent="0.25">
      <c r="A456" s="11" t="s">
        <v>764</v>
      </c>
      <c r="B456" s="11"/>
      <c r="C456" s="11"/>
      <c r="D456" s="11">
        <v>1424548</v>
      </c>
      <c r="E456" s="11">
        <v>1694149</v>
      </c>
    </row>
    <row r="457" spans="1:5" x14ac:dyDescent="0.25">
      <c r="A457" s="11" t="s">
        <v>765</v>
      </c>
      <c r="B457" s="11"/>
      <c r="C457" s="11"/>
      <c r="D457" s="11">
        <v>1345556</v>
      </c>
      <c r="E457" s="11">
        <v>1660919</v>
      </c>
    </row>
    <row r="458" spans="1:5" x14ac:dyDescent="0.25">
      <c r="A458" s="11" t="s">
        <v>766</v>
      </c>
      <c r="B458" s="11"/>
      <c r="C458" s="11"/>
      <c r="D458" s="11">
        <v>78992</v>
      </c>
      <c r="E458" s="11">
        <v>33230</v>
      </c>
    </row>
    <row r="459" spans="1:5" x14ac:dyDescent="0.25">
      <c r="A459" s="11" t="s">
        <v>767</v>
      </c>
      <c r="B459" s="11"/>
      <c r="C459" s="11"/>
      <c r="D459" s="11">
        <v>4996763</v>
      </c>
      <c r="E459" s="11">
        <v>4009781</v>
      </c>
    </row>
    <row r="460" spans="1:5" x14ac:dyDescent="0.25">
      <c r="A460" s="11" t="s">
        <v>768</v>
      </c>
      <c r="B460" s="11"/>
      <c r="C460" s="11"/>
      <c r="D460" s="11">
        <v>1628052</v>
      </c>
      <c r="E460" s="11">
        <v>1596911</v>
      </c>
    </row>
    <row r="461" spans="1:5" x14ac:dyDescent="0.25">
      <c r="A461" s="11" t="s">
        <v>769</v>
      </c>
      <c r="B461" s="11"/>
      <c r="C461" s="11"/>
      <c r="D461" s="11">
        <v>89308</v>
      </c>
      <c r="E461" s="11">
        <v>34570</v>
      </c>
    </row>
    <row r="462" spans="1:5" x14ac:dyDescent="0.25">
      <c r="A462" s="11" t="s">
        <v>770</v>
      </c>
      <c r="B462" s="11"/>
      <c r="C462" s="11"/>
      <c r="D462" s="11">
        <v>1797630</v>
      </c>
      <c r="E462" s="11">
        <v>1284079</v>
      </c>
    </row>
    <row r="463" spans="1:5" x14ac:dyDescent="0.25">
      <c r="A463" s="11" t="s">
        <v>771</v>
      </c>
      <c r="B463" s="11"/>
      <c r="C463" s="11"/>
      <c r="D463" s="11">
        <v>44234</v>
      </c>
      <c r="E463" s="11">
        <v>35995</v>
      </c>
    </row>
    <row r="464" spans="1:5" x14ac:dyDescent="0.25">
      <c r="A464" s="11" t="s">
        <v>772</v>
      </c>
      <c r="B464" s="11"/>
      <c r="C464" s="11"/>
      <c r="D464" s="11">
        <v>118867</v>
      </c>
      <c r="E464" s="11">
        <v>98424</v>
      </c>
    </row>
    <row r="465" spans="1:5" x14ac:dyDescent="0.25">
      <c r="A465" s="11" t="s">
        <v>773</v>
      </c>
      <c r="B465" s="11"/>
      <c r="C465" s="11"/>
      <c r="D465" s="11">
        <v>651311</v>
      </c>
      <c r="E465" s="11">
        <v>501211</v>
      </c>
    </row>
    <row r="466" spans="1:5" x14ac:dyDescent="0.25">
      <c r="A466" s="11" t="s">
        <v>774</v>
      </c>
      <c r="B466" s="11"/>
      <c r="C466" s="11"/>
      <c r="D466" s="11">
        <v>212565</v>
      </c>
      <c r="E466" s="11">
        <v>130752</v>
      </c>
    </row>
    <row r="467" spans="1:5" x14ac:dyDescent="0.25">
      <c r="A467" s="11" t="s">
        <v>775</v>
      </c>
      <c r="B467" s="11"/>
      <c r="C467" s="11"/>
      <c r="D467" s="11">
        <v>444250</v>
      </c>
      <c r="E467" s="11">
        <v>319854</v>
      </c>
    </row>
    <row r="468" spans="1:5" x14ac:dyDescent="0.25">
      <c r="A468" s="11" t="s">
        <v>776</v>
      </c>
      <c r="B468" s="11"/>
      <c r="C468" s="11"/>
      <c r="D468" s="11">
        <v>10546</v>
      </c>
      <c r="E468" s="11">
        <v>7985</v>
      </c>
    </row>
    <row r="469" spans="1:5" x14ac:dyDescent="0.25">
      <c r="A469" s="11" t="s">
        <v>777</v>
      </c>
      <c r="B469" s="11"/>
      <c r="C469" s="11"/>
      <c r="D469" s="11">
        <v>3572215</v>
      </c>
      <c r="E469" s="11">
        <v>2315632</v>
      </c>
    </row>
    <row r="470" spans="1:5" x14ac:dyDescent="0.25">
      <c r="A470" s="11" t="s">
        <v>778</v>
      </c>
      <c r="B470" s="11"/>
      <c r="C470" s="11"/>
      <c r="D470" s="11">
        <v>155992</v>
      </c>
      <c r="E470" s="11">
        <v>50697</v>
      </c>
    </row>
    <row r="471" spans="1:5" x14ac:dyDescent="0.25">
      <c r="A471" s="11" t="s">
        <v>779</v>
      </c>
      <c r="B471" s="11"/>
      <c r="C471" s="11"/>
      <c r="D471" s="11">
        <v>113652</v>
      </c>
      <c r="E471" s="11">
        <v>28122</v>
      </c>
    </row>
    <row r="472" spans="1:5" x14ac:dyDescent="0.25">
      <c r="A472" s="11" t="s">
        <v>780</v>
      </c>
      <c r="B472" s="11"/>
      <c r="C472" s="11"/>
      <c r="D472" s="11">
        <v>13054</v>
      </c>
      <c r="E472" s="11">
        <v>688</v>
      </c>
    </row>
    <row r="473" spans="1:5" x14ac:dyDescent="0.25">
      <c r="A473" s="11" t="s">
        <v>1956</v>
      </c>
      <c r="B473" s="11"/>
      <c r="C473" s="11"/>
      <c r="D473" s="11">
        <v>205</v>
      </c>
      <c r="E473" s="11">
        <v>0</v>
      </c>
    </row>
    <row r="474" spans="1:5" x14ac:dyDescent="0.25">
      <c r="A474" s="11" t="s">
        <v>781</v>
      </c>
      <c r="B474" s="11"/>
      <c r="C474" s="11"/>
      <c r="D474" s="11">
        <v>29081</v>
      </c>
      <c r="E474" s="11">
        <v>21887</v>
      </c>
    </row>
    <row r="475" spans="1:5" x14ac:dyDescent="0.25">
      <c r="A475" s="11" t="s">
        <v>782</v>
      </c>
      <c r="B475" s="11"/>
      <c r="C475" s="11"/>
      <c r="D475" s="11">
        <v>19373</v>
      </c>
      <c r="E475" s="11">
        <v>7996</v>
      </c>
    </row>
    <row r="476" spans="1:5" x14ac:dyDescent="0.25">
      <c r="A476" s="11" t="s">
        <v>1957</v>
      </c>
      <c r="B476" s="11"/>
      <c r="C476" s="11"/>
      <c r="D476" s="11">
        <v>3858</v>
      </c>
      <c r="E476" s="11">
        <v>0</v>
      </c>
    </row>
    <row r="477" spans="1:5" x14ac:dyDescent="0.25">
      <c r="A477" s="11" t="s">
        <v>1958</v>
      </c>
      <c r="B477" s="11"/>
      <c r="C477" s="11"/>
      <c r="D477" s="11">
        <v>12956</v>
      </c>
      <c r="E477" s="11">
        <v>0</v>
      </c>
    </row>
    <row r="478" spans="1:5" x14ac:dyDescent="0.25">
      <c r="A478" s="11" t="s">
        <v>1959</v>
      </c>
      <c r="B478" s="11"/>
      <c r="C478" s="11"/>
      <c r="D478" s="11">
        <v>20</v>
      </c>
      <c r="E478" s="11">
        <v>0</v>
      </c>
    </row>
    <row r="479" spans="1:5" x14ac:dyDescent="0.25">
      <c r="A479" s="11" t="s">
        <v>783</v>
      </c>
      <c r="B479" s="11"/>
      <c r="C479" s="11"/>
      <c r="D479" s="11">
        <v>2539</v>
      </c>
      <c r="E479" s="11">
        <v>7996</v>
      </c>
    </row>
    <row r="480" spans="1:5" x14ac:dyDescent="0.25">
      <c r="A480" s="11" t="s">
        <v>784</v>
      </c>
      <c r="B480" s="11"/>
      <c r="C480" s="11"/>
      <c r="D480" s="11">
        <v>136619</v>
      </c>
      <c r="E480" s="11">
        <v>42701</v>
      </c>
    </row>
    <row r="481" spans="1:5" x14ac:dyDescent="0.25">
      <c r="A481" s="11" t="s">
        <v>785</v>
      </c>
      <c r="B481" s="11"/>
      <c r="C481" s="11"/>
      <c r="D481" s="11">
        <v>138343</v>
      </c>
      <c r="E481" s="11">
        <v>78777</v>
      </c>
    </row>
    <row r="482" spans="1:5" x14ac:dyDescent="0.25">
      <c r="A482" s="11" t="s">
        <v>786</v>
      </c>
      <c r="B482" s="11"/>
      <c r="C482" s="11"/>
      <c r="D482" s="11">
        <v>177262</v>
      </c>
      <c r="E482" s="11">
        <v>202769</v>
      </c>
    </row>
    <row r="483" spans="1:5" x14ac:dyDescent="0.25">
      <c r="A483" s="11" t="s">
        <v>787</v>
      </c>
      <c r="B483" s="11"/>
      <c r="C483" s="11"/>
      <c r="D483" s="11">
        <v>177262</v>
      </c>
      <c r="E483" s="11">
        <v>202769</v>
      </c>
    </row>
    <row r="484" spans="1:5" x14ac:dyDescent="0.25">
      <c r="A484" s="11" t="s">
        <v>788</v>
      </c>
      <c r="B484" s="11"/>
      <c r="C484" s="11"/>
      <c r="D484" s="11">
        <v>173113</v>
      </c>
      <c r="E484" s="11">
        <v>188249</v>
      </c>
    </row>
    <row r="485" spans="1:5" x14ac:dyDescent="0.25">
      <c r="A485" s="11" t="s">
        <v>789</v>
      </c>
      <c r="B485" s="11"/>
      <c r="C485" s="11"/>
      <c r="D485" s="11">
        <v>173113</v>
      </c>
      <c r="E485" s="11">
        <v>188249</v>
      </c>
    </row>
    <row r="486" spans="1:5" x14ac:dyDescent="0.25">
      <c r="A486" s="11" t="s">
        <v>790</v>
      </c>
      <c r="B486" s="11"/>
      <c r="C486" s="11"/>
      <c r="D486" s="11">
        <v>4149</v>
      </c>
      <c r="E486" s="11">
        <v>14520</v>
      </c>
    </row>
    <row r="487" spans="1:5" x14ac:dyDescent="0.25">
      <c r="A487" s="11" t="s">
        <v>791</v>
      </c>
      <c r="B487" s="11"/>
      <c r="C487" s="11"/>
      <c r="D487" s="11">
        <v>142492</v>
      </c>
      <c r="E487" s="11">
        <v>93297</v>
      </c>
    </row>
    <row r="488" spans="1:5" x14ac:dyDescent="0.25">
      <c r="A488" s="11" t="s">
        <v>792</v>
      </c>
      <c r="B488" s="11"/>
      <c r="C488" s="11"/>
      <c r="D488" s="11">
        <v>142492</v>
      </c>
      <c r="E488" s="11">
        <v>93297</v>
      </c>
    </row>
    <row r="489" spans="1:5" x14ac:dyDescent="0.25">
      <c r="A489" s="11" t="s">
        <v>793</v>
      </c>
      <c r="B489" s="11"/>
      <c r="C489" s="11"/>
      <c r="D489" s="11">
        <v>142492</v>
      </c>
      <c r="E489" s="11">
        <v>93297</v>
      </c>
    </row>
    <row r="490" spans="1:5" x14ac:dyDescent="0.25">
      <c r="A490" s="11" t="s">
        <v>794</v>
      </c>
      <c r="B490" s="11"/>
      <c r="C490" s="11"/>
      <c r="D490" s="11">
        <v>124</v>
      </c>
      <c r="E490" s="11">
        <v>104</v>
      </c>
    </row>
    <row r="491" spans="1:5" x14ac:dyDescent="0.25">
      <c r="A491" s="93" t="s">
        <v>795</v>
      </c>
      <c r="B491" s="93"/>
      <c r="C491" s="93"/>
      <c r="D491" s="93">
        <v>5525</v>
      </c>
      <c r="E491" s="93">
        <v>2006</v>
      </c>
    </row>
    <row r="492" spans="1:5" x14ac:dyDescent="0.25">
      <c r="A492" s="93" t="s">
        <v>795</v>
      </c>
      <c r="B492" s="93"/>
      <c r="C492" s="93"/>
      <c r="D492" s="93">
        <v>99832456</v>
      </c>
      <c r="E492" s="93">
        <v>83066316</v>
      </c>
    </row>
    <row r="493" spans="1:5" x14ac:dyDescent="0.25">
      <c r="A493" s="93" t="s">
        <v>795</v>
      </c>
      <c r="B493" s="93"/>
      <c r="C493" s="93"/>
      <c r="D493" s="93">
        <v>4812710</v>
      </c>
      <c r="E493" s="93">
        <v>2608569</v>
      </c>
    </row>
    <row r="494" spans="1:5" x14ac:dyDescent="0.25">
      <c r="A494" s="93" t="s">
        <v>796</v>
      </c>
      <c r="B494" s="93"/>
      <c r="C494" s="93"/>
      <c r="D494" s="93">
        <v>1386</v>
      </c>
      <c r="E494" s="93">
        <v>209</v>
      </c>
    </row>
    <row r="495" spans="1:5" x14ac:dyDescent="0.25">
      <c r="A495" s="93" t="s">
        <v>796</v>
      </c>
      <c r="B495" s="93"/>
      <c r="C495" s="93"/>
      <c r="D495" s="93">
        <v>97545033</v>
      </c>
      <c r="E495" s="93">
        <v>81291602</v>
      </c>
    </row>
    <row r="496" spans="1:5" x14ac:dyDescent="0.25">
      <c r="A496" s="93" t="s">
        <v>796</v>
      </c>
      <c r="B496" s="93"/>
      <c r="C496" s="93"/>
      <c r="D496" s="93">
        <v>1162696</v>
      </c>
      <c r="E496" s="93">
        <v>789103</v>
      </c>
    </row>
    <row r="497" spans="1:5" x14ac:dyDescent="0.25">
      <c r="A497" s="93" t="s">
        <v>797</v>
      </c>
      <c r="B497" s="93"/>
      <c r="C497" s="93"/>
      <c r="D497" s="93">
        <v>0</v>
      </c>
      <c r="E497" s="93">
        <v>19</v>
      </c>
    </row>
    <row r="498" spans="1:5" x14ac:dyDescent="0.25">
      <c r="A498" s="93" t="s">
        <v>797</v>
      </c>
      <c r="B498" s="93"/>
      <c r="C498" s="93"/>
      <c r="D498" s="93">
        <v>19490582</v>
      </c>
      <c r="E498" s="93">
        <v>17351761</v>
      </c>
    </row>
    <row r="499" spans="1:5" x14ac:dyDescent="0.25">
      <c r="A499" s="93" t="s">
        <v>797</v>
      </c>
      <c r="B499" s="93"/>
      <c r="C499" s="93"/>
      <c r="D499" s="93">
        <v>3650014</v>
      </c>
      <c r="E499" s="93">
        <v>1818097</v>
      </c>
    </row>
    <row r="500" spans="1:5" x14ac:dyDescent="0.25">
      <c r="A500" s="93" t="s">
        <v>798</v>
      </c>
      <c r="B500" s="93"/>
      <c r="C500" s="93"/>
      <c r="D500" s="93">
        <v>2720</v>
      </c>
      <c r="E500" s="93">
        <v>1168</v>
      </c>
    </row>
    <row r="501" spans="1:5" x14ac:dyDescent="0.25">
      <c r="A501" s="93" t="s">
        <v>798</v>
      </c>
      <c r="B501" s="93"/>
      <c r="C501" s="93"/>
      <c r="D501" s="93">
        <v>37036781</v>
      </c>
      <c r="E501" s="93">
        <v>37618472</v>
      </c>
    </row>
    <row r="502" spans="1:5" x14ac:dyDescent="0.25">
      <c r="A502" s="93" t="s">
        <v>798</v>
      </c>
      <c r="B502" s="93"/>
      <c r="C502" s="93"/>
      <c r="D502" s="93">
        <v>0</v>
      </c>
      <c r="E502" s="93">
        <v>1369</v>
      </c>
    </row>
    <row r="503" spans="1:5" x14ac:dyDescent="0.25">
      <c r="A503" s="93" t="s">
        <v>2084</v>
      </c>
      <c r="B503" s="93"/>
      <c r="C503" s="93"/>
      <c r="D503" s="93">
        <v>41017670</v>
      </c>
      <c r="E503" s="93">
        <v>26321369</v>
      </c>
    </row>
    <row r="504" spans="1:5" x14ac:dyDescent="0.25">
      <c r="A504" s="93" t="s">
        <v>2084</v>
      </c>
      <c r="B504" s="93"/>
      <c r="C504" s="93"/>
      <c r="D504" s="93">
        <v>1810129</v>
      </c>
      <c r="E504" s="93">
        <v>636428</v>
      </c>
    </row>
    <row r="505" spans="1:5" x14ac:dyDescent="0.25">
      <c r="A505" s="93" t="s">
        <v>2085</v>
      </c>
      <c r="B505" s="93"/>
      <c r="C505" s="93"/>
      <c r="D505" s="93">
        <v>103336</v>
      </c>
      <c r="E505" s="93">
        <v>214816</v>
      </c>
    </row>
    <row r="506" spans="1:5" x14ac:dyDescent="0.25">
      <c r="A506" s="93" t="s">
        <v>2085</v>
      </c>
      <c r="B506" s="93"/>
      <c r="C506" s="93"/>
      <c r="D506" s="93">
        <v>207503</v>
      </c>
      <c r="E506" s="93">
        <v>93447</v>
      </c>
    </row>
    <row r="507" spans="1:5" x14ac:dyDescent="0.25">
      <c r="A507" s="93" t="s">
        <v>2086</v>
      </c>
      <c r="B507" s="93"/>
      <c r="C507" s="93"/>
      <c r="D507" s="93">
        <v>99038</v>
      </c>
      <c r="E507" s="93">
        <v>211147</v>
      </c>
    </row>
    <row r="508" spans="1:5" x14ac:dyDescent="0.25">
      <c r="A508" s="93" t="s">
        <v>2086</v>
      </c>
      <c r="B508" s="93"/>
      <c r="C508" s="93"/>
      <c r="D508" s="93">
        <v>801784</v>
      </c>
      <c r="E508" s="93">
        <v>452063</v>
      </c>
    </row>
    <row r="509" spans="1:5" x14ac:dyDescent="0.25">
      <c r="A509" s="93" t="s">
        <v>799</v>
      </c>
      <c r="B509" s="93"/>
      <c r="C509" s="93"/>
      <c r="D509" s="93">
        <v>-12160</v>
      </c>
      <c r="E509" s="93">
        <v>-17741</v>
      </c>
    </row>
    <row r="510" spans="1:5" x14ac:dyDescent="0.25">
      <c r="A510" s="93" t="s">
        <v>799</v>
      </c>
      <c r="B510" s="93"/>
      <c r="C510" s="93"/>
      <c r="D510" s="93">
        <v>4298</v>
      </c>
      <c r="E510" s="93">
        <v>3669</v>
      </c>
    </row>
    <row r="511" spans="1:5" x14ac:dyDescent="0.25">
      <c r="A511" s="93" t="s">
        <v>799</v>
      </c>
      <c r="B511" s="93"/>
      <c r="C511" s="93"/>
      <c r="D511" s="93">
        <v>800842</v>
      </c>
      <c r="E511" s="93">
        <v>90918</v>
      </c>
    </row>
    <row r="512" spans="1:5" x14ac:dyDescent="0.25">
      <c r="A512" s="93" t="s">
        <v>2094</v>
      </c>
      <c r="B512" s="93"/>
      <c r="C512" s="93"/>
      <c r="D512" s="93">
        <v>3002581</v>
      </c>
      <c r="E512" s="93">
        <v>1972141</v>
      </c>
    </row>
    <row r="513" spans="1:5" x14ac:dyDescent="0.25">
      <c r="A513" s="93" t="s">
        <v>800</v>
      </c>
      <c r="B513" s="93"/>
      <c r="C513" s="93"/>
      <c r="D513" s="93">
        <v>6546</v>
      </c>
      <c r="E513" s="93">
        <v>9424</v>
      </c>
    </row>
    <row r="514" spans="1:5" x14ac:dyDescent="0.25">
      <c r="A514" s="93" t="s">
        <v>2069</v>
      </c>
      <c r="B514" s="93"/>
      <c r="C514" s="93"/>
      <c r="D514" s="93">
        <v>404934</v>
      </c>
      <c r="E514" s="93">
        <v>233443</v>
      </c>
    </row>
    <row r="515" spans="1:5" x14ac:dyDescent="0.25">
      <c r="A515" s="93" t="s">
        <v>2069</v>
      </c>
      <c r="B515" s="93"/>
      <c r="C515" s="93"/>
      <c r="D515" s="93">
        <v>772296</v>
      </c>
      <c r="E515" s="93">
        <v>463407</v>
      </c>
    </row>
    <row r="516" spans="1:5" x14ac:dyDescent="0.25">
      <c r="A516" s="93" t="s">
        <v>801</v>
      </c>
      <c r="B516" s="93"/>
      <c r="C516" s="93"/>
      <c r="D516" s="93">
        <v>-4195</v>
      </c>
      <c r="E516" s="93">
        <v>-7669</v>
      </c>
    </row>
    <row r="517" spans="1:5" x14ac:dyDescent="0.25">
      <c r="A517" s="93" t="s">
        <v>801</v>
      </c>
      <c r="B517" s="93"/>
      <c r="C517" s="93"/>
      <c r="D517" s="93">
        <v>404613</v>
      </c>
      <c r="E517" s="93">
        <v>233189</v>
      </c>
    </row>
    <row r="518" spans="1:5" x14ac:dyDescent="0.25">
      <c r="A518" s="93" t="s">
        <v>801</v>
      </c>
      <c r="B518" s="93"/>
      <c r="C518" s="93"/>
      <c r="D518" s="93">
        <v>226218</v>
      </c>
      <c r="E518" s="93">
        <v>151917</v>
      </c>
    </row>
    <row r="519" spans="1:5" x14ac:dyDescent="0.25">
      <c r="A519" s="93" t="s">
        <v>2070</v>
      </c>
      <c r="B519" s="93"/>
      <c r="C519" s="93"/>
      <c r="D519" s="93">
        <v>321</v>
      </c>
      <c r="E519" s="93">
        <v>254</v>
      </c>
    </row>
    <row r="520" spans="1:5" x14ac:dyDescent="0.25">
      <c r="A520" s="93" t="s">
        <v>2070</v>
      </c>
      <c r="B520" s="93"/>
      <c r="C520" s="93"/>
      <c r="D520" s="93">
        <v>2184087</v>
      </c>
      <c r="E520" s="93">
        <v>1559898</v>
      </c>
    </row>
    <row r="521" spans="1:5" x14ac:dyDescent="0.25">
      <c r="A521" s="93" t="s">
        <v>2070</v>
      </c>
      <c r="B521" s="93"/>
      <c r="C521" s="93"/>
      <c r="D521" s="93">
        <v>346442</v>
      </c>
      <c r="E521" s="93">
        <v>176774</v>
      </c>
    </row>
    <row r="522" spans="1:5" x14ac:dyDescent="0.25">
      <c r="A522" s="93" t="s">
        <v>802</v>
      </c>
      <c r="B522" s="93"/>
      <c r="C522" s="93"/>
      <c r="D522" s="93">
        <v>92886390</v>
      </c>
      <c r="E522" s="93">
        <v>80788053</v>
      </c>
    </row>
    <row r="523" spans="1:5" x14ac:dyDescent="0.25">
      <c r="A523" s="93" t="s">
        <v>802</v>
      </c>
      <c r="B523" s="93"/>
      <c r="C523" s="93"/>
      <c r="D523" s="93">
        <v>185829</v>
      </c>
      <c r="E523" s="93">
        <v>8124</v>
      </c>
    </row>
    <row r="524" spans="1:5" x14ac:dyDescent="0.25">
      <c r="A524" s="93" t="s">
        <v>802</v>
      </c>
      <c r="B524" s="93"/>
      <c r="C524" s="93"/>
      <c r="D524" s="93">
        <v>199636</v>
      </c>
      <c r="E524" s="93">
        <v>134716</v>
      </c>
    </row>
    <row r="525" spans="1:5" x14ac:dyDescent="0.25">
      <c r="A525" s="93" t="s">
        <v>2071</v>
      </c>
      <c r="B525" s="93"/>
      <c r="C525" s="93"/>
      <c r="D525" s="93">
        <v>19240378</v>
      </c>
      <c r="E525" s="93">
        <v>20380929</v>
      </c>
    </row>
    <row r="526" spans="1:5" x14ac:dyDescent="0.25">
      <c r="A526" s="93" t="s">
        <v>2071</v>
      </c>
      <c r="B526" s="93"/>
      <c r="C526" s="93"/>
      <c r="D526" s="93">
        <v>411957</v>
      </c>
      <c r="E526" s="93">
        <v>388684</v>
      </c>
    </row>
    <row r="527" spans="1:5" x14ac:dyDescent="0.25">
      <c r="A527" s="93" t="s">
        <v>2071</v>
      </c>
      <c r="B527" s="93"/>
      <c r="C527" s="93"/>
      <c r="D527" s="93">
        <v>200938</v>
      </c>
      <c r="E527" s="93">
        <v>83840</v>
      </c>
    </row>
    <row r="528" spans="1:5" x14ac:dyDescent="0.25">
      <c r="A528" s="93" t="s">
        <v>2071</v>
      </c>
      <c r="B528" s="93"/>
      <c r="C528" s="93"/>
      <c r="D528" s="93">
        <v>142492</v>
      </c>
      <c r="E528" s="93">
        <v>93297</v>
      </c>
    </row>
    <row r="529" spans="1:5" x14ac:dyDescent="0.25">
      <c r="A529" s="93" t="s">
        <v>2072</v>
      </c>
      <c r="B529" s="93"/>
      <c r="C529" s="93"/>
      <c r="D529" s="93">
        <v>73646012</v>
      </c>
      <c r="E529" s="93">
        <v>60407124</v>
      </c>
    </row>
    <row r="530" spans="1:5" x14ac:dyDescent="0.25">
      <c r="A530" s="93" t="s">
        <v>2072</v>
      </c>
      <c r="B530" s="93"/>
      <c r="C530" s="93"/>
      <c r="D530" s="93">
        <v>130164</v>
      </c>
      <c r="E530" s="93">
        <v>24510</v>
      </c>
    </row>
    <row r="531" spans="1:5" x14ac:dyDescent="0.25">
      <c r="A531" s="93" t="s">
        <v>2072</v>
      </c>
      <c r="B531" s="93"/>
      <c r="C531" s="93"/>
      <c r="D531" s="93">
        <v>59</v>
      </c>
      <c r="E531" s="93">
        <v>0</v>
      </c>
    </row>
    <row r="532" spans="1:5" x14ac:dyDescent="0.25">
      <c r="A532" s="93" t="s">
        <v>2087</v>
      </c>
      <c r="B532" s="93"/>
      <c r="C532" s="93"/>
      <c r="D532" s="93">
        <v>0</v>
      </c>
      <c r="E532" s="93">
        <v>19462</v>
      </c>
    </row>
    <row r="533" spans="1:5" x14ac:dyDescent="0.25">
      <c r="A533" s="93" t="s">
        <v>2087</v>
      </c>
      <c r="B533" s="93"/>
      <c r="C533" s="93"/>
      <c r="D533" s="93">
        <v>43463</v>
      </c>
      <c r="E533" s="93">
        <v>4325</v>
      </c>
    </row>
    <row r="534" spans="1:5" x14ac:dyDescent="0.25">
      <c r="A534" s="93" t="s">
        <v>803</v>
      </c>
      <c r="B534" s="93"/>
      <c r="C534" s="93"/>
      <c r="D534" s="93">
        <v>-21</v>
      </c>
      <c r="E534" s="93">
        <v>-188</v>
      </c>
    </row>
    <row r="535" spans="1:5" x14ac:dyDescent="0.25">
      <c r="A535" s="93" t="s">
        <v>803</v>
      </c>
      <c r="B535" s="93"/>
      <c r="C535" s="93"/>
      <c r="D535" s="93">
        <v>157416</v>
      </c>
      <c r="E535" s="93">
        <v>79515</v>
      </c>
    </row>
    <row r="536" spans="1:5" x14ac:dyDescent="0.25">
      <c r="A536" s="93" t="s">
        <v>804</v>
      </c>
      <c r="B536" s="93"/>
      <c r="C536" s="93"/>
      <c r="D536" s="93">
        <v>-230</v>
      </c>
      <c r="E536" s="93">
        <v>-617</v>
      </c>
    </row>
    <row r="537" spans="1:5" x14ac:dyDescent="0.25">
      <c r="A537" s="93" t="s">
        <v>804</v>
      </c>
      <c r="B537" s="93"/>
      <c r="C537" s="93"/>
      <c r="D537" s="93">
        <v>99314</v>
      </c>
      <c r="E537" s="93">
        <v>88998</v>
      </c>
    </row>
    <row r="538" spans="1:5" x14ac:dyDescent="0.25">
      <c r="A538" s="93" t="s">
        <v>804</v>
      </c>
      <c r="B538" s="93"/>
      <c r="C538" s="93"/>
      <c r="D538" s="93">
        <v>571358</v>
      </c>
      <c r="E538" s="93">
        <v>379567</v>
      </c>
    </row>
    <row r="539" spans="1:5" x14ac:dyDescent="0.25">
      <c r="A539" s="93" t="s">
        <v>2088</v>
      </c>
      <c r="B539" s="93"/>
      <c r="C539" s="93"/>
      <c r="D539" s="93">
        <v>1050156</v>
      </c>
      <c r="E539" s="93">
        <v>859945</v>
      </c>
    </row>
    <row r="540" spans="1:5" x14ac:dyDescent="0.25">
      <c r="A540" s="93" t="s">
        <v>2117</v>
      </c>
      <c r="B540" s="93"/>
      <c r="C540" s="93"/>
      <c r="D540" s="93">
        <v>124</v>
      </c>
      <c r="E540" s="93">
        <v>104</v>
      </c>
    </row>
    <row r="541" spans="1:5" x14ac:dyDescent="0.25">
      <c r="A541" s="93" t="s">
        <v>2073</v>
      </c>
      <c r="B541" s="93"/>
      <c r="C541" s="93"/>
      <c r="D541" s="93">
        <v>3196905</v>
      </c>
      <c r="E541" s="93">
        <v>2900791</v>
      </c>
    </row>
    <row r="542" spans="1:5" x14ac:dyDescent="0.25">
      <c r="A542" s="93" t="s">
        <v>2073</v>
      </c>
      <c r="B542" s="93"/>
      <c r="C542" s="93"/>
      <c r="D542" s="93">
        <v>17299</v>
      </c>
      <c r="E542" s="93">
        <v>14007</v>
      </c>
    </row>
    <row r="543" spans="1:5" x14ac:dyDescent="0.25">
      <c r="A543" s="93" t="s">
        <v>2074</v>
      </c>
      <c r="B543" s="93"/>
      <c r="C543" s="93"/>
      <c r="D543" s="93">
        <v>56908</v>
      </c>
      <c r="E543" s="93">
        <v>1192084</v>
      </c>
    </row>
    <row r="544" spans="1:5" x14ac:dyDescent="0.25">
      <c r="A544" s="93" t="s">
        <v>2074</v>
      </c>
      <c r="B544" s="93"/>
      <c r="C544" s="93"/>
      <c r="D544" s="93">
        <v>289368</v>
      </c>
      <c r="E544" s="93">
        <v>156168</v>
      </c>
    </row>
    <row r="545" spans="1:5" x14ac:dyDescent="0.25">
      <c r="A545" s="93" t="s">
        <v>2075</v>
      </c>
      <c r="B545" s="93"/>
      <c r="C545" s="93"/>
      <c r="D545" s="93">
        <v>2400189</v>
      </c>
      <c r="E545" s="93">
        <v>1015734</v>
      </c>
    </row>
    <row r="546" spans="1:5" x14ac:dyDescent="0.25">
      <c r="A546" s="93" t="s">
        <v>2075</v>
      </c>
      <c r="B546" s="93"/>
      <c r="C546" s="93"/>
      <c r="D546" s="93">
        <v>20529862</v>
      </c>
      <c r="E546" s="93">
        <v>20387370</v>
      </c>
    </row>
    <row r="547" spans="1:5" x14ac:dyDescent="0.25">
      <c r="A547" s="93" t="s">
        <v>2076</v>
      </c>
      <c r="B547" s="93"/>
      <c r="C547" s="93"/>
      <c r="D547" s="93">
        <v>477870</v>
      </c>
      <c r="E547" s="93">
        <v>464138</v>
      </c>
    </row>
    <row r="548" spans="1:5" x14ac:dyDescent="0.25">
      <c r="A548" s="93" t="s">
        <v>2076</v>
      </c>
      <c r="B548" s="93"/>
      <c r="C548" s="93"/>
      <c r="D548" s="93">
        <v>26000000</v>
      </c>
      <c r="E548" s="93">
        <v>26000000</v>
      </c>
    </row>
    <row r="549" spans="1:5" x14ac:dyDescent="0.25">
      <c r="A549" s="93" t="s">
        <v>805</v>
      </c>
      <c r="B549" s="93"/>
      <c r="C549" s="93"/>
      <c r="D549" s="93">
        <v>-251</v>
      </c>
      <c r="E549" s="93">
        <v>-805</v>
      </c>
    </row>
    <row r="550" spans="1:5" x14ac:dyDescent="0.25">
      <c r="A550" s="93" t="s">
        <v>805</v>
      </c>
      <c r="B550" s="93"/>
      <c r="C550" s="93"/>
      <c r="D550" s="93">
        <v>26000000</v>
      </c>
      <c r="E550" s="93">
        <v>26000000</v>
      </c>
    </row>
    <row r="551" spans="1:5" x14ac:dyDescent="0.25">
      <c r="A551" s="93" t="s">
        <v>2077</v>
      </c>
      <c r="B551" s="93"/>
      <c r="C551" s="93"/>
      <c r="D551" s="93">
        <v>261938</v>
      </c>
      <c r="E551" s="93">
        <v>228835</v>
      </c>
    </row>
    <row r="552" spans="1:5" x14ac:dyDescent="0.25">
      <c r="A552" s="93" t="s">
        <v>2078</v>
      </c>
      <c r="B552" s="93"/>
      <c r="C552" s="93"/>
      <c r="D552" s="93">
        <v>56178</v>
      </c>
      <c r="E552" s="93">
        <v>58502</v>
      </c>
    </row>
    <row r="553" spans="1:5" x14ac:dyDescent="0.25">
      <c r="A553" s="93" t="s">
        <v>2002</v>
      </c>
      <c r="B553" s="93"/>
      <c r="C553" s="93"/>
      <c r="D553" s="93">
        <v>328</v>
      </c>
      <c r="E553" s="93">
        <v>0</v>
      </c>
    </row>
    <row r="554" spans="1:5" x14ac:dyDescent="0.25">
      <c r="A554" s="93" t="s">
        <v>1924</v>
      </c>
      <c r="B554" s="93"/>
      <c r="C554" s="93"/>
      <c r="D554" s="93">
        <v>12166</v>
      </c>
      <c r="E554" s="93">
        <v>12010</v>
      </c>
    </row>
    <row r="555" spans="1:5" x14ac:dyDescent="0.25">
      <c r="A555" s="93" t="s">
        <v>1924</v>
      </c>
      <c r="B555" s="93"/>
      <c r="C555" s="93"/>
      <c r="D555" s="93">
        <v>856860</v>
      </c>
      <c r="E555" s="93">
        <v>261574</v>
      </c>
    </row>
    <row r="556" spans="1:5" x14ac:dyDescent="0.25">
      <c r="A556" s="93" t="s">
        <v>2003</v>
      </c>
      <c r="B556" s="93"/>
      <c r="C556" s="93"/>
      <c r="D556" s="93">
        <v>3050</v>
      </c>
      <c r="E556" s="93">
        <v>0</v>
      </c>
    </row>
    <row r="557" spans="1:5" x14ac:dyDescent="0.25">
      <c r="A557" s="93" t="s">
        <v>2003</v>
      </c>
      <c r="B557" s="93"/>
      <c r="C557" s="93"/>
      <c r="D557" s="93">
        <v>3573939</v>
      </c>
      <c r="E557" s="93">
        <v>2351708</v>
      </c>
    </row>
    <row r="558" spans="1:5" x14ac:dyDescent="0.25">
      <c r="A558" s="93" t="s">
        <v>2079</v>
      </c>
      <c r="B558" s="93"/>
      <c r="C558" s="93"/>
      <c r="D558" s="93">
        <v>1559828</v>
      </c>
      <c r="E558" s="93">
        <v>1552583</v>
      </c>
    </row>
    <row r="559" spans="1:5" x14ac:dyDescent="0.25">
      <c r="A559" s="93" t="s">
        <v>2079</v>
      </c>
      <c r="B559" s="93"/>
      <c r="C559" s="93"/>
      <c r="D559" s="93">
        <v>856860</v>
      </c>
      <c r="E559" s="93">
        <v>261574</v>
      </c>
    </row>
    <row r="560" spans="1:5" x14ac:dyDescent="0.25">
      <c r="A560" s="93" t="s">
        <v>2079</v>
      </c>
      <c r="B560" s="93"/>
      <c r="C560" s="93"/>
      <c r="D560" s="93">
        <v>1424548</v>
      </c>
      <c r="E560" s="93">
        <v>1694149</v>
      </c>
    </row>
    <row r="561" spans="1:5" x14ac:dyDescent="0.25">
      <c r="A561" s="93" t="s">
        <v>1925</v>
      </c>
      <c r="B561" s="93"/>
      <c r="C561" s="93"/>
      <c r="D561" s="93">
        <v>-59</v>
      </c>
      <c r="E561" s="93">
        <v>-98</v>
      </c>
    </row>
    <row r="562" spans="1:5" x14ac:dyDescent="0.25">
      <c r="A562" s="93" t="s">
        <v>1925</v>
      </c>
      <c r="B562" s="93"/>
      <c r="C562" s="93"/>
      <c r="D562" s="93">
        <v>1261231</v>
      </c>
      <c r="E562" s="93">
        <v>1168004</v>
      </c>
    </row>
    <row r="563" spans="1:5" x14ac:dyDescent="0.25">
      <c r="A563" s="93" t="s">
        <v>1925</v>
      </c>
      <c r="B563" s="93"/>
      <c r="C563" s="93"/>
      <c r="D563" s="93">
        <v>1345556</v>
      </c>
      <c r="E563" s="93">
        <v>1660919</v>
      </c>
    </row>
    <row r="564" spans="1:5" x14ac:dyDescent="0.25">
      <c r="A564" s="93" t="s">
        <v>806</v>
      </c>
      <c r="B564" s="93"/>
      <c r="C564" s="93"/>
      <c r="D564" s="93">
        <v>8729</v>
      </c>
      <c r="E564" s="93">
        <v>11912</v>
      </c>
    </row>
    <row r="565" spans="1:5" x14ac:dyDescent="0.25">
      <c r="A565" s="93" t="s">
        <v>806</v>
      </c>
      <c r="B565" s="93"/>
      <c r="C565" s="93"/>
      <c r="D565" s="93">
        <v>1141986</v>
      </c>
      <c r="E565" s="93">
        <v>1052280</v>
      </c>
    </row>
    <row r="566" spans="1:5" x14ac:dyDescent="0.25">
      <c r="A566" s="93" t="s">
        <v>806</v>
      </c>
      <c r="B566" s="93"/>
      <c r="C566" s="93"/>
      <c r="D566" s="93">
        <v>78992</v>
      </c>
      <c r="E566" s="93">
        <v>33230</v>
      </c>
    </row>
    <row r="567" spans="1:5" x14ac:dyDescent="0.25">
      <c r="A567" s="93" t="s">
        <v>807</v>
      </c>
      <c r="B567" s="93"/>
      <c r="C567" s="93"/>
      <c r="D567" s="93">
        <v>4283</v>
      </c>
      <c r="E567" s="93">
        <v>3438</v>
      </c>
    </row>
    <row r="568" spans="1:5" x14ac:dyDescent="0.25">
      <c r="A568" s="93" t="s">
        <v>807</v>
      </c>
      <c r="B568" s="93"/>
      <c r="C568" s="93"/>
      <c r="D568" s="93">
        <v>117254</v>
      </c>
      <c r="E568" s="93">
        <v>101161</v>
      </c>
    </row>
    <row r="569" spans="1:5" x14ac:dyDescent="0.25">
      <c r="A569" s="93" t="s">
        <v>808</v>
      </c>
      <c r="B569" s="93"/>
      <c r="C569" s="93"/>
      <c r="D569" s="93">
        <v>17874</v>
      </c>
      <c r="E569" s="93">
        <v>9315</v>
      </c>
    </row>
    <row r="570" spans="1:5" x14ac:dyDescent="0.25">
      <c r="A570" s="93" t="s">
        <v>809</v>
      </c>
      <c r="B570" s="93"/>
      <c r="C570" s="93"/>
      <c r="D570" s="93">
        <v>18</v>
      </c>
      <c r="E570" s="93">
        <v>15</v>
      </c>
    </row>
    <row r="571" spans="1:5" x14ac:dyDescent="0.25">
      <c r="A571" s="93" t="s">
        <v>809</v>
      </c>
      <c r="B571" s="93"/>
      <c r="C571" s="93"/>
      <c r="D571" s="93">
        <v>1991</v>
      </c>
      <c r="E571" s="93">
        <v>14563</v>
      </c>
    </row>
    <row r="572" spans="1:5" x14ac:dyDescent="0.25">
      <c r="A572" s="93" t="s">
        <v>810</v>
      </c>
      <c r="B572" s="93"/>
      <c r="C572" s="93"/>
      <c r="D572" s="93">
        <v>22175</v>
      </c>
      <c r="E572" s="93">
        <v>12768</v>
      </c>
    </row>
    <row r="573" spans="1:5" x14ac:dyDescent="0.25">
      <c r="A573" s="93" t="s">
        <v>810</v>
      </c>
      <c r="B573" s="93"/>
      <c r="C573" s="93"/>
      <c r="D573" s="93">
        <v>298597</v>
      </c>
      <c r="E573" s="93">
        <v>384579</v>
      </c>
    </row>
    <row r="574" spans="1:5" x14ac:dyDescent="0.25">
      <c r="A574" s="93" t="s">
        <v>810</v>
      </c>
      <c r="B574" s="93"/>
      <c r="C574" s="93"/>
      <c r="D574" s="93">
        <v>4996763</v>
      </c>
      <c r="E574" s="93">
        <v>4009781</v>
      </c>
    </row>
    <row r="575" spans="1:5" x14ac:dyDescent="0.25">
      <c r="A575" s="93" t="s">
        <v>2089</v>
      </c>
      <c r="B575" s="93"/>
      <c r="C575" s="93"/>
      <c r="D575" s="93">
        <v>142492</v>
      </c>
      <c r="E575" s="93">
        <v>595286</v>
      </c>
    </row>
    <row r="576" spans="1:5" x14ac:dyDescent="0.25">
      <c r="A576" s="93" t="s">
        <v>2089</v>
      </c>
      <c r="B576" s="93"/>
      <c r="C576" s="93"/>
      <c r="D576" s="93">
        <v>1628052</v>
      </c>
      <c r="E576" s="93">
        <v>1596911</v>
      </c>
    </row>
    <row r="577" spans="1:5" x14ac:dyDescent="0.25">
      <c r="A577" s="93" t="s">
        <v>2090</v>
      </c>
      <c r="B577" s="93"/>
      <c r="C577" s="93"/>
      <c r="D577" s="93">
        <v>0</v>
      </c>
      <c r="E577" s="93">
        <v>595286</v>
      </c>
    </row>
    <row r="578" spans="1:5" x14ac:dyDescent="0.25">
      <c r="A578" s="93" t="s">
        <v>2090</v>
      </c>
      <c r="B578" s="93"/>
      <c r="C578" s="93"/>
      <c r="D578" s="93">
        <v>89308</v>
      </c>
      <c r="E578" s="93">
        <v>34570</v>
      </c>
    </row>
    <row r="579" spans="1:5" x14ac:dyDescent="0.25">
      <c r="A579" s="93" t="s">
        <v>2080</v>
      </c>
      <c r="B579" s="93"/>
      <c r="C579" s="93"/>
      <c r="D579" s="93">
        <v>298597</v>
      </c>
      <c r="E579" s="93">
        <v>384579</v>
      </c>
    </row>
    <row r="580" spans="1:5" x14ac:dyDescent="0.25">
      <c r="A580" s="93" t="s">
        <v>2080</v>
      </c>
      <c r="B580" s="93"/>
      <c r="C580" s="93"/>
      <c r="D580" s="93">
        <v>142492</v>
      </c>
      <c r="E580" s="93">
        <v>0</v>
      </c>
    </row>
    <row r="581" spans="1:5" x14ac:dyDescent="0.25">
      <c r="A581" s="93" t="s">
        <v>2095</v>
      </c>
      <c r="B581" s="93"/>
      <c r="C581" s="93"/>
      <c r="D581" s="93">
        <v>1797630</v>
      </c>
      <c r="E581" s="93">
        <v>1284079</v>
      </c>
    </row>
    <row r="582" spans="1:5" x14ac:dyDescent="0.25">
      <c r="A582" s="93" t="s">
        <v>2081</v>
      </c>
      <c r="B582" s="93"/>
      <c r="C582" s="93"/>
      <c r="D582" s="93">
        <v>120362318</v>
      </c>
      <c r="E582" s="93">
        <v>103453686</v>
      </c>
    </row>
    <row r="583" spans="1:5" x14ac:dyDescent="0.25">
      <c r="A583" s="93" t="s">
        <v>2081</v>
      </c>
      <c r="B583" s="93"/>
      <c r="C583" s="93"/>
      <c r="D583" s="93">
        <v>6469490</v>
      </c>
      <c r="E583" s="93">
        <v>6469490</v>
      </c>
    </row>
    <row r="584" spans="1:5" x14ac:dyDescent="0.25">
      <c r="A584" s="93" t="s">
        <v>2081</v>
      </c>
      <c r="B584" s="93"/>
      <c r="C584" s="93"/>
      <c r="D584" s="93">
        <v>44234</v>
      </c>
      <c r="E584" s="93">
        <v>35995</v>
      </c>
    </row>
    <row r="585" spans="1:5" x14ac:dyDescent="0.25">
      <c r="A585" s="93" t="s">
        <v>2082</v>
      </c>
      <c r="B585" s="93"/>
      <c r="C585" s="93"/>
      <c r="D585" s="93">
        <v>106683646</v>
      </c>
      <c r="E585" s="93">
        <v>93330377</v>
      </c>
    </row>
    <row r="586" spans="1:5" x14ac:dyDescent="0.25">
      <c r="A586" s="93" t="s">
        <v>2082</v>
      </c>
      <c r="B586" s="93"/>
      <c r="C586" s="93"/>
      <c r="D586" s="93">
        <v>118867</v>
      </c>
      <c r="E586" s="93">
        <v>98424</v>
      </c>
    </row>
    <row r="587" spans="1:5" x14ac:dyDescent="0.25">
      <c r="A587" s="93" t="s">
        <v>2083</v>
      </c>
      <c r="B587" s="93"/>
      <c r="C587" s="93"/>
      <c r="D587" s="93">
        <v>227045964</v>
      </c>
      <c r="E587" s="93">
        <v>196784063</v>
      </c>
    </row>
    <row r="588" spans="1:5" x14ac:dyDescent="0.25">
      <c r="A588" s="93" t="s">
        <v>2083</v>
      </c>
      <c r="B588" s="93"/>
      <c r="C588" s="93"/>
      <c r="D588" s="93">
        <v>6469490</v>
      </c>
      <c r="E588" s="93">
        <v>6469490</v>
      </c>
    </row>
    <row r="589" spans="1:5" x14ac:dyDescent="0.25">
      <c r="A589" s="93" t="s">
        <v>2083</v>
      </c>
      <c r="B589" s="93"/>
      <c r="C589" s="93"/>
      <c r="D589" s="93">
        <v>651311</v>
      </c>
      <c r="E589" s="93">
        <v>501211</v>
      </c>
    </row>
    <row r="590" spans="1:5" x14ac:dyDescent="0.25">
      <c r="A590" s="93" t="s">
        <v>2091</v>
      </c>
      <c r="B590" s="93"/>
      <c r="C590" s="93"/>
      <c r="D590" s="93">
        <v>120362318</v>
      </c>
      <c r="E590" s="93">
        <v>103453686</v>
      </c>
    </row>
    <row r="591" spans="1:5" x14ac:dyDescent="0.25">
      <c r="A591" s="93" t="s">
        <v>2091</v>
      </c>
      <c r="B591" s="93"/>
      <c r="C591" s="93"/>
      <c r="D591" s="93">
        <v>212565</v>
      </c>
      <c r="E591" s="93">
        <v>130752</v>
      </c>
    </row>
    <row r="592" spans="1:5" x14ac:dyDescent="0.25">
      <c r="A592" s="93" t="s">
        <v>2092</v>
      </c>
      <c r="B592" s="93"/>
      <c r="C592" s="93"/>
      <c r="D592" s="93">
        <v>106683646</v>
      </c>
      <c r="E592" s="93">
        <v>93330377</v>
      </c>
    </row>
    <row r="593" spans="1:5" x14ac:dyDescent="0.25">
      <c r="A593" s="93" t="s">
        <v>2093</v>
      </c>
      <c r="B593" s="93"/>
      <c r="C593" s="93"/>
      <c r="D593" s="93">
        <v>227045964</v>
      </c>
      <c r="E593" s="93">
        <v>196784063</v>
      </c>
    </row>
    <row r="594" spans="1:5" x14ac:dyDescent="0.25">
      <c r="A594" s="93" t="s">
        <v>2093</v>
      </c>
      <c r="B594" s="93"/>
      <c r="C594" s="93"/>
      <c r="D594" s="93">
        <v>444250</v>
      </c>
      <c r="E594" s="93">
        <v>319854</v>
      </c>
    </row>
    <row r="595" spans="1:5" x14ac:dyDescent="0.25">
      <c r="A595" s="93" t="s">
        <v>2096</v>
      </c>
      <c r="B595" s="93"/>
      <c r="C595" s="93"/>
      <c r="D595" s="93">
        <v>10546</v>
      </c>
      <c r="E595" s="93">
        <v>7985</v>
      </c>
    </row>
    <row r="596" spans="1:5" x14ac:dyDescent="0.25">
      <c r="A596" s="93" t="s">
        <v>2097</v>
      </c>
      <c r="B596" s="93"/>
      <c r="C596" s="93"/>
      <c r="D596" s="93">
        <v>3572215</v>
      </c>
      <c r="E596" s="93">
        <v>2315632</v>
      </c>
    </row>
    <row r="597" spans="1:5" x14ac:dyDescent="0.25">
      <c r="A597" s="93" t="s">
        <v>2098</v>
      </c>
      <c r="B597" s="93"/>
      <c r="C597" s="93"/>
      <c r="D597" s="93">
        <v>155992</v>
      </c>
      <c r="E597" s="93">
        <v>50697</v>
      </c>
    </row>
    <row r="598" spans="1:5" x14ac:dyDescent="0.25">
      <c r="A598" s="93" t="s">
        <v>2099</v>
      </c>
      <c r="B598" s="93"/>
      <c r="C598" s="93"/>
      <c r="D598" s="93">
        <v>113652</v>
      </c>
      <c r="E598" s="93">
        <v>28122</v>
      </c>
    </row>
    <row r="599" spans="1:5" x14ac:dyDescent="0.25">
      <c r="A599" s="93" t="s">
        <v>2100</v>
      </c>
      <c r="B599" s="93"/>
      <c r="C599" s="93"/>
      <c r="D599" s="93">
        <v>13054</v>
      </c>
      <c r="E599" s="93">
        <v>688</v>
      </c>
    </row>
    <row r="600" spans="1:5" x14ac:dyDescent="0.25">
      <c r="A600" s="93" t="s">
        <v>2101</v>
      </c>
      <c r="B600" s="93"/>
      <c r="C600" s="93"/>
      <c r="D600" s="93">
        <v>205</v>
      </c>
      <c r="E600" s="93">
        <v>0</v>
      </c>
    </row>
    <row r="601" spans="1:5" x14ac:dyDescent="0.25">
      <c r="A601" s="93" t="s">
        <v>2102</v>
      </c>
      <c r="B601" s="93"/>
      <c r="C601" s="93"/>
      <c r="D601" s="93">
        <v>29081</v>
      </c>
      <c r="E601" s="93">
        <v>21887</v>
      </c>
    </row>
    <row r="602" spans="1:5" x14ac:dyDescent="0.25">
      <c r="A602" s="93" t="s">
        <v>2103</v>
      </c>
      <c r="B602" s="93"/>
      <c r="C602" s="93"/>
      <c r="D602" s="93">
        <v>19373</v>
      </c>
      <c r="E602" s="93">
        <v>7996</v>
      </c>
    </row>
    <row r="603" spans="1:5" x14ac:dyDescent="0.25">
      <c r="A603" s="93" t="s">
        <v>2104</v>
      </c>
      <c r="B603" s="93"/>
      <c r="C603" s="93"/>
      <c r="D603" s="93">
        <v>3858</v>
      </c>
      <c r="E603" s="93">
        <v>0</v>
      </c>
    </row>
    <row r="604" spans="1:5" x14ac:dyDescent="0.25">
      <c r="A604" s="93" t="s">
        <v>2105</v>
      </c>
      <c r="B604" s="93"/>
      <c r="C604" s="93"/>
      <c r="D604" s="93">
        <v>12956</v>
      </c>
      <c r="E604" s="93">
        <v>0</v>
      </c>
    </row>
    <row r="605" spans="1:5" x14ac:dyDescent="0.25">
      <c r="A605" s="93" t="s">
        <v>2106</v>
      </c>
      <c r="B605" s="93"/>
      <c r="C605" s="93"/>
      <c r="D605" s="93">
        <v>20</v>
      </c>
      <c r="E605" s="93">
        <v>0</v>
      </c>
    </row>
    <row r="606" spans="1:5" x14ac:dyDescent="0.25">
      <c r="A606" s="93" t="s">
        <v>2107</v>
      </c>
      <c r="B606" s="93"/>
      <c r="C606" s="93"/>
      <c r="D606" s="93">
        <v>2539</v>
      </c>
      <c r="E606" s="93">
        <v>7996</v>
      </c>
    </row>
    <row r="607" spans="1:5" x14ac:dyDescent="0.25">
      <c r="A607" s="93" t="s">
        <v>2108</v>
      </c>
      <c r="B607" s="93"/>
      <c r="C607" s="93"/>
      <c r="D607" s="93">
        <v>136619</v>
      </c>
      <c r="E607" s="93">
        <v>42701</v>
      </c>
    </row>
    <row r="608" spans="1:5" x14ac:dyDescent="0.25">
      <c r="A608" s="93" t="s">
        <v>2109</v>
      </c>
      <c r="B608" s="93"/>
      <c r="C608" s="93"/>
      <c r="D608" s="93">
        <v>138343</v>
      </c>
      <c r="E608" s="93">
        <v>78777</v>
      </c>
    </row>
    <row r="609" spans="1:5" x14ac:dyDescent="0.25">
      <c r="A609" s="93" t="s">
        <v>2110</v>
      </c>
      <c r="B609" s="93"/>
      <c r="C609" s="93"/>
      <c r="D609" s="93">
        <v>177262</v>
      </c>
      <c r="E609" s="93">
        <v>202769</v>
      </c>
    </row>
    <row r="610" spans="1:5" x14ac:dyDescent="0.25">
      <c r="A610" s="93" t="s">
        <v>2111</v>
      </c>
      <c r="B610" s="93"/>
      <c r="C610" s="93"/>
      <c r="D610" s="93">
        <v>177262</v>
      </c>
      <c r="E610" s="93">
        <v>202769</v>
      </c>
    </row>
    <row r="611" spans="1:5" x14ac:dyDescent="0.25">
      <c r="A611" s="93" t="s">
        <v>2112</v>
      </c>
      <c r="B611" s="93"/>
      <c r="C611" s="93"/>
      <c r="D611" s="93">
        <v>173113</v>
      </c>
      <c r="E611" s="93">
        <v>188249</v>
      </c>
    </row>
    <row r="612" spans="1:5" x14ac:dyDescent="0.25">
      <c r="A612" s="93" t="s">
        <v>2113</v>
      </c>
      <c r="B612" s="93"/>
      <c r="C612" s="93"/>
      <c r="D612" s="93">
        <v>173113</v>
      </c>
      <c r="E612" s="93">
        <v>188249</v>
      </c>
    </row>
    <row r="613" spans="1:5" x14ac:dyDescent="0.25">
      <c r="A613" s="93" t="s">
        <v>2114</v>
      </c>
      <c r="B613" s="93"/>
      <c r="C613" s="93"/>
      <c r="D613" s="93">
        <v>4149</v>
      </c>
      <c r="E613" s="93">
        <v>14520</v>
      </c>
    </row>
    <row r="614" spans="1:5" x14ac:dyDescent="0.25">
      <c r="A614" s="93" t="s">
        <v>2115</v>
      </c>
      <c r="B614" s="93"/>
      <c r="C614" s="93"/>
      <c r="D614" s="93">
        <v>142492</v>
      </c>
      <c r="E614" s="93">
        <v>93297</v>
      </c>
    </row>
    <row r="615" spans="1:5" x14ac:dyDescent="0.25">
      <c r="A615" s="93" t="s">
        <v>2116</v>
      </c>
      <c r="B615" s="93"/>
      <c r="C615" s="93"/>
      <c r="D615" s="93">
        <v>142492</v>
      </c>
      <c r="E615" s="93">
        <v>93297</v>
      </c>
    </row>
    <row r="616" spans="1:5" x14ac:dyDescent="0.25">
      <c r="A616" s="11" t="s">
        <v>811</v>
      </c>
      <c r="B616" s="11">
        <v>261941063</v>
      </c>
      <c r="C616" s="11">
        <v>8696786</v>
      </c>
      <c r="D616" s="11">
        <v>253244277</v>
      </c>
      <c r="E616" s="11">
        <v>234776869</v>
      </c>
    </row>
    <row r="617" spans="1:5" x14ac:dyDescent="0.25">
      <c r="A617" s="11" t="s">
        <v>812</v>
      </c>
      <c r="B617" s="11">
        <v>8937384</v>
      </c>
      <c r="C617" s="11">
        <v>87082</v>
      </c>
      <c r="D617" s="11">
        <v>8850302</v>
      </c>
      <c r="E617" s="11">
        <v>8917449</v>
      </c>
    </row>
    <row r="618" spans="1:5" x14ac:dyDescent="0.25">
      <c r="A618" s="11" t="s">
        <v>813</v>
      </c>
      <c r="B618" s="11">
        <v>2855587</v>
      </c>
      <c r="C618" s="11">
        <v>0</v>
      </c>
      <c r="D618" s="11">
        <v>2855587</v>
      </c>
      <c r="E618" s="11">
        <v>2829547</v>
      </c>
    </row>
    <row r="619" spans="1:5" x14ac:dyDescent="0.25">
      <c r="A619" s="11" t="s">
        <v>814</v>
      </c>
      <c r="B619" s="11">
        <v>436471</v>
      </c>
      <c r="C619" s="11">
        <v>87082</v>
      </c>
      <c r="D619" s="11">
        <v>349389</v>
      </c>
      <c r="E619" s="11">
        <v>112748</v>
      </c>
    </row>
    <row r="620" spans="1:5" x14ac:dyDescent="0.25">
      <c r="A620" s="11" t="s">
        <v>815</v>
      </c>
      <c r="B620" s="11">
        <v>5334000</v>
      </c>
      <c r="C620" s="11">
        <v>0</v>
      </c>
      <c r="D620" s="11">
        <v>5334000</v>
      </c>
      <c r="E620" s="11">
        <v>5931655</v>
      </c>
    </row>
    <row r="621" spans="1:5" x14ac:dyDescent="0.25">
      <c r="A621" s="11" t="s">
        <v>816</v>
      </c>
      <c r="B621" s="11">
        <v>311326</v>
      </c>
      <c r="C621" s="11">
        <v>0</v>
      </c>
      <c r="D621" s="11">
        <v>311326</v>
      </c>
      <c r="E621" s="11">
        <v>43499</v>
      </c>
    </row>
    <row r="622" spans="1:5" x14ac:dyDescent="0.25">
      <c r="A622" s="11" t="s">
        <v>817</v>
      </c>
      <c r="B622" s="11">
        <v>49013369</v>
      </c>
      <c r="C622" s="11">
        <v>0</v>
      </c>
      <c r="D622" s="11">
        <v>49013369</v>
      </c>
      <c r="E622" s="11">
        <v>39798501</v>
      </c>
    </row>
    <row r="623" spans="1:5" x14ac:dyDescent="0.25">
      <c r="A623" s="11" t="s">
        <v>818</v>
      </c>
      <c r="B623" s="11">
        <v>49013369</v>
      </c>
      <c r="C623" s="11">
        <v>0</v>
      </c>
      <c r="D623" s="11">
        <v>49013369</v>
      </c>
      <c r="E623" s="11">
        <v>39798501</v>
      </c>
    </row>
    <row r="624" spans="1:5" x14ac:dyDescent="0.25">
      <c r="A624" s="11" t="s">
        <v>819</v>
      </c>
      <c r="B624" s="11">
        <v>2918625</v>
      </c>
      <c r="C624" s="11">
        <v>995427</v>
      </c>
      <c r="D624" s="11">
        <v>1923198</v>
      </c>
      <c r="E624" s="11">
        <v>1667724</v>
      </c>
    </row>
    <row r="625" spans="1:5" x14ac:dyDescent="0.25">
      <c r="A625" s="11" t="s">
        <v>820</v>
      </c>
      <c r="B625" s="11">
        <v>2862924</v>
      </c>
      <c r="C625" s="11">
        <v>939726</v>
      </c>
      <c r="D625" s="11">
        <v>1923198</v>
      </c>
      <c r="E625" s="11">
        <v>1667724</v>
      </c>
    </row>
    <row r="626" spans="1:5" x14ac:dyDescent="0.25">
      <c r="A626" s="11" t="s">
        <v>821</v>
      </c>
      <c r="B626" s="11">
        <v>55701</v>
      </c>
      <c r="C626" s="11">
        <v>55701</v>
      </c>
      <c r="D626" s="11">
        <v>0</v>
      </c>
      <c r="E626" s="11">
        <v>0</v>
      </c>
    </row>
    <row r="627" spans="1:5" x14ac:dyDescent="0.25">
      <c r="A627" s="11" t="s">
        <v>822</v>
      </c>
      <c r="B627" s="11">
        <v>162515826</v>
      </c>
      <c r="C627" s="11">
        <v>1529641</v>
      </c>
      <c r="D627" s="11">
        <v>160986185</v>
      </c>
      <c r="E627" s="11">
        <v>171664238</v>
      </c>
    </row>
    <row r="628" spans="1:5" x14ac:dyDescent="0.25">
      <c r="A628" s="11" t="s">
        <v>823</v>
      </c>
      <c r="B628" s="11">
        <v>34426125</v>
      </c>
      <c r="C628" s="11">
        <v>370483</v>
      </c>
      <c r="D628" s="11">
        <v>34055642</v>
      </c>
      <c r="E628" s="11">
        <v>39911969</v>
      </c>
    </row>
    <row r="629" spans="1:5" x14ac:dyDescent="0.25">
      <c r="A629" s="11" t="s">
        <v>824</v>
      </c>
      <c r="B629" s="11">
        <v>123395709</v>
      </c>
      <c r="C629" s="11">
        <v>1150239</v>
      </c>
      <c r="D629" s="11">
        <v>122245470</v>
      </c>
      <c r="E629" s="11">
        <v>125628773</v>
      </c>
    </row>
    <row r="630" spans="1:5" x14ac:dyDescent="0.25">
      <c r="A630" s="11" t="s">
        <v>825</v>
      </c>
      <c r="B630" s="11">
        <v>4693992</v>
      </c>
      <c r="C630" s="11">
        <v>8919</v>
      </c>
      <c r="D630" s="11">
        <v>4685073</v>
      </c>
      <c r="E630" s="11">
        <v>6123496</v>
      </c>
    </row>
    <row r="631" spans="1:5" x14ac:dyDescent="0.25">
      <c r="A631" s="11" t="s">
        <v>826</v>
      </c>
      <c r="B631" s="11">
        <v>19149381</v>
      </c>
      <c r="C631" s="11">
        <v>0</v>
      </c>
      <c r="D631" s="11">
        <v>19149381</v>
      </c>
      <c r="E631" s="11">
        <v>0</v>
      </c>
    </row>
    <row r="632" spans="1:5" x14ac:dyDescent="0.25">
      <c r="A632" s="11" t="s">
        <v>1960</v>
      </c>
      <c r="B632" s="11">
        <v>4952421</v>
      </c>
      <c r="C632" s="11">
        <v>0</v>
      </c>
      <c r="D632" s="11">
        <v>4952421</v>
      </c>
      <c r="E632" s="11">
        <v>0</v>
      </c>
    </row>
    <row r="633" spans="1:5" x14ac:dyDescent="0.25">
      <c r="A633" s="11" t="s">
        <v>827</v>
      </c>
      <c r="B633" s="11">
        <v>14196960</v>
      </c>
      <c r="C633" s="11">
        <v>0</v>
      </c>
      <c r="D633" s="11">
        <v>14196960</v>
      </c>
      <c r="E633" s="11">
        <v>0</v>
      </c>
    </row>
    <row r="634" spans="1:5" x14ac:dyDescent="0.25">
      <c r="A634" s="11" t="s">
        <v>828</v>
      </c>
      <c r="B634" s="11">
        <v>19118073</v>
      </c>
      <c r="C634" s="11">
        <v>5960167</v>
      </c>
      <c r="D634" s="11">
        <v>13157906</v>
      </c>
      <c r="E634" s="11">
        <v>12632921</v>
      </c>
    </row>
    <row r="635" spans="1:5" x14ac:dyDescent="0.25">
      <c r="A635" s="11" t="s">
        <v>829</v>
      </c>
      <c r="B635" s="11">
        <v>25182</v>
      </c>
      <c r="C635" s="11">
        <v>0</v>
      </c>
      <c r="D635" s="11">
        <v>25182</v>
      </c>
      <c r="E635" s="11">
        <v>24844</v>
      </c>
    </row>
    <row r="636" spans="1:5" x14ac:dyDescent="0.25">
      <c r="A636" s="11" t="s">
        <v>830</v>
      </c>
      <c r="B636" s="11">
        <v>18566077</v>
      </c>
      <c r="C636" s="11">
        <v>5856305</v>
      </c>
      <c r="D636" s="11">
        <v>12709772</v>
      </c>
      <c r="E636" s="11">
        <v>12112642</v>
      </c>
    </row>
    <row r="637" spans="1:5" x14ac:dyDescent="0.25">
      <c r="A637" s="11" t="s">
        <v>831</v>
      </c>
      <c r="B637" s="11">
        <v>325239</v>
      </c>
      <c r="C637" s="11">
        <v>0</v>
      </c>
      <c r="D637" s="11">
        <v>325239</v>
      </c>
      <c r="E637" s="11">
        <v>398914</v>
      </c>
    </row>
    <row r="638" spans="1:5" x14ac:dyDescent="0.25">
      <c r="A638" s="11" t="s">
        <v>832</v>
      </c>
      <c r="B638" s="11">
        <v>103862</v>
      </c>
      <c r="C638" s="11">
        <v>103862</v>
      </c>
      <c r="D638" s="11">
        <v>0</v>
      </c>
      <c r="E638" s="11">
        <v>0</v>
      </c>
    </row>
    <row r="639" spans="1:5" x14ac:dyDescent="0.25">
      <c r="A639" s="11" t="s">
        <v>833</v>
      </c>
      <c r="B639" s="11">
        <v>97713</v>
      </c>
      <c r="C639" s="11">
        <v>0</v>
      </c>
      <c r="D639" s="11">
        <v>97713</v>
      </c>
      <c r="E639" s="11">
        <v>96521</v>
      </c>
    </row>
    <row r="640" spans="1:5" x14ac:dyDescent="0.25">
      <c r="A640" s="11" t="s">
        <v>834</v>
      </c>
      <c r="B640" s="11">
        <v>214405</v>
      </c>
      <c r="C640" s="11">
        <v>124469</v>
      </c>
      <c r="D640" s="11">
        <v>89936</v>
      </c>
      <c r="E640" s="11">
        <v>96035</v>
      </c>
    </row>
    <row r="641" spans="1:5" x14ac:dyDescent="0.25">
      <c r="A641" s="11" t="s">
        <v>835</v>
      </c>
      <c r="B641" s="11">
        <v>74000</v>
      </c>
      <c r="C641" s="11">
        <v>0</v>
      </c>
      <c r="D641" s="11">
        <v>74000</v>
      </c>
      <c r="E641" s="11">
        <v>1</v>
      </c>
    </row>
    <row r="642" spans="1:5" x14ac:dyDescent="0.25">
      <c r="A642" s="11" t="s">
        <v>836</v>
      </c>
      <c r="B642" s="11">
        <v>9998417</v>
      </c>
      <c r="C642" s="11">
        <v>5887591</v>
      </c>
      <c r="D642" s="11">
        <v>4110826</v>
      </c>
      <c r="E642" s="11">
        <v>4357551</v>
      </c>
    </row>
    <row r="643" spans="1:5" x14ac:dyDescent="0.25">
      <c r="A643" s="11" t="s">
        <v>837</v>
      </c>
      <c r="B643" s="11">
        <v>7679562</v>
      </c>
      <c r="C643" s="11">
        <v>4076061</v>
      </c>
      <c r="D643" s="11">
        <v>3603501</v>
      </c>
      <c r="E643" s="11">
        <v>3842870</v>
      </c>
    </row>
    <row r="644" spans="1:5" x14ac:dyDescent="0.25">
      <c r="A644" s="11" t="s">
        <v>838</v>
      </c>
      <c r="B644" s="11">
        <v>4761335</v>
      </c>
      <c r="C644" s="11">
        <v>3570328</v>
      </c>
      <c r="D644" s="11">
        <v>1191007</v>
      </c>
      <c r="E644" s="11">
        <v>1382781</v>
      </c>
    </row>
    <row r="645" spans="1:5" x14ac:dyDescent="0.25">
      <c r="A645" s="11" t="s">
        <v>839</v>
      </c>
      <c r="B645" s="11">
        <v>2854439</v>
      </c>
      <c r="C645" s="11">
        <v>505733</v>
      </c>
      <c r="D645" s="11">
        <v>2348706</v>
      </c>
      <c r="E645" s="11">
        <v>2384146</v>
      </c>
    </row>
    <row r="646" spans="1:5" x14ac:dyDescent="0.25">
      <c r="A646" s="11" t="s">
        <v>840</v>
      </c>
      <c r="B646" s="11">
        <v>63788</v>
      </c>
      <c r="C646" s="11">
        <v>0</v>
      </c>
      <c r="D646" s="11">
        <v>63788</v>
      </c>
      <c r="E646" s="11">
        <v>75943</v>
      </c>
    </row>
    <row r="647" spans="1:5" x14ac:dyDescent="0.25">
      <c r="A647" s="11" t="s">
        <v>841</v>
      </c>
      <c r="B647" s="11">
        <v>2318855</v>
      </c>
      <c r="C647" s="11">
        <v>1811530</v>
      </c>
      <c r="D647" s="11">
        <v>507325</v>
      </c>
      <c r="E647" s="11">
        <v>514681</v>
      </c>
    </row>
    <row r="648" spans="1:5" x14ac:dyDescent="0.25">
      <c r="A648" s="11" t="s">
        <v>842</v>
      </c>
      <c r="B648" s="11">
        <v>2250495</v>
      </c>
      <c r="C648" s="11">
        <v>1811530</v>
      </c>
      <c r="D648" s="11">
        <v>438965</v>
      </c>
      <c r="E648" s="11">
        <v>406428</v>
      </c>
    </row>
    <row r="649" spans="1:5" x14ac:dyDescent="0.25">
      <c r="A649" s="11" t="s">
        <v>1926</v>
      </c>
      <c r="B649" s="11">
        <v>68360</v>
      </c>
      <c r="C649" s="11">
        <v>0</v>
      </c>
      <c r="D649" s="11">
        <v>68360</v>
      </c>
      <c r="E649" s="11">
        <v>108253</v>
      </c>
    </row>
    <row r="650" spans="1:5" x14ac:dyDescent="0.25">
      <c r="A650" s="11" t="s">
        <v>843</v>
      </c>
      <c r="B650" s="11">
        <v>271939480</v>
      </c>
      <c r="C650" s="11">
        <v>14584377</v>
      </c>
      <c r="D650" s="11">
        <v>257355103</v>
      </c>
      <c r="E650" s="11">
        <v>239134420</v>
      </c>
    </row>
    <row r="651" spans="1:5" x14ac:dyDescent="0.25">
      <c r="A651" s="11" t="s">
        <v>844</v>
      </c>
      <c r="B651" s="11">
        <v>264224575</v>
      </c>
      <c r="C651" s="11">
        <v>0</v>
      </c>
      <c r="D651" s="11">
        <v>264224575</v>
      </c>
      <c r="E651" s="11">
        <v>303061962</v>
      </c>
    </row>
    <row r="652" spans="1:5" x14ac:dyDescent="0.25">
      <c r="A652" s="11" t="s">
        <v>845</v>
      </c>
      <c r="B652" s="11">
        <v>536164055</v>
      </c>
      <c r="C652" s="11">
        <v>14584377</v>
      </c>
      <c r="D652" s="11">
        <v>521579678</v>
      </c>
      <c r="E652" s="11">
        <v>542196382</v>
      </c>
    </row>
    <row r="653" spans="1:5" x14ac:dyDescent="0.25">
      <c r="A653" s="93" t="s">
        <v>2118</v>
      </c>
      <c r="B653" s="93"/>
      <c r="C653" s="93"/>
      <c r="D653" s="93">
        <v>253244277</v>
      </c>
      <c r="E653" s="93">
        <v>234776869</v>
      </c>
    </row>
    <row r="654" spans="1:5" x14ac:dyDescent="0.25">
      <c r="A654" s="93" t="s">
        <v>2119</v>
      </c>
      <c r="B654" s="93"/>
      <c r="C654" s="93"/>
      <c r="D654" s="93">
        <v>8850302</v>
      </c>
      <c r="E654" s="93">
        <v>8917449</v>
      </c>
    </row>
    <row r="655" spans="1:5" x14ac:dyDescent="0.25">
      <c r="A655" s="93" t="s">
        <v>2120</v>
      </c>
      <c r="B655" s="93"/>
      <c r="C655" s="93"/>
      <c r="D655" s="93">
        <v>2855587</v>
      </c>
      <c r="E655" s="93">
        <v>2829547</v>
      </c>
    </row>
    <row r="656" spans="1:5" x14ac:dyDescent="0.25">
      <c r="A656" s="93" t="s">
        <v>2121</v>
      </c>
      <c r="B656" s="93"/>
      <c r="C656" s="93"/>
      <c r="D656" s="93">
        <v>349389</v>
      </c>
      <c r="E656" s="93">
        <v>112748</v>
      </c>
    </row>
    <row r="657" spans="1:5" x14ac:dyDescent="0.25">
      <c r="A657" s="93" t="s">
        <v>2122</v>
      </c>
      <c r="B657" s="93"/>
      <c r="C657" s="93"/>
      <c r="D657" s="93">
        <v>5334000</v>
      </c>
      <c r="E657" s="93">
        <v>5931655</v>
      </c>
    </row>
    <row r="658" spans="1:5" x14ac:dyDescent="0.25">
      <c r="A658" s="93" t="s">
        <v>2123</v>
      </c>
      <c r="B658" s="93"/>
      <c r="C658" s="93"/>
      <c r="D658" s="93">
        <v>311326</v>
      </c>
      <c r="E658" s="93">
        <v>43499</v>
      </c>
    </row>
    <row r="659" spans="1:5" x14ac:dyDescent="0.25">
      <c r="A659" s="93" t="s">
        <v>2124</v>
      </c>
      <c r="B659" s="93"/>
      <c r="C659" s="93"/>
      <c r="D659" s="93">
        <v>49013369</v>
      </c>
      <c r="E659" s="93">
        <v>39798501</v>
      </c>
    </row>
    <row r="660" spans="1:5" x14ac:dyDescent="0.25">
      <c r="A660" s="93" t="s">
        <v>2125</v>
      </c>
      <c r="B660" s="93"/>
      <c r="C660" s="93"/>
      <c r="D660" s="93">
        <v>49013369</v>
      </c>
      <c r="E660" s="93">
        <v>39798501</v>
      </c>
    </row>
    <row r="661" spans="1:5" x14ac:dyDescent="0.25">
      <c r="A661" s="11" t="s">
        <v>846</v>
      </c>
      <c r="B661" s="11"/>
      <c r="C661" s="11"/>
      <c r="D661" s="11">
        <v>192454832</v>
      </c>
      <c r="E661" s="11">
        <v>174903331</v>
      </c>
    </row>
    <row r="662" spans="1:5" x14ac:dyDescent="0.25">
      <c r="A662" s="11" t="s">
        <v>847</v>
      </c>
      <c r="B662" s="11"/>
      <c r="C662" s="11"/>
      <c r="D662" s="11">
        <v>187816496</v>
      </c>
      <c r="E662" s="11">
        <v>171672253</v>
      </c>
    </row>
    <row r="663" spans="1:5" x14ac:dyDescent="0.25">
      <c r="A663" s="11" t="s">
        <v>848</v>
      </c>
      <c r="B663" s="11"/>
      <c r="C663" s="11"/>
      <c r="D663" s="11">
        <v>73433385</v>
      </c>
      <c r="E663" s="11">
        <v>72862449</v>
      </c>
    </row>
    <row r="664" spans="1:5" x14ac:dyDescent="0.25">
      <c r="A664" s="11" t="s">
        <v>849</v>
      </c>
      <c r="B664" s="11"/>
      <c r="C664" s="11"/>
      <c r="D664" s="11">
        <v>68586853</v>
      </c>
      <c r="E664" s="11">
        <v>56709740</v>
      </c>
    </row>
    <row r="665" spans="1:5" x14ac:dyDescent="0.25">
      <c r="A665" s="11" t="s">
        <v>850</v>
      </c>
      <c r="B665" s="11"/>
      <c r="C665" s="11"/>
      <c r="D665" s="11">
        <v>45796258</v>
      </c>
      <c r="E665" s="11">
        <v>42100064</v>
      </c>
    </row>
    <row r="666" spans="1:5" x14ac:dyDescent="0.25">
      <c r="A666" s="11" t="s">
        <v>851</v>
      </c>
      <c r="B666" s="11"/>
      <c r="C666" s="11"/>
      <c r="D666" s="11">
        <v>33696</v>
      </c>
      <c r="E666" s="11">
        <v>27286</v>
      </c>
    </row>
    <row r="667" spans="1:5" x14ac:dyDescent="0.25">
      <c r="A667" s="11" t="s">
        <v>852</v>
      </c>
      <c r="B667" s="11"/>
      <c r="C667" s="11"/>
      <c r="D667" s="11">
        <v>33696</v>
      </c>
      <c r="E667" s="11">
        <v>27286</v>
      </c>
    </row>
    <row r="668" spans="1:5" x14ac:dyDescent="0.25">
      <c r="A668" s="11" t="s">
        <v>853</v>
      </c>
      <c r="B668" s="11"/>
      <c r="C668" s="11"/>
      <c r="D668" s="11">
        <v>4604640</v>
      </c>
      <c r="E668" s="11">
        <v>3203792</v>
      </c>
    </row>
    <row r="669" spans="1:5" x14ac:dyDescent="0.25">
      <c r="A669" s="11" t="s">
        <v>1927</v>
      </c>
      <c r="B669" s="11"/>
      <c r="C669" s="11"/>
      <c r="D669" s="11">
        <v>237975</v>
      </c>
      <c r="E669" s="11">
        <v>1006</v>
      </c>
    </row>
    <row r="670" spans="1:5" x14ac:dyDescent="0.25">
      <c r="A670" s="11" t="s">
        <v>854</v>
      </c>
      <c r="B670" s="11"/>
      <c r="C670" s="11"/>
      <c r="D670" s="11">
        <v>727026</v>
      </c>
      <c r="E670" s="11">
        <v>654201</v>
      </c>
    </row>
    <row r="671" spans="1:5" x14ac:dyDescent="0.25">
      <c r="A671" s="11" t="s">
        <v>855</v>
      </c>
      <c r="B671" s="11"/>
      <c r="C671" s="11"/>
      <c r="D671" s="11">
        <v>193661</v>
      </c>
      <c r="E671" s="11">
        <v>19499</v>
      </c>
    </row>
    <row r="672" spans="1:5" x14ac:dyDescent="0.25">
      <c r="A672" s="11" t="s">
        <v>856</v>
      </c>
      <c r="B672" s="11"/>
      <c r="C672" s="11"/>
      <c r="D672" s="11">
        <v>0</v>
      </c>
      <c r="E672" s="11">
        <v>136083</v>
      </c>
    </row>
    <row r="673" spans="1:5" x14ac:dyDescent="0.25">
      <c r="A673" s="11" t="s">
        <v>857</v>
      </c>
      <c r="B673" s="11"/>
      <c r="C673" s="11"/>
      <c r="D673" s="11">
        <v>421022</v>
      </c>
      <c r="E673" s="11">
        <v>501553</v>
      </c>
    </row>
    <row r="674" spans="1:5" x14ac:dyDescent="0.25">
      <c r="A674" s="11" t="s">
        <v>858</v>
      </c>
      <c r="B674" s="11"/>
      <c r="C674" s="11"/>
      <c r="D674" s="11">
        <v>1462688</v>
      </c>
      <c r="E674" s="11">
        <v>1384560</v>
      </c>
    </row>
    <row r="675" spans="1:5" x14ac:dyDescent="0.25">
      <c r="A675" s="11" t="s">
        <v>859</v>
      </c>
      <c r="B675" s="11"/>
      <c r="C675" s="11"/>
      <c r="D675" s="11">
        <v>1137295</v>
      </c>
      <c r="E675" s="11">
        <v>13842</v>
      </c>
    </row>
    <row r="676" spans="1:5" x14ac:dyDescent="0.25">
      <c r="A676" s="11" t="s">
        <v>860</v>
      </c>
      <c r="B676" s="11"/>
      <c r="C676" s="11"/>
      <c r="D676" s="11">
        <v>424973</v>
      </c>
      <c r="E676" s="11">
        <v>493048</v>
      </c>
    </row>
    <row r="677" spans="1:5" x14ac:dyDescent="0.25">
      <c r="A677" s="11" t="s">
        <v>861</v>
      </c>
      <c r="B677" s="11"/>
      <c r="C677" s="11"/>
      <c r="D677" s="11">
        <v>64900271</v>
      </c>
      <c r="E677" s="11">
        <v>64231089</v>
      </c>
    </row>
    <row r="678" spans="1:5" x14ac:dyDescent="0.25">
      <c r="A678" s="11" t="s">
        <v>862</v>
      </c>
      <c r="B678" s="11"/>
      <c r="C678" s="11"/>
      <c r="D678" s="11">
        <v>60000000</v>
      </c>
      <c r="E678" s="11">
        <v>60000000</v>
      </c>
    </row>
    <row r="679" spans="1:5" x14ac:dyDescent="0.25">
      <c r="A679" s="11" t="s">
        <v>863</v>
      </c>
      <c r="B679" s="11"/>
      <c r="C679" s="11"/>
      <c r="D679" s="11">
        <v>60000000</v>
      </c>
      <c r="E679" s="11">
        <v>60000000</v>
      </c>
    </row>
    <row r="680" spans="1:5" x14ac:dyDescent="0.25">
      <c r="A680" s="11" t="s">
        <v>864</v>
      </c>
      <c r="B680" s="11"/>
      <c r="C680" s="11"/>
      <c r="D680" s="11">
        <v>4231089</v>
      </c>
      <c r="E680" s="11">
        <v>3181039</v>
      </c>
    </row>
    <row r="681" spans="1:5" x14ac:dyDescent="0.25">
      <c r="A681" s="11" t="s">
        <v>865</v>
      </c>
      <c r="B681" s="11"/>
      <c r="C681" s="11"/>
      <c r="D681" s="11">
        <v>4231089</v>
      </c>
      <c r="E681" s="11">
        <v>3181039</v>
      </c>
    </row>
    <row r="682" spans="1:5" x14ac:dyDescent="0.25">
      <c r="A682" s="11" t="s">
        <v>866</v>
      </c>
      <c r="B682" s="11"/>
      <c r="C682" s="11"/>
      <c r="D682" s="11">
        <v>669182</v>
      </c>
      <c r="E682" s="11">
        <v>1050050</v>
      </c>
    </row>
    <row r="683" spans="1:5" x14ac:dyDescent="0.25">
      <c r="A683" s="11" t="s">
        <v>867</v>
      </c>
      <c r="B683" s="11"/>
      <c r="C683" s="11"/>
      <c r="D683" s="11">
        <v>669182</v>
      </c>
      <c r="E683" s="11">
        <v>1050050</v>
      </c>
    </row>
    <row r="684" spans="1:5" x14ac:dyDescent="0.25">
      <c r="A684" s="11" t="s">
        <v>868</v>
      </c>
      <c r="B684" s="11"/>
      <c r="C684" s="11"/>
      <c r="D684" s="11">
        <v>257355103</v>
      </c>
      <c r="E684" s="11">
        <v>239134420</v>
      </c>
    </row>
    <row r="685" spans="1:5" x14ac:dyDescent="0.25">
      <c r="A685" s="11" t="s">
        <v>869</v>
      </c>
      <c r="B685" s="11"/>
      <c r="C685" s="11"/>
      <c r="D685" s="11">
        <v>264224575</v>
      </c>
      <c r="E685" s="11">
        <v>303061962</v>
      </c>
    </row>
    <row r="686" spans="1:5" x14ac:dyDescent="0.25">
      <c r="A686" s="11" t="s">
        <v>870</v>
      </c>
      <c r="B686" s="11"/>
      <c r="C686" s="11"/>
      <c r="D686" s="11">
        <v>521579678</v>
      </c>
      <c r="E686" s="11">
        <v>542196382</v>
      </c>
    </row>
    <row r="687" spans="1:5" x14ac:dyDescent="0.25">
      <c r="A687" s="11" t="s">
        <v>871</v>
      </c>
      <c r="B687" s="11"/>
      <c r="C687" s="11"/>
      <c r="D687" s="11">
        <v>7177791</v>
      </c>
      <c r="E687" s="11">
        <v>7820957</v>
      </c>
    </row>
    <row r="688" spans="1:5" x14ac:dyDescent="0.25">
      <c r="A688" s="11" t="s">
        <v>872</v>
      </c>
      <c r="B688" s="11"/>
      <c r="C688" s="11"/>
      <c r="D688" s="11">
        <v>2108637</v>
      </c>
      <c r="E688" s="11">
        <v>2171154</v>
      </c>
    </row>
    <row r="689" spans="1:5" x14ac:dyDescent="0.25">
      <c r="A689" s="11" t="s">
        <v>873</v>
      </c>
      <c r="B689" s="11"/>
      <c r="C689" s="11"/>
      <c r="D689" s="11">
        <v>4780975</v>
      </c>
      <c r="E689" s="11">
        <v>5424989</v>
      </c>
    </row>
    <row r="690" spans="1:5" x14ac:dyDescent="0.25">
      <c r="A690" s="11" t="s">
        <v>874</v>
      </c>
      <c r="B690" s="11"/>
      <c r="C690" s="11"/>
      <c r="D690" s="11">
        <v>288179</v>
      </c>
      <c r="E690" s="11">
        <v>224814</v>
      </c>
    </row>
    <row r="691" spans="1:5" x14ac:dyDescent="0.25">
      <c r="A691" s="11" t="s">
        <v>875</v>
      </c>
      <c r="B691" s="11"/>
      <c r="C691" s="11"/>
      <c r="D691" s="11">
        <v>2048360</v>
      </c>
      <c r="E691" s="11">
        <v>1933100</v>
      </c>
    </row>
    <row r="692" spans="1:5" x14ac:dyDescent="0.25">
      <c r="A692" s="11" t="s">
        <v>876</v>
      </c>
      <c r="B692" s="11"/>
      <c r="C692" s="11"/>
      <c r="D692" s="11">
        <v>1809939</v>
      </c>
      <c r="E692" s="11">
        <v>1753794</v>
      </c>
    </row>
    <row r="693" spans="1:5" x14ac:dyDescent="0.25">
      <c r="A693" s="11" t="s">
        <v>877</v>
      </c>
      <c r="B693" s="11"/>
      <c r="C693" s="11"/>
      <c r="D693" s="11">
        <v>179427</v>
      </c>
      <c r="E693" s="11">
        <v>118151</v>
      </c>
    </row>
    <row r="694" spans="1:5" x14ac:dyDescent="0.25">
      <c r="A694" s="11" t="s">
        <v>878</v>
      </c>
      <c r="B694" s="11"/>
      <c r="C694" s="11"/>
      <c r="D694" s="11">
        <v>58994</v>
      </c>
      <c r="E694" s="11">
        <v>61155</v>
      </c>
    </row>
    <row r="695" spans="1:5" x14ac:dyDescent="0.25">
      <c r="A695" s="11" t="s">
        <v>879</v>
      </c>
      <c r="B695" s="11"/>
      <c r="C695" s="11"/>
      <c r="D695" s="11">
        <v>5129431</v>
      </c>
      <c r="E695" s="11">
        <v>5887857</v>
      </c>
    </row>
    <row r="696" spans="1:5" x14ac:dyDescent="0.25">
      <c r="A696" s="11" t="s">
        <v>880</v>
      </c>
      <c r="B696" s="11"/>
      <c r="C696" s="11"/>
      <c r="D696" s="11">
        <v>1467763</v>
      </c>
      <c r="E696" s="11">
        <v>1498704</v>
      </c>
    </row>
    <row r="697" spans="1:5" x14ac:dyDescent="0.25">
      <c r="A697" s="11" t="s">
        <v>881</v>
      </c>
      <c r="B697" s="11"/>
      <c r="C697" s="11"/>
      <c r="D697" s="11">
        <v>904013</v>
      </c>
      <c r="E697" s="11">
        <v>837362</v>
      </c>
    </row>
    <row r="698" spans="1:5" x14ac:dyDescent="0.25">
      <c r="A698" s="11" t="s">
        <v>882</v>
      </c>
      <c r="B698" s="11"/>
      <c r="C698" s="11"/>
      <c r="D698" s="11">
        <v>405828</v>
      </c>
      <c r="E698" s="11">
        <v>509074</v>
      </c>
    </row>
    <row r="699" spans="1:5" x14ac:dyDescent="0.25">
      <c r="A699" s="11" t="s">
        <v>883</v>
      </c>
      <c r="B699" s="11"/>
      <c r="C699" s="11"/>
      <c r="D699" s="11">
        <v>157922</v>
      </c>
      <c r="E699" s="11">
        <v>152268</v>
      </c>
    </row>
    <row r="700" spans="1:5" x14ac:dyDescent="0.25">
      <c r="A700" s="11" t="s">
        <v>884</v>
      </c>
      <c r="B700" s="11"/>
      <c r="C700" s="11"/>
      <c r="D700" s="11">
        <v>354407</v>
      </c>
      <c r="E700" s="11">
        <v>388746</v>
      </c>
    </row>
    <row r="701" spans="1:5" x14ac:dyDescent="0.25">
      <c r="A701" s="11" t="s">
        <v>885</v>
      </c>
      <c r="B701" s="11"/>
      <c r="C701" s="11"/>
      <c r="D701" s="11">
        <v>100276</v>
      </c>
      <c r="E701" s="11">
        <v>101165</v>
      </c>
    </row>
    <row r="702" spans="1:5" x14ac:dyDescent="0.25">
      <c r="A702" s="11" t="s">
        <v>886</v>
      </c>
      <c r="B702" s="11"/>
      <c r="C702" s="11"/>
      <c r="D702" s="11">
        <v>47297</v>
      </c>
      <c r="E702" s="11">
        <v>38209</v>
      </c>
    </row>
    <row r="703" spans="1:5" x14ac:dyDescent="0.25">
      <c r="A703" s="11" t="s">
        <v>887</v>
      </c>
      <c r="B703" s="11"/>
      <c r="C703" s="11"/>
      <c r="D703" s="11">
        <v>206834</v>
      </c>
      <c r="E703" s="11">
        <v>249372</v>
      </c>
    </row>
    <row r="704" spans="1:5" x14ac:dyDescent="0.25">
      <c r="A704" s="11" t="s">
        <v>888</v>
      </c>
      <c r="B704" s="11"/>
      <c r="C704" s="11"/>
      <c r="D704" s="11">
        <v>1113356</v>
      </c>
      <c r="E704" s="11">
        <v>1109958</v>
      </c>
    </row>
    <row r="705" spans="1:5" x14ac:dyDescent="0.25">
      <c r="A705" s="11" t="s">
        <v>889</v>
      </c>
      <c r="B705" s="11"/>
      <c r="C705" s="11"/>
      <c r="D705" s="11">
        <v>6242787</v>
      </c>
      <c r="E705" s="11">
        <v>6997815</v>
      </c>
    </row>
    <row r="706" spans="1:5" x14ac:dyDescent="0.25">
      <c r="A706" s="11" t="s">
        <v>890</v>
      </c>
      <c r="B706" s="11"/>
      <c r="C706" s="11"/>
      <c r="D706" s="11">
        <v>3054728</v>
      </c>
      <c r="E706" s="11">
        <v>1211524</v>
      </c>
    </row>
    <row r="707" spans="1:5" x14ac:dyDescent="0.25">
      <c r="A707" s="11" t="s">
        <v>891</v>
      </c>
      <c r="B707" s="11"/>
      <c r="C707" s="11"/>
      <c r="D707" s="11">
        <v>2842317</v>
      </c>
      <c r="E707" s="11">
        <v>1177647</v>
      </c>
    </row>
    <row r="708" spans="1:5" x14ac:dyDescent="0.25">
      <c r="A708" s="11" t="s">
        <v>892</v>
      </c>
      <c r="B708" s="11"/>
      <c r="C708" s="11"/>
      <c r="D708" s="11">
        <v>155731</v>
      </c>
      <c r="E708" s="11">
        <v>26602</v>
      </c>
    </row>
    <row r="709" spans="1:5" x14ac:dyDescent="0.25">
      <c r="A709" s="11" t="s">
        <v>1961</v>
      </c>
      <c r="B709" s="11"/>
      <c r="C709" s="11"/>
      <c r="D709" s="11">
        <v>19000</v>
      </c>
      <c r="E709" s="11">
        <v>0</v>
      </c>
    </row>
    <row r="710" spans="1:5" x14ac:dyDescent="0.25">
      <c r="A710" s="11" t="s">
        <v>1928</v>
      </c>
      <c r="B710" s="11"/>
      <c r="C710" s="11"/>
      <c r="D710" s="11">
        <v>37680</v>
      </c>
      <c r="E710" s="11">
        <v>7275</v>
      </c>
    </row>
    <row r="711" spans="1:5" x14ac:dyDescent="0.25">
      <c r="A711" s="11" t="s">
        <v>893</v>
      </c>
      <c r="B711" s="11"/>
      <c r="C711" s="11"/>
      <c r="D711" s="11">
        <v>8668048</v>
      </c>
      <c r="E711" s="11">
        <v>6933147</v>
      </c>
    </row>
    <row r="712" spans="1:5" x14ac:dyDescent="0.25">
      <c r="A712" s="11" t="s">
        <v>894</v>
      </c>
      <c r="B712" s="11"/>
      <c r="C712" s="11"/>
      <c r="D712" s="11">
        <v>3095148</v>
      </c>
      <c r="E712" s="11">
        <v>1446164</v>
      </c>
    </row>
    <row r="713" spans="1:5" x14ac:dyDescent="0.25">
      <c r="A713" s="11" t="s">
        <v>895</v>
      </c>
      <c r="B713" s="11"/>
      <c r="C713" s="11"/>
      <c r="D713" s="11">
        <v>94200</v>
      </c>
      <c r="E713" s="11">
        <v>54960</v>
      </c>
    </row>
    <row r="714" spans="1:5" x14ac:dyDescent="0.25">
      <c r="A714" s="11" t="s">
        <v>896</v>
      </c>
      <c r="B714" s="11"/>
      <c r="C714" s="11"/>
      <c r="D714" s="11">
        <v>2393014</v>
      </c>
      <c r="E714" s="11">
        <v>2395067</v>
      </c>
    </row>
    <row r="715" spans="1:5" x14ac:dyDescent="0.25">
      <c r="A715" s="11" t="s">
        <v>897</v>
      </c>
      <c r="B715" s="11"/>
      <c r="C715" s="11"/>
      <c r="D715" s="11">
        <v>0</v>
      </c>
      <c r="E715" s="11">
        <v>6250</v>
      </c>
    </row>
    <row r="716" spans="1:5" x14ac:dyDescent="0.25">
      <c r="A716" s="11" t="s">
        <v>898</v>
      </c>
      <c r="B716" s="11"/>
      <c r="C716" s="11"/>
      <c r="D716" s="11">
        <v>86546</v>
      </c>
      <c r="E716" s="11">
        <v>71113</v>
      </c>
    </row>
    <row r="717" spans="1:5" x14ac:dyDescent="0.25">
      <c r="A717" s="11" t="s">
        <v>899</v>
      </c>
      <c r="B717" s="11"/>
      <c r="C717" s="11"/>
      <c r="D717" s="11">
        <v>170095</v>
      </c>
      <c r="E717" s="11">
        <v>180325</v>
      </c>
    </row>
    <row r="718" spans="1:5" x14ac:dyDescent="0.25">
      <c r="A718" s="11" t="s">
        <v>900</v>
      </c>
      <c r="B718" s="11"/>
      <c r="C718" s="11"/>
      <c r="D718" s="11">
        <v>1251042</v>
      </c>
      <c r="E718" s="11">
        <v>1358247</v>
      </c>
    </row>
    <row r="719" spans="1:5" x14ac:dyDescent="0.25">
      <c r="A719" s="11" t="s">
        <v>901</v>
      </c>
      <c r="B719" s="11"/>
      <c r="C719" s="11"/>
      <c r="D719" s="11">
        <v>486382</v>
      </c>
      <c r="E719" s="11">
        <v>481309</v>
      </c>
    </row>
    <row r="720" spans="1:5" x14ac:dyDescent="0.25">
      <c r="A720" s="11" t="s">
        <v>902</v>
      </c>
      <c r="B720" s="11"/>
      <c r="C720" s="11"/>
      <c r="D720" s="11">
        <v>1027763</v>
      </c>
      <c r="E720" s="11">
        <v>885632</v>
      </c>
    </row>
    <row r="721" spans="1:5" x14ac:dyDescent="0.25">
      <c r="A721" s="11" t="s">
        <v>903</v>
      </c>
      <c r="B721" s="11"/>
      <c r="C721" s="11"/>
      <c r="D721" s="11">
        <v>62958</v>
      </c>
      <c r="E721" s="11">
        <v>54080</v>
      </c>
    </row>
    <row r="722" spans="1:5" x14ac:dyDescent="0.25">
      <c r="A722" s="11" t="s">
        <v>1962</v>
      </c>
      <c r="B722" s="11"/>
      <c r="C722" s="11"/>
      <c r="D722" s="11">
        <v>900</v>
      </c>
      <c r="E722" s="11">
        <v>0</v>
      </c>
    </row>
    <row r="723" spans="1:5" x14ac:dyDescent="0.25">
      <c r="A723" s="11" t="s">
        <v>904</v>
      </c>
      <c r="B723" s="11"/>
      <c r="C723" s="11"/>
      <c r="D723" s="11">
        <v>5613320</v>
      </c>
      <c r="E723" s="11">
        <v>5721623</v>
      </c>
    </row>
    <row r="724" spans="1:5" x14ac:dyDescent="0.25">
      <c r="A724" s="11" t="s">
        <v>905</v>
      </c>
      <c r="B724" s="11"/>
      <c r="C724" s="11"/>
      <c r="D724" s="11">
        <v>20481</v>
      </c>
      <c r="E724" s="11">
        <v>11223</v>
      </c>
    </row>
    <row r="725" spans="1:5" x14ac:dyDescent="0.25">
      <c r="A725" s="11" t="s">
        <v>1929</v>
      </c>
      <c r="B725" s="11"/>
      <c r="C725" s="11"/>
      <c r="D725" s="11">
        <v>17999</v>
      </c>
      <c r="E725" s="11">
        <v>2931</v>
      </c>
    </row>
    <row r="726" spans="1:5" x14ac:dyDescent="0.25">
      <c r="A726" s="11" t="s">
        <v>906</v>
      </c>
      <c r="B726" s="11"/>
      <c r="C726" s="11"/>
      <c r="D726" s="11">
        <v>2482</v>
      </c>
      <c r="E726" s="11">
        <v>8292</v>
      </c>
    </row>
    <row r="727" spans="1:5" x14ac:dyDescent="0.25">
      <c r="A727" s="11" t="s">
        <v>907</v>
      </c>
      <c r="B727" s="11"/>
      <c r="C727" s="11"/>
      <c r="D727" s="11">
        <v>36175</v>
      </c>
      <c r="E727" s="11">
        <v>38753</v>
      </c>
    </row>
    <row r="728" spans="1:5" x14ac:dyDescent="0.25">
      <c r="A728" s="11" t="s">
        <v>908</v>
      </c>
      <c r="B728" s="11"/>
      <c r="C728" s="11"/>
      <c r="D728" s="11">
        <v>3750</v>
      </c>
      <c r="E728" s="11">
        <v>3591</v>
      </c>
    </row>
    <row r="729" spans="1:5" x14ac:dyDescent="0.25">
      <c r="A729" s="11" t="s">
        <v>909</v>
      </c>
      <c r="B729" s="11"/>
      <c r="C729" s="11"/>
      <c r="D729" s="11">
        <v>0</v>
      </c>
      <c r="E729" s="11">
        <v>1813</v>
      </c>
    </row>
    <row r="730" spans="1:5" x14ac:dyDescent="0.25">
      <c r="A730" s="11" t="s">
        <v>910</v>
      </c>
      <c r="B730" s="11"/>
      <c r="C730" s="11"/>
      <c r="D730" s="11">
        <v>32425</v>
      </c>
      <c r="E730" s="11">
        <v>33349</v>
      </c>
    </row>
    <row r="731" spans="1:5" x14ac:dyDescent="0.25">
      <c r="A731" s="11" t="s">
        <v>911</v>
      </c>
      <c r="B731" s="11"/>
      <c r="C731" s="11"/>
      <c r="D731" s="11">
        <v>15694</v>
      </c>
      <c r="E731" s="11">
        <v>27530</v>
      </c>
    </row>
    <row r="732" spans="1:5" x14ac:dyDescent="0.25">
      <c r="A732" s="11" t="s">
        <v>912</v>
      </c>
      <c r="B732" s="11"/>
      <c r="C732" s="11"/>
      <c r="D732" s="11">
        <v>613773</v>
      </c>
      <c r="E732" s="11">
        <v>1248662</v>
      </c>
    </row>
    <row r="733" spans="1:5" x14ac:dyDescent="0.25">
      <c r="A733" s="11" t="s">
        <v>913</v>
      </c>
      <c r="B733" s="11"/>
      <c r="C733" s="11"/>
      <c r="D733" s="11">
        <v>2741225</v>
      </c>
      <c r="E733" s="11">
        <v>927066</v>
      </c>
    </row>
    <row r="734" spans="1:5" x14ac:dyDescent="0.25">
      <c r="A734" s="11" t="s">
        <v>914</v>
      </c>
      <c r="B734" s="11"/>
      <c r="C734" s="11"/>
      <c r="D734" s="11">
        <v>2741225</v>
      </c>
      <c r="E734" s="11">
        <v>927066</v>
      </c>
    </row>
    <row r="735" spans="1:5" x14ac:dyDescent="0.25">
      <c r="A735" s="11" t="s">
        <v>915</v>
      </c>
      <c r="B735" s="11"/>
      <c r="C735" s="11"/>
      <c r="D735" s="11">
        <v>2685816</v>
      </c>
      <c r="E735" s="11">
        <v>851958</v>
      </c>
    </row>
    <row r="736" spans="1:5" x14ac:dyDescent="0.25">
      <c r="A736" s="11" t="s">
        <v>916</v>
      </c>
      <c r="B736" s="11"/>
      <c r="C736" s="11"/>
      <c r="D736" s="11">
        <v>2685816</v>
      </c>
      <c r="E736" s="11">
        <v>851958</v>
      </c>
    </row>
    <row r="737" spans="1:5" x14ac:dyDescent="0.25">
      <c r="A737" s="11" t="s">
        <v>917</v>
      </c>
      <c r="B737" s="11"/>
      <c r="C737" s="11"/>
      <c r="D737" s="11">
        <v>55409</v>
      </c>
      <c r="E737" s="11">
        <v>75108</v>
      </c>
    </row>
    <row r="738" spans="1:5" x14ac:dyDescent="0.25">
      <c r="A738" s="11" t="s">
        <v>918</v>
      </c>
      <c r="B738" s="11"/>
      <c r="C738" s="11"/>
      <c r="D738" s="11">
        <v>669182</v>
      </c>
      <c r="E738" s="11">
        <v>1323770</v>
      </c>
    </row>
    <row r="739" spans="1:5" x14ac:dyDescent="0.25">
      <c r="A739" s="11" t="s">
        <v>919</v>
      </c>
      <c r="B739" s="11"/>
      <c r="C739" s="11"/>
      <c r="D739" s="11">
        <v>669182</v>
      </c>
      <c r="E739" s="11">
        <v>1323770</v>
      </c>
    </row>
    <row r="740" spans="1:5" x14ac:dyDescent="0.25">
      <c r="A740" s="11" t="s">
        <v>920</v>
      </c>
      <c r="B740" s="11"/>
      <c r="C740" s="11"/>
      <c r="D740" s="11">
        <v>669182</v>
      </c>
      <c r="E740" s="11">
        <v>1323770</v>
      </c>
    </row>
    <row r="741" spans="1:5" x14ac:dyDescent="0.25">
      <c r="A741" s="11" t="s">
        <v>921</v>
      </c>
      <c r="B741" s="11"/>
      <c r="C741" s="11"/>
      <c r="D741" s="11">
        <v>669171</v>
      </c>
      <c r="E741" s="11">
        <v>1323770</v>
      </c>
    </row>
    <row r="742" spans="1:5" x14ac:dyDescent="0.25">
      <c r="A742" s="11" t="s">
        <v>922</v>
      </c>
      <c r="B742" s="11"/>
      <c r="C742" s="11"/>
      <c r="D742" s="11">
        <v>144</v>
      </c>
      <c r="E742" s="11">
        <v>141</v>
      </c>
    </row>
    <row r="743" spans="1:5" x14ac:dyDescent="0.25">
      <c r="A743" s="11" t="s">
        <v>923</v>
      </c>
      <c r="B743" s="11"/>
      <c r="C743" s="11"/>
      <c r="D743" s="11">
        <v>144</v>
      </c>
      <c r="E743" s="11">
        <v>142</v>
      </c>
    </row>
    <row r="744" spans="1:5" x14ac:dyDescent="0.25">
      <c r="A744" s="93" t="s">
        <v>924</v>
      </c>
      <c r="B744" s="93"/>
      <c r="C744" s="93"/>
      <c r="D744" s="93">
        <v>8305</v>
      </c>
      <c r="E744" s="93">
        <v>18152</v>
      </c>
    </row>
    <row r="745" spans="1:5" x14ac:dyDescent="0.25">
      <c r="A745" s="93" t="s">
        <v>924</v>
      </c>
      <c r="B745" s="93"/>
      <c r="C745" s="93"/>
      <c r="D745" s="93">
        <v>192454832</v>
      </c>
      <c r="E745" s="93">
        <v>174903331</v>
      </c>
    </row>
    <row r="746" spans="1:5" x14ac:dyDescent="0.25">
      <c r="A746" s="93" t="s">
        <v>924</v>
      </c>
      <c r="B746" s="93"/>
      <c r="C746" s="93"/>
      <c r="D746" s="93">
        <v>7177791</v>
      </c>
      <c r="E746" s="93">
        <v>7820957</v>
      </c>
    </row>
    <row r="747" spans="1:5" x14ac:dyDescent="0.25">
      <c r="A747" s="93" t="s">
        <v>925</v>
      </c>
      <c r="B747" s="93"/>
      <c r="C747" s="93"/>
      <c r="D747" s="93">
        <v>1932</v>
      </c>
      <c r="E747" s="93">
        <v>3703</v>
      </c>
    </row>
    <row r="748" spans="1:5" x14ac:dyDescent="0.25">
      <c r="A748" s="93" t="s">
        <v>925</v>
      </c>
      <c r="B748" s="93"/>
      <c r="C748" s="93"/>
      <c r="D748" s="93">
        <v>187816496</v>
      </c>
      <c r="E748" s="93">
        <v>171672253</v>
      </c>
    </row>
    <row r="749" spans="1:5" x14ac:dyDescent="0.25">
      <c r="A749" s="93" t="s">
        <v>925</v>
      </c>
      <c r="B749" s="93"/>
      <c r="C749" s="93"/>
      <c r="D749" s="93">
        <v>2108637</v>
      </c>
      <c r="E749" s="93">
        <v>2171154</v>
      </c>
    </row>
    <row r="750" spans="1:5" x14ac:dyDescent="0.25">
      <c r="A750" s="93" t="s">
        <v>2147</v>
      </c>
      <c r="B750" s="93"/>
      <c r="C750" s="93"/>
      <c r="D750" s="93">
        <v>73433385</v>
      </c>
      <c r="E750" s="93">
        <v>72862449</v>
      </c>
    </row>
    <row r="751" spans="1:5" x14ac:dyDescent="0.25">
      <c r="A751" s="93" t="s">
        <v>2147</v>
      </c>
      <c r="B751" s="93"/>
      <c r="C751" s="93"/>
      <c r="D751" s="93">
        <v>4780975</v>
      </c>
      <c r="E751" s="93">
        <v>5424989</v>
      </c>
    </row>
    <row r="752" spans="1:5" x14ac:dyDescent="0.25">
      <c r="A752" s="93" t="s">
        <v>926</v>
      </c>
      <c r="B752" s="93"/>
      <c r="C752" s="93"/>
      <c r="D752" s="93">
        <v>5079</v>
      </c>
      <c r="E752" s="93">
        <v>11135</v>
      </c>
    </row>
    <row r="753" spans="1:5" x14ac:dyDescent="0.25">
      <c r="A753" s="93" t="s">
        <v>926</v>
      </c>
      <c r="B753" s="93"/>
      <c r="C753" s="93"/>
      <c r="D753" s="93">
        <v>68586853</v>
      </c>
      <c r="E753" s="93">
        <v>56709740</v>
      </c>
    </row>
    <row r="754" spans="1:5" x14ac:dyDescent="0.25">
      <c r="A754" s="93" t="s">
        <v>926</v>
      </c>
      <c r="B754" s="93"/>
      <c r="C754" s="93"/>
      <c r="D754" s="93">
        <v>288179</v>
      </c>
      <c r="E754" s="93">
        <v>224814</v>
      </c>
    </row>
    <row r="755" spans="1:5" x14ac:dyDescent="0.25">
      <c r="A755" s="93" t="s">
        <v>2148</v>
      </c>
      <c r="B755" s="93"/>
      <c r="C755" s="93"/>
      <c r="D755" s="93">
        <v>45796258</v>
      </c>
      <c r="E755" s="93">
        <v>42100064</v>
      </c>
    </row>
    <row r="756" spans="1:5" x14ac:dyDescent="0.25">
      <c r="A756" s="93" t="s">
        <v>2148</v>
      </c>
      <c r="B756" s="93"/>
      <c r="C756" s="93"/>
      <c r="D756" s="93">
        <v>2048360</v>
      </c>
      <c r="E756" s="93">
        <v>1933100</v>
      </c>
    </row>
    <row r="757" spans="1:5" x14ac:dyDescent="0.25">
      <c r="A757" s="93" t="s">
        <v>2149</v>
      </c>
      <c r="B757" s="93"/>
      <c r="C757" s="93"/>
      <c r="D757" s="93">
        <v>33696</v>
      </c>
      <c r="E757" s="93">
        <v>27286</v>
      </c>
    </row>
    <row r="758" spans="1:5" x14ac:dyDescent="0.25">
      <c r="A758" s="93" t="s">
        <v>2149</v>
      </c>
      <c r="B758" s="93"/>
      <c r="C758" s="93"/>
      <c r="D758" s="93">
        <v>1809939</v>
      </c>
      <c r="E758" s="93">
        <v>1753794</v>
      </c>
    </row>
    <row r="759" spans="1:5" x14ac:dyDescent="0.25">
      <c r="A759" s="93" t="s">
        <v>2150</v>
      </c>
      <c r="B759" s="93"/>
      <c r="C759" s="93"/>
      <c r="D759" s="93">
        <v>33696</v>
      </c>
      <c r="E759" s="93">
        <v>27286</v>
      </c>
    </row>
    <row r="760" spans="1:5" x14ac:dyDescent="0.25">
      <c r="A760" s="93" t="s">
        <v>2150</v>
      </c>
      <c r="B760" s="93"/>
      <c r="C760" s="93"/>
      <c r="D760" s="93">
        <v>179427</v>
      </c>
      <c r="E760" s="93">
        <v>118151</v>
      </c>
    </row>
    <row r="761" spans="1:5" x14ac:dyDescent="0.25">
      <c r="A761" s="93" t="s">
        <v>927</v>
      </c>
      <c r="B761" s="93"/>
      <c r="C761" s="93"/>
      <c r="D761" s="93">
        <v>-9554</v>
      </c>
      <c r="E761" s="93">
        <v>-19724</v>
      </c>
    </row>
    <row r="762" spans="1:5" x14ac:dyDescent="0.25">
      <c r="A762" s="93" t="s">
        <v>927</v>
      </c>
      <c r="B762" s="93"/>
      <c r="C762" s="93"/>
      <c r="D762" s="93">
        <v>58994</v>
      </c>
      <c r="E762" s="93">
        <v>61155</v>
      </c>
    </row>
    <row r="763" spans="1:5" x14ac:dyDescent="0.25">
      <c r="A763" s="93" t="s">
        <v>928</v>
      </c>
      <c r="B763" s="93"/>
      <c r="C763" s="93"/>
      <c r="D763" s="93">
        <v>-9215</v>
      </c>
      <c r="E763" s="93">
        <v>24089</v>
      </c>
    </row>
    <row r="764" spans="1:5" x14ac:dyDescent="0.25">
      <c r="A764" s="93" t="s">
        <v>928</v>
      </c>
      <c r="B764" s="93"/>
      <c r="C764" s="93"/>
      <c r="D764" s="93">
        <v>5129431</v>
      </c>
      <c r="E764" s="93">
        <v>5887857</v>
      </c>
    </row>
    <row r="765" spans="1:5" x14ac:dyDescent="0.25">
      <c r="A765" s="93" t="s">
        <v>929</v>
      </c>
      <c r="B765" s="93"/>
      <c r="C765" s="93"/>
      <c r="D765" s="93">
        <v>17006</v>
      </c>
      <c r="E765" s="93">
        <v>-8581</v>
      </c>
    </row>
    <row r="766" spans="1:5" x14ac:dyDescent="0.25">
      <c r="A766" s="93" t="s">
        <v>930</v>
      </c>
      <c r="B766" s="93"/>
      <c r="C766" s="93"/>
      <c r="D766" s="93">
        <v>264</v>
      </c>
      <c r="E766" s="93">
        <v>-264</v>
      </c>
    </row>
    <row r="767" spans="1:5" x14ac:dyDescent="0.25">
      <c r="A767" s="93" t="s">
        <v>930</v>
      </c>
      <c r="B767" s="93"/>
      <c r="C767" s="93"/>
      <c r="D767" s="93">
        <v>1923198</v>
      </c>
      <c r="E767" s="93">
        <v>1667724</v>
      </c>
    </row>
    <row r="768" spans="1:5" x14ac:dyDescent="0.25">
      <c r="A768" s="93" t="s">
        <v>930</v>
      </c>
      <c r="B768" s="93"/>
      <c r="C768" s="93"/>
      <c r="D768" s="93">
        <v>1467763</v>
      </c>
      <c r="E768" s="93">
        <v>1498704</v>
      </c>
    </row>
    <row r="769" spans="1:5" x14ac:dyDescent="0.25">
      <c r="A769" s="93" t="s">
        <v>931</v>
      </c>
      <c r="B769" s="93"/>
      <c r="C769" s="93"/>
      <c r="D769" s="93">
        <v>-733</v>
      </c>
      <c r="E769" s="93">
        <v>-638</v>
      </c>
    </row>
    <row r="770" spans="1:5" x14ac:dyDescent="0.25">
      <c r="A770" s="93" t="s">
        <v>931</v>
      </c>
      <c r="B770" s="93"/>
      <c r="C770" s="93"/>
      <c r="D770" s="93">
        <v>1923198</v>
      </c>
      <c r="E770" s="93">
        <v>1667724</v>
      </c>
    </row>
    <row r="771" spans="1:5" x14ac:dyDescent="0.25">
      <c r="A771" s="93" t="s">
        <v>931</v>
      </c>
      <c r="B771" s="93"/>
      <c r="C771" s="93"/>
      <c r="D771" s="93">
        <v>904013</v>
      </c>
      <c r="E771" s="93">
        <v>837362</v>
      </c>
    </row>
    <row r="772" spans="1:5" x14ac:dyDescent="0.25">
      <c r="A772" s="93" t="s">
        <v>2126</v>
      </c>
      <c r="B772" s="93"/>
      <c r="C772" s="93"/>
      <c r="D772" s="93">
        <v>0</v>
      </c>
      <c r="E772" s="93">
        <v>0</v>
      </c>
    </row>
    <row r="773" spans="1:5" x14ac:dyDescent="0.25">
      <c r="A773" s="93" t="s">
        <v>2126</v>
      </c>
      <c r="B773" s="93"/>
      <c r="C773" s="93"/>
      <c r="D773" s="93">
        <v>4604640</v>
      </c>
      <c r="E773" s="93">
        <v>3203792</v>
      </c>
    </row>
    <row r="774" spans="1:5" x14ac:dyDescent="0.25">
      <c r="A774" s="93" t="s">
        <v>2126</v>
      </c>
      <c r="B774" s="93"/>
      <c r="C774" s="93"/>
      <c r="D774" s="93">
        <v>405828</v>
      </c>
      <c r="E774" s="93">
        <v>509074</v>
      </c>
    </row>
    <row r="775" spans="1:5" x14ac:dyDescent="0.25">
      <c r="A775" s="93" t="s">
        <v>2127</v>
      </c>
      <c r="B775" s="93"/>
      <c r="C775" s="93"/>
      <c r="D775" s="93">
        <v>160986185</v>
      </c>
      <c r="E775" s="93">
        <v>171664238</v>
      </c>
    </row>
    <row r="776" spans="1:5" x14ac:dyDescent="0.25">
      <c r="A776" s="93" t="s">
        <v>2127</v>
      </c>
      <c r="B776" s="93"/>
      <c r="C776" s="93"/>
      <c r="D776" s="93">
        <v>237975</v>
      </c>
      <c r="E776" s="93">
        <v>1006</v>
      </c>
    </row>
    <row r="777" spans="1:5" x14ac:dyDescent="0.25">
      <c r="A777" s="93" t="s">
        <v>2127</v>
      </c>
      <c r="B777" s="93"/>
      <c r="C777" s="93"/>
      <c r="D777" s="93">
        <v>157922</v>
      </c>
      <c r="E777" s="93">
        <v>152268</v>
      </c>
    </row>
    <row r="778" spans="1:5" x14ac:dyDescent="0.25">
      <c r="A778" s="93" t="s">
        <v>2128</v>
      </c>
      <c r="B778" s="93"/>
      <c r="C778" s="93"/>
      <c r="D778" s="93">
        <v>34055642</v>
      </c>
      <c r="E778" s="93">
        <v>39911969</v>
      </c>
    </row>
    <row r="779" spans="1:5" x14ac:dyDescent="0.25">
      <c r="A779" s="93" t="s">
        <v>2128</v>
      </c>
      <c r="B779" s="93"/>
      <c r="C779" s="93"/>
      <c r="D779" s="93">
        <v>727026</v>
      </c>
      <c r="E779" s="93">
        <v>654201</v>
      </c>
    </row>
    <row r="780" spans="1:5" x14ac:dyDescent="0.25">
      <c r="A780" s="93" t="s">
        <v>2128</v>
      </c>
      <c r="B780" s="93"/>
      <c r="C780" s="93"/>
      <c r="D780" s="93">
        <v>354407</v>
      </c>
      <c r="E780" s="93">
        <v>388746</v>
      </c>
    </row>
    <row r="781" spans="1:5" x14ac:dyDescent="0.25">
      <c r="A781" s="93" t="s">
        <v>2128</v>
      </c>
      <c r="B781" s="93"/>
      <c r="C781" s="93"/>
      <c r="D781" s="93">
        <v>669182</v>
      </c>
      <c r="E781" s="93">
        <v>1323770</v>
      </c>
    </row>
    <row r="782" spans="1:5" x14ac:dyDescent="0.25">
      <c r="A782" s="93" t="s">
        <v>2129</v>
      </c>
      <c r="B782" s="93"/>
      <c r="C782" s="93"/>
      <c r="D782" s="93">
        <v>122245470</v>
      </c>
      <c r="E782" s="93">
        <v>125628773</v>
      </c>
    </row>
    <row r="783" spans="1:5" x14ac:dyDescent="0.25">
      <c r="A783" s="93" t="s">
        <v>2129</v>
      </c>
      <c r="B783" s="93"/>
      <c r="C783" s="93"/>
      <c r="D783" s="93">
        <v>193661</v>
      </c>
      <c r="E783" s="93">
        <v>19499</v>
      </c>
    </row>
    <row r="784" spans="1:5" x14ac:dyDescent="0.25">
      <c r="A784" s="93" t="s">
        <v>2129</v>
      </c>
      <c r="B784" s="93"/>
      <c r="C784" s="93"/>
      <c r="D784" s="93">
        <v>100276</v>
      </c>
      <c r="E784" s="93">
        <v>101165</v>
      </c>
    </row>
    <row r="785" spans="1:5" x14ac:dyDescent="0.25">
      <c r="A785" s="93" t="s">
        <v>2130</v>
      </c>
      <c r="B785" s="93"/>
      <c r="C785" s="93"/>
      <c r="D785" s="93">
        <v>4685073</v>
      </c>
      <c r="E785" s="93">
        <v>6123496</v>
      </c>
    </row>
    <row r="786" spans="1:5" x14ac:dyDescent="0.25">
      <c r="A786" s="93" t="s">
        <v>2130</v>
      </c>
      <c r="B786" s="93"/>
      <c r="C786" s="93"/>
      <c r="D786" s="93">
        <v>0</v>
      </c>
      <c r="E786" s="93">
        <v>136083</v>
      </c>
    </row>
    <row r="787" spans="1:5" x14ac:dyDescent="0.25">
      <c r="A787" s="93" t="s">
        <v>2130</v>
      </c>
      <c r="B787" s="93"/>
      <c r="C787" s="93"/>
      <c r="D787" s="93">
        <v>47297</v>
      </c>
      <c r="E787" s="93">
        <v>38209</v>
      </c>
    </row>
    <row r="788" spans="1:5" x14ac:dyDescent="0.25">
      <c r="A788" s="93" t="s">
        <v>2130</v>
      </c>
      <c r="B788" s="93"/>
      <c r="C788" s="93"/>
      <c r="D788" s="93">
        <v>669171</v>
      </c>
      <c r="E788" s="93">
        <v>1323770</v>
      </c>
    </row>
    <row r="789" spans="1:5" x14ac:dyDescent="0.25">
      <c r="A789" s="93" t="s">
        <v>932</v>
      </c>
      <c r="B789" s="93"/>
      <c r="C789" s="93"/>
      <c r="D789" s="93">
        <v>-179</v>
      </c>
      <c r="E789" s="93">
        <v>-248</v>
      </c>
    </row>
    <row r="790" spans="1:5" x14ac:dyDescent="0.25">
      <c r="A790" s="93" t="s">
        <v>932</v>
      </c>
      <c r="B790" s="93"/>
      <c r="C790" s="93"/>
      <c r="D790" s="93">
        <v>19149381</v>
      </c>
      <c r="E790" s="93">
        <v>0</v>
      </c>
    </row>
    <row r="791" spans="1:5" x14ac:dyDescent="0.25">
      <c r="A791" s="93" t="s">
        <v>932</v>
      </c>
      <c r="B791" s="93"/>
      <c r="C791" s="93"/>
      <c r="D791" s="93">
        <v>206834</v>
      </c>
      <c r="E791" s="93">
        <v>249372</v>
      </c>
    </row>
    <row r="792" spans="1:5" x14ac:dyDescent="0.25">
      <c r="A792" s="93" t="s">
        <v>933</v>
      </c>
      <c r="B792" s="93"/>
      <c r="C792" s="93"/>
      <c r="D792" s="93">
        <v>-43</v>
      </c>
      <c r="E792" s="93">
        <v>-202</v>
      </c>
    </row>
    <row r="793" spans="1:5" x14ac:dyDescent="0.25">
      <c r="A793" s="93" t="s">
        <v>933</v>
      </c>
      <c r="B793" s="93"/>
      <c r="C793" s="93"/>
      <c r="D793" s="93">
        <v>421022</v>
      </c>
      <c r="E793" s="93">
        <v>501553</v>
      </c>
    </row>
    <row r="794" spans="1:5" x14ac:dyDescent="0.25">
      <c r="A794" s="93" t="s">
        <v>933</v>
      </c>
      <c r="B794" s="93"/>
      <c r="C794" s="93"/>
      <c r="D794" s="93">
        <v>1113356</v>
      </c>
      <c r="E794" s="93">
        <v>1109958</v>
      </c>
    </row>
    <row r="795" spans="1:5" x14ac:dyDescent="0.25">
      <c r="A795" s="93" t="s">
        <v>2131</v>
      </c>
      <c r="B795" s="93"/>
      <c r="C795" s="93"/>
      <c r="D795" s="93">
        <v>4952421</v>
      </c>
      <c r="E795" s="93">
        <v>0</v>
      </c>
    </row>
    <row r="796" spans="1:5" x14ac:dyDescent="0.25">
      <c r="A796" s="93" t="s">
        <v>2131</v>
      </c>
      <c r="B796" s="93"/>
      <c r="C796" s="93"/>
      <c r="D796" s="93">
        <v>1462688</v>
      </c>
      <c r="E796" s="93">
        <v>1384560</v>
      </c>
    </row>
    <row r="797" spans="1:5" x14ac:dyDescent="0.25">
      <c r="A797" s="93" t="s">
        <v>2132</v>
      </c>
      <c r="B797" s="93"/>
      <c r="C797" s="93"/>
      <c r="D797" s="93">
        <v>14196960</v>
      </c>
      <c r="E797" s="93">
        <v>0</v>
      </c>
    </row>
    <row r="798" spans="1:5" x14ac:dyDescent="0.25">
      <c r="A798" s="93" t="s">
        <v>2132</v>
      </c>
      <c r="B798" s="93"/>
      <c r="C798" s="93"/>
      <c r="D798" s="93">
        <v>144</v>
      </c>
      <c r="E798" s="93">
        <v>141</v>
      </c>
    </row>
    <row r="799" spans="1:5" x14ac:dyDescent="0.25">
      <c r="A799" s="93" t="s">
        <v>2133</v>
      </c>
      <c r="B799" s="93"/>
      <c r="C799" s="93"/>
      <c r="D799" s="93">
        <v>13157906</v>
      </c>
      <c r="E799" s="93">
        <v>12632921</v>
      </c>
    </row>
    <row r="800" spans="1:5" x14ac:dyDescent="0.25">
      <c r="A800" s="93" t="s">
        <v>2133</v>
      </c>
      <c r="B800" s="93"/>
      <c r="C800" s="93"/>
      <c r="D800" s="93">
        <v>1137295</v>
      </c>
      <c r="E800" s="93">
        <v>13842</v>
      </c>
    </row>
    <row r="801" spans="1:5" x14ac:dyDescent="0.25">
      <c r="A801" s="93" t="s">
        <v>2133</v>
      </c>
      <c r="B801" s="93"/>
      <c r="C801" s="93"/>
      <c r="D801" s="93">
        <v>144</v>
      </c>
      <c r="E801" s="93">
        <v>142</v>
      </c>
    </row>
    <row r="802" spans="1:5" x14ac:dyDescent="0.25">
      <c r="A802" s="93" t="s">
        <v>2134</v>
      </c>
      <c r="B802" s="93"/>
      <c r="C802" s="93"/>
      <c r="D802" s="93">
        <v>25182</v>
      </c>
      <c r="E802" s="93">
        <v>24844</v>
      </c>
    </row>
    <row r="803" spans="1:5" x14ac:dyDescent="0.25">
      <c r="A803" s="93" t="s">
        <v>2134</v>
      </c>
      <c r="B803" s="93"/>
      <c r="C803" s="93"/>
      <c r="D803" s="93">
        <v>424973</v>
      </c>
      <c r="E803" s="93">
        <v>493048</v>
      </c>
    </row>
    <row r="804" spans="1:5" x14ac:dyDescent="0.25">
      <c r="A804" s="93" t="s">
        <v>2135</v>
      </c>
      <c r="B804" s="93"/>
      <c r="C804" s="93"/>
      <c r="D804" s="93">
        <v>12709772</v>
      </c>
      <c r="E804" s="93">
        <v>12112642</v>
      </c>
    </row>
    <row r="805" spans="1:5" x14ac:dyDescent="0.25">
      <c r="A805" s="93" t="s">
        <v>2135</v>
      </c>
      <c r="B805" s="93"/>
      <c r="C805" s="93"/>
      <c r="D805" s="93">
        <v>64900271</v>
      </c>
      <c r="E805" s="93">
        <v>64231089</v>
      </c>
    </row>
    <row r="806" spans="1:5" x14ac:dyDescent="0.25">
      <c r="A806" s="93" t="s">
        <v>2136</v>
      </c>
      <c r="B806" s="93"/>
      <c r="C806" s="93"/>
      <c r="D806" s="93">
        <v>325239</v>
      </c>
      <c r="E806" s="93">
        <v>398914</v>
      </c>
    </row>
    <row r="807" spans="1:5" x14ac:dyDescent="0.25">
      <c r="A807" s="93" t="s">
        <v>2136</v>
      </c>
      <c r="B807" s="93"/>
      <c r="C807" s="93"/>
      <c r="D807" s="93">
        <v>60000000</v>
      </c>
      <c r="E807" s="93">
        <v>60000000</v>
      </c>
    </row>
    <row r="808" spans="1:5" x14ac:dyDescent="0.25">
      <c r="A808" s="93" t="s">
        <v>934</v>
      </c>
      <c r="B808" s="93"/>
      <c r="C808" s="93"/>
      <c r="D808" s="93">
        <v>-222</v>
      </c>
      <c r="E808" s="93">
        <v>-450</v>
      </c>
    </row>
    <row r="809" spans="1:5" x14ac:dyDescent="0.25">
      <c r="A809" s="93" t="s">
        <v>934</v>
      </c>
      <c r="B809" s="93"/>
      <c r="C809" s="93"/>
      <c r="D809" s="93">
        <v>0</v>
      </c>
      <c r="E809" s="93">
        <v>0</v>
      </c>
    </row>
    <row r="810" spans="1:5" x14ac:dyDescent="0.25">
      <c r="A810" s="93" t="s">
        <v>934</v>
      </c>
      <c r="B810" s="93"/>
      <c r="C810" s="93"/>
      <c r="D810" s="93">
        <v>60000000</v>
      </c>
      <c r="E810" s="93">
        <v>60000000</v>
      </c>
    </row>
    <row r="811" spans="1:5" x14ac:dyDescent="0.25">
      <c r="A811" s="93" t="s">
        <v>2137</v>
      </c>
      <c r="B811" s="93"/>
      <c r="C811" s="93"/>
      <c r="D811" s="93">
        <v>97713</v>
      </c>
      <c r="E811" s="93">
        <v>96521</v>
      </c>
    </row>
    <row r="812" spans="1:5" x14ac:dyDescent="0.25">
      <c r="A812" s="93" t="s">
        <v>2138</v>
      </c>
      <c r="B812" s="93"/>
      <c r="C812" s="93"/>
      <c r="D812" s="93">
        <v>89936</v>
      </c>
      <c r="E812" s="93">
        <v>96035</v>
      </c>
    </row>
    <row r="813" spans="1:5" x14ac:dyDescent="0.25">
      <c r="A813" s="93" t="s">
        <v>2139</v>
      </c>
      <c r="B813" s="93"/>
      <c r="C813" s="93"/>
      <c r="D813" s="93">
        <v>74000</v>
      </c>
      <c r="E813" s="93">
        <v>1</v>
      </c>
    </row>
    <row r="814" spans="1:5" x14ac:dyDescent="0.25">
      <c r="A814" s="93" t="s">
        <v>935</v>
      </c>
      <c r="B814" s="93"/>
      <c r="C814" s="93"/>
      <c r="D814" s="93">
        <v>328</v>
      </c>
      <c r="E814" s="93">
        <v>1168</v>
      </c>
    </row>
    <row r="815" spans="1:5" x14ac:dyDescent="0.25">
      <c r="A815" s="93" t="s">
        <v>935</v>
      </c>
      <c r="B815" s="93"/>
      <c r="C815" s="93"/>
      <c r="D815" s="93">
        <v>4231089</v>
      </c>
      <c r="E815" s="93">
        <v>3181039</v>
      </c>
    </row>
    <row r="816" spans="1:5" x14ac:dyDescent="0.25">
      <c r="A816" s="93" t="s">
        <v>2156</v>
      </c>
      <c r="B816" s="93"/>
      <c r="C816" s="93"/>
      <c r="D816" s="93">
        <v>6242787</v>
      </c>
      <c r="E816" s="93">
        <v>6997815</v>
      </c>
    </row>
    <row r="817" spans="1:5" x14ac:dyDescent="0.25">
      <c r="A817" s="93" t="s">
        <v>2140</v>
      </c>
      <c r="B817" s="93"/>
      <c r="C817" s="93"/>
      <c r="D817" s="93">
        <v>4110826</v>
      </c>
      <c r="E817" s="93">
        <v>4357551</v>
      </c>
    </row>
    <row r="818" spans="1:5" x14ac:dyDescent="0.25">
      <c r="A818" s="93" t="s">
        <v>2140</v>
      </c>
      <c r="B818" s="93"/>
      <c r="C818" s="93"/>
      <c r="D818" s="93">
        <v>4231089</v>
      </c>
      <c r="E818" s="93">
        <v>3181039</v>
      </c>
    </row>
    <row r="819" spans="1:5" x14ac:dyDescent="0.25">
      <c r="A819" s="93" t="s">
        <v>2140</v>
      </c>
      <c r="B819" s="93"/>
      <c r="C819" s="93"/>
      <c r="D819" s="93">
        <v>3054728</v>
      </c>
      <c r="E819" s="93">
        <v>1211524</v>
      </c>
    </row>
    <row r="820" spans="1:5" x14ac:dyDescent="0.25">
      <c r="A820" s="93" t="s">
        <v>2141</v>
      </c>
      <c r="B820" s="93"/>
      <c r="C820" s="93"/>
      <c r="D820" s="93">
        <v>3603501</v>
      </c>
      <c r="E820" s="93">
        <v>3842870</v>
      </c>
    </row>
    <row r="821" spans="1:5" x14ac:dyDescent="0.25">
      <c r="A821" s="93" t="s">
        <v>2141</v>
      </c>
      <c r="B821" s="93"/>
      <c r="C821" s="93"/>
      <c r="D821" s="93">
        <v>2842317</v>
      </c>
      <c r="E821" s="93">
        <v>1177647</v>
      </c>
    </row>
    <row r="822" spans="1:5" x14ac:dyDescent="0.25">
      <c r="A822" s="93" t="s">
        <v>936</v>
      </c>
      <c r="B822" s="93"/>
      <c r="C822" s="93"/>
      <c r="D822" s="93">
        <v>328</v>
      </c>
      <c r="E822" s="93">
        <v>1168</v>
      </c>
    </row>
    <row r="823" spans="1:5" x14ac:dyDescent="0.25">
      <c r="A823" s="93" t="s">
        <v>936</v>
      </c>
      <c r="B823" s="93"/>
      <c r="C823" s="93"/>
      <c r="D823" s="93">
        <v>1191007</v>
      </c>
      <c r="E823" s="93">
        <v>1382781</v>
      </c>
    </row>
    <row r="824" spans="1:5" x14ac:dyDescent="0.25">
      <c r="A824" s="93" t="s">
        <v>936</v>
      </c>
      <c r="B824" s="93"/>
      <c r="C824" s="93"/>
      <c r="D824" s="93">
        <v>155731</v>
      </c>
      <c r="E824" s="93">
        <v>26602</v>
      </c>
    </row>
    <row r="825" spans="1:5" x14ac:dyDescent="0.25">
      <c r="A825" s="93" t="s">
        <v>937</v>
      </c>
      <c r="B825" s="93"/>
      <c r="C825" s="93"/>
      <c r="D825" s="93">
        <v>-627</v>
      </c>
      <c r="E825" s="93">
        <v>80</v>
      </c>
    </row>
    <row r="826" spans="1:5" x14ac:dyDescent="0.25">
      <c r="A826" s="93" t="s">
        <v>937</v>
      </c>
      <c r="B826" s="93"/>
      <c r="C826" s="93"/>
      <c r="D826" s="93">
        <v>2348706</v>
      </c>
      <c r="E826" s="93">
        <v>2384146</v>
      </c>
    </row>
    <row r="827" spans="1:5" x14ac:dyDescent="0.25">
      <c r="A827" s="93" t="s">
        <v>937</v>
      </c>
      <c r="B827" s="93"/>
      <c r="C827" s="93"/>
      <c r="D827" s="93">
        <v>19000</v>
      </c>
      <c r="E827" s="93">
        <v>0</v>
      </c>
    </row>
    <row r="828" spans="1:5" x14ac:dyDescent="0.25">
      <c r="A828" s="93" t="s">
        <v>938</v>
      </c>
      <c r="B828" s="93"/>
      <c r="C828" s="93"/>
      <c r="D828" s="93">
        <v>8761</v>
      </c>
      <c r="E828" s="93">
        <v>8576</v>
      </c>
    </row>
    <row r="829" spans="1:5" x14ac:dyDescent="0.25">
      <c r="A829" s="93" t="s">
        <v>939</v>
      </c>
      <c r="B829" s="93"/>
      <c r="C829" s="93"/>
      <c r="D829" s="93">
        <v>55</v>
      </c>
      <c r="E829" s="93">
        <v>105</v>
      </c>
    </row>
    <row r="830" spans="1:5" x14ac:dyDescent="0.25">
      <c r="A830" s="93" t="s">
        <v>939</v>
      </c>
      <c r="B830" s="93"/>
      <c r="C830" s="93"/>
      <c r="D830" s="93">
        <v>63788</v>
      </c>
      <c r="E830" s="93">
        <v>75943</v>
      </c>
    </row>
    <row r="831" spans="1:5" x14ac:dyDescent="0.25">
      <c r="A831" s="93" t="s">
        <v>939</v>
      </c>
      <c r="B831" s="93"/>
      <c r="C831" s="93"/>
      <c r="D831" s="93">
        <v>37680</v>
      </c>
      <c r="E831" s="93">
        <v>7275</v>
      </c>
    </row>
    <row r="832" spans="1:5" x14ac:dyDescent="0.25">
      <c r="A832" s="93" t="s">
        <v>940</v>
      </c>
      <c r="B832" s="93"/>
      <c r="C832" s="93"/>
      <c r="D832" s="93">
        <v>8189</v>
      </c>
      <c r="E832" s="93">
        <v>8761</v>
      </c>
    </row>
    <row r="833" spans="1:5" x14ac:dyDescent="0.25">
      <c r="A833" s="93" t="s">
        <v>940</v>
      </c>
      <c r="B833" s="93"/>
      <c r="C833" s="93"/>
      <c r="D833" s="93">
        <v>507325</v>
      </c>
      <c r="E833" s="93">
        <v>514681</v>
      </c>
    </row>
    <row r="834" spans="1:5" x14ac:dyDescent="0.25">
      <c r="A834" s="93" t="s">
        <v>940</v>
      </c>
      <c r="B834" s="93"/>
      <c r="C834" s="93"/>
      <c r="D834" s="93">
        <v>8668048</v>
      </c>
      <c r="E834" s="93">
        <v>6933147</v>
      </c>
    </row>
    <row r="835" spans="1:5" x14ac:dyDescent="0.25">
      <c r="A835" s="93" t="s">
        <v>2151</v>
      </c>
      <c r="B835" s="93"/>
      <c r="C835" s="93"/>
      <c r="D835" s="93">
        <v>669182</v>
      </c>
      <c r="E835" s="93">
        <v>1050050</v>
      </c>
    </row>
    <row r="836" spans="1:5" x14ac:dyDescent="0.25">
      <c r="A836" s="93" t="s">
        <v>2151</v>
      </c>
      <c r="B836" s="93"/>
      <c r="C836" s="93"/>
      <c r="D836" s="93">
        <v>3095148</v>
      </c>
      <c r="E836" s="93">
        <v>1446164</v>
      </c>
    </row>
    <row r="837" spans="1:5" x14ac:dyDescent="0.25">
      <c r="A837" s="93" t="s">
        <v>2152</v>
      </c>
      <c r="B837" s="93"/>
      <c r="C837" s="93"/>
      <c r="D837" s="93">
        <v>669182</v>
      </c>
      <c r="E837" s="93">
        <v>1050050</v>
      </c>
    </row>
    <row r="838" spans="1:5" x14ac:dyDescent="0.25">
      <c r="A838" s="93" t="s">
        <v>2152</v>
      </c>
      <c r="B838" s="93"/>
      <c r="C838" s="93"/>
      <c r="D838" s="93">
        <v>94200</v>
      </c>
      <c r="E838" s="93">
        <v>54960</v>
      </c>
    </row>
    <row r="839" spans="1:5" x14ac:dyDescent="0.25">
      <c r="A839" s="93" t="s">
        <v>2142</v>
      </c>
      <c r="B839" s="93"/>
      <c r="C839" s="93"/>
      <c r="D839" s="93">
        <v>438965</v>
      </c>
      <c r="E839" s="93">
        <v>406428</v>
      </c>
    </row>
    <row r="840" spans="1:5" x14ac:dyDescent="0.25">
      <c r="A840" s="93" t="s">
        <v>2143</v>
      </c>
      <c r="B840" s="93"/>
      <c r="C840" s="93"/>
      <c r="D840" s="93">
        <v>68360</v>
      </c>
      <c r="E840" s="93">
        <v>108253</v>
      </c>
    </row>
    <row r="841" spans="1:5" x14ac:dyDescent="0.25">
      <c r="A841" s="93" t="s">
        <v>2143</v>
      </c>
      <c r="B841" s="93"/>
      <c r="C841" s="93"/>
      <c r="D841" s="93">
        <v>2393014</v>
      </c>
      <c r="E841" s="93">
        <v>2395067</v>
      </c>
    </row>
    <row r="842" spans="1:5" x14ac:dyDescent="0.25">
      <c r="A842" s="93" t="s">
        <v>2157</v>
      </c>
      <c r="B842" s="93"/>
      <c r="C842" s="93"/>
      <c r="D842" s="93">
        <v>0</v>
      </c>
      <c r="E842" s="93">
        <v>6250</v>
      </c>
    </row>
    <row r="843" spans="1:5" x14ac:dyDescent="0.25">
      <c r="A843" s="93" t="s">
        <v>2144</v>
      </c>
      <c r="B843" s="93"/>
      <c r="C843" s="93"/>
      <c r="D843" s="93">
        <v>257355103</v>
      </c>
      <c r="E843" s="93">
        <v>239134420</v>
      </c>
    </row>
    <row r="844" spans="1:5" x14ac:dyDescent="0.25">
      <c r="A844" s="93" t="s">
        <v>2144</v>
      </c>
      <c r="B844" s="93"/>
      <c r="C844" s="93"/>
      <c r="D844" s="93">
        <v>86546</v>
      </c>
      <c r="E844" s="93">
        <v>71113</v>
      </c>
    </row>
    <row r="845" spans="1:5" x14ac:dyDescent="0.25">
      <c r="A845" s="93" t="s">
        <v>2145</v>
      </c>
      <c r="B845" s="93"/>
      <c r="C845" s="93"/>
      <c r="D845" s="93">
        <v>264224575</v>
      </c>
      <c r="E845" s="93">
        <v>303061962</v>
      </c>
    </row>
    <row r="846" spans="1:5" x14ac:dyDescent="0.25">
      <c r="A846" s="93" t="s">
        <v>2145</v>
      </c>
      <c r="B846" s="93"/>
      <c r="C846" s="93"/>
      <c r="D846" s="93">
        <v>170095</v>
      </c>
      <c r="E846" s="93">
        <v>180325</v>
      </c>
    </row>
    <row r="847" spans="1:5" x14ac:dyDescent="0.25">
      <c r="A847" s="93" t="s">
        <v>2146</v>
      </c>
      <c r="B847" s="93"/>
      <c r="C847" s="93"/>
      <c r="D847" s="93">
        <v>521579678</v>
      </c>
      <c r="E847" s="93">
        <v>542196382</v>
      </c>
    </row>
    <row r="848" spans="1:5" x14ac:dyDescent="0.25">
      <c r="A848" s="93" t="s">
        <v>2146</v>
      </c>
      <c r="B848" s="93"/>
      <c r="C848" s="93"/>
      <c r="D848" s="93">
        <v>1251042</v>
      </c>
      <c r="E848" s="93">
        <v>1358247</v>
      </c>
    </row>
    <row r="849" spans="1:5" x14ac:dyDescent="0.25">
      <c r="A849" s="93" t="s">
        <v>2153</v>
      </c>
      <c r="B849" s="93"/>
      <c r="C849" s="93"/>
      <c r="D849" s="93">
        <v>257355103</v>
      </c>
      <c r="E849" s="93">
        <v>239134420</v>
      </c>
    </row>
    <row r="850" spans="1:5" x14ac:dyDescent="0.25">
      <c r="A850" s="93" t="s">
        <v>2153</v>
      </c>
      <c r="B850" s="93"/>
      <c r="C850" s="93"/>
      <c r="D850" s="93">
        <v>486382</v>
      </c>
      <c r="E850" s="93">
        <v>481309</v>
      </c>
    </row>
    <row r="851" spans="1:5" x14ac:dyDescent="0.25">
      <c r="A851" s="93" t="s">
        <v>2154</v>
      </c>
      <c r="B851" s="93"/>
      <c r="C851" s="93"/>
      <c r="D851" s="93">
        <v>264224575</v>
      </c>
      <c r="E851" s="93">
        <v>303061962</v>
      </c>
    </row>
    <row r="852" spans="1:5" x14ac:dyDescent="0.25">
      <c r="A852" s="93" t="s">
        <v>2155</v>
      </c>
      <c r="B852" s="93"/>
      <c r="C852" s="93"/>
      <c r="D852" s="93">
        <v>521579678</v>
      </c>
      <c r="E852" s="93">
        <v>542196382</v>
      </c>
    </row>
    <row r="853" spans="1:5" x14ac:dyDescent="0.25">
      <c r="A853" s="93" t="s">
        <v>2155</v>
      </c>
      <c r="B853" s="93"/>
      <c r="C853" s="93"/>
      <c r="D853" s="93">
        <v>1027763</v>
      </c>
      <c r="E853" s="93">
        <v>885632</v>
      </c>
    </row>
    <row r="854" spans="1:5" x14ac:dyDescent="0.25">
      <c r="A854" s="93" t="s">
        <v>2158</v>
      </c>
      <c r="B854" s="93"/>
      <c r="C854" s="93"/>
      <c r="D854" s="93">
        <v>62958</v>
      </c>
      <c r="E854" s="93">
        <v>54080</v>
      </c>
    </row>
    <row r="855" spans="1:5" x14ac:dyDescent="0.25">
      <c r="A855" s="93" t="s">
        <v>2159</v>
      </c>
      <c r="B855" s="93"/>
      <c r="C855" s="93"/>
      <c r="D855" s="93">
        <v>900</v>
      </c>
      <c r="E855" s="93">
        <v>0</v>
      </c>
    </row>
    <row r="856" spans="1:5" x14ac:dyDescent="0.25">
      <c r="A856" s="93" t="s">
        <v>2160</v>
      </c>
      <c r="B856" s="93"/>
      <c r="C856" s="93"/>
      <c r="D856" s="93">
        <v>5613320</v>
      </c>
      <c r="E856" s="93">
        <v>5721623</v>
      </c>
    </row>
    <row r="857" spans="1:5" x14ac:dyDescent="0.25">
      <c r="A857" s="93" t="s">
        <v>2161</v>
      </c>
      <c r="B857" s="93"/>
      <c r="C857" s="93"/>
      <c r="D857" s="93">
        <v>20481</v>
      </c>
      <c r="E857" s="93">
        <v>11223</v>
      </c>
    </row>
    <row r="858" spans="1:5" x14ac:dyDescent="0.25">
      <c r="A858" s="93" t="s">
        <v>2162</v>
      </c>
      <c r="B858" s="93"/>
      <c r="C858" s="93"/>
      <c r="D858" s="93">
        <v>17999</v>
      </c>
      <c r="E858" s="93">
        <v>2931</v>
      </c>
    </row>
    <row r="859" spans="1:5" x14ac:dyDescent="0.25">
      <c r="A859" s="93" t="s">
        <v>2163</v>
      </c>
      <c r="B859" s="93"/>
      <c r="C859" s="93"/>
      <c r="D859" s="93">
        <v>2482</v>
      </c>
      <c r="E859" s="93">
        <v>8292</v>
      </c>
    </row>
    <row r="860" spans="1:5" x14ac:dyDescent="0.25">
      <c r="A860" s="93" t="s">
        <v>2164</v>
      </c>
      <c r="B860" s="93"/>
      <c r="C860" s="93"/>
      <c r="D860" s="93">
        <v>36175</v>
      </c>
      <c r="E860" s="93">
        <v>38753</v>
      </c>
    </row>
    <row r="861" spans="1:5" x14ac:dyDescent="0.25">
      <c r="A861" s="93" t="s">
        <v>2165</v>
      </c>
      <c r="B861" s="93"/>
      <c r="C861" s="93"/>
      <c r="D861" s="93">
        <v>3750</v>
      </c>
      <c r="E861" s="93">
        <v>3591</v>
      </c>
    </row>
    <row r="862" spans="1:5" x14ac:dyDescent="0.25">
      <c r="A862" s="93" t="s">
        <v>2166</v>
      </c>
      <c r="B862" s="93"/>
      <c r="C862" s="93"/>
      <c r="D862" s="93">
        <v>0</v>
      </c>
      <c r="E862" s="93">
        <v>1813</v>
      </c>
    </row>
    <row r="863" spans="1:5" x14ac:dyDescent="0.25">
      <c r="A863" s="93" t="s">
        <v>2167</v>
      </c>
      <c r="B863" s="93"/>
      <c r="C863" s="93"/>
      <c r="D863" s="93">
        <v>32425</v>
      </c>
      <c r="E863" s="93">
        <v>33349</v>
      </c>
    </row>
    <row r="864" spans="1:5" x14ac:dyDescent="0.25">
      <c r="A864" s="93" t="s">
        <v>2168</v>
      </c>
      <c r="B864" s="93"/>
      <c r="C864" s="93"/>
      <c r="D864" s="93">
        <v>15694</v>
      </c>
      <c r="E864" s="93">
        <v>27530</v>
      </c>
    </row>
    <row r="865" spans="1:5" x14ac:dyDescent="0.25">
      <c r="A865" s="93" t="s">
        <v>2169</v>
      </c>
      <c r="B865" s="93"/>
      <c r="C865" s="93"/>
      <c r="D865" s="93">
        <v>613773</v>
      </c>
      <c r="E865" s="93">
        <v>1248662</v>
      </c>
    </row>
    <row r="866" spans="1:5" x14ac:dyDescent="0.25">
      <c r="A866" s="93" t="s">
        <v>2170</v>
      </c>
      <c r="B866" s="93"/>
      <c r="C866" s="93"/>
      <c r="D866" s="93">
        <v>2741225</v>
      </c>
      <c r="E866" s="93">
        <v>927066</v>
      </c>
    </row>
    <row r="867" spans="1:5" x14ac:dyDescent="0.25">
      <c r="A867" s="93" t="s">
        <v>2171</v>
      </c>
      <c r="B867" s="93"/>
      <c r="C867" s="93"/>
      <c r="D867" s="93">
        <v>2741225</v>
      </c>
      <c r="E867" s="93">
        <v>927066</v>
      </c>
    </row>
    <row r="868" spans="1:5" x14ac:dyDescent="0.25">
      <c r="A868" s="93" t="s">
        <v>2172</v>
      </c>
      <c r="B868" s="93"/>
      <c r="C868" s="93"/>
      <c r="D868" s="93">
        <v>2685816</v>
      </c>
      <c r="E868" s="93">
        <v>851958</v>
      </c>
    </row>
    <row r="869" spans="1:5" x14ac:dyDescent="0.25">
      <c r="A869" s="93" t="s">
        <v>2173</v>
      </c>
      <c r="B869" s="93"/>
      <c r="C869" s="93"/>
      <c r="D869" s="93">
        <v>2685816</v>
      </c>
      <c r="E869" s="93">
        <v>851958</v>
      </c>
    </row>
    <row r="870" spans="1:5" x14ac:dyDescent="0.25">
      <c r="A870" s="93" t="s">
        <v>2174</v>
      </c>
      <c r="B870" s="93"/>
      <c r="C870" s="93"/>
      <c r="D870" s="93">
        <v>55409</v>
      </c>
      <c r="E870" s="93">
        <v>75108</v>
      </c>
    </row>
    <row r="871" spans="1:5" x14ac:dyDescent="0.25">
      <c r="A871" s="93" t="s">
        <v>2175</v>
      </c>
      <c r="B871" s="93"/>
      <c r="C871" s="93"/>
      <c r="D871" s="93">
        <v>669182</v>
      </c>
      <c r="E871" s="93">
        <v>1323770</v>
      </c>
    </row>
    <row r="872" spans="1:5" x14ac:dyDescent="0.25">
      <c r="A872" s="93" t="s">
        <v>2176</v>
      </c>
      <c r="B872" s="93"/>
      <c r="C872" s="93"/>
      <c r="D872" s="93">
        <v>669182</v>
      </c>
      <c r="E872" s="93">
        <v>1323770</v>
      </c>
    </row>
    <row r="873" spans="1:5" x14ac:dyDescent="0.25">
      <c r="A873" s="11" t="s">
        <v>941</v>
      </c>
      <c r="B873" s="11">
        <v>1350474314</v>
      </c>
      <c r="C873" s="11">
        <v>90430010</v>
      </c>
      <c r="D873" s="11">
        <v>1260044304</v>
      </c>
      <c r="E873" s="11">
        <v>1336829254</v>
      </c>
    </row>
    <row r="874" spans="1:5" x14ac:dyDescent="0.25">
      <c r="A874" s="11" t="s">
        <v>942</v>
      </c>
      <c r="B874" s="11">
        <v>86119583</v>
      </c>
      <c r="C874" s="11">
        <v>2459977</v>
      </c>
      <c r="D874" s="11">
        <v>83659606</v>
      </c>
      <c r="E874" s="11">
        <v>57657407</v>
      </c>
    </row>
    <row r="875" spans="1:5" x14ac:dyDescent="0.25">
      <c r="A875" s="11" t="s">
        <v>943</v>
      </c>
      <c r="B875" s="11">
        <v>15065189</v>
      </c>
      <c r="C875" s="11">
        <v>0</v>
      </c>
      <c r="D875" s="11">
        <v>15065189</v>
      </c>
      <c r="E875" s="11">
        <v>16174194</v>
      </c>
    </row>
    <row r="876" spans="1:5" x14ac:dyDescent="0.25">
      <c r="A876" s="11" t="s">
        <v>944</v>
      </c>
      <c r="B876" s="11">
        <v>12818570</v>
      </c>
      <c r="C876" s="11">
        <v>2456574</v>
      </c>
      <c r="D876" s="11">
        <v>10361996</v>
      </c>
      <c r="E876" s="11">
        <v>2952470</v>
      </c>
    </row>
    <row r="877" spans="1:5" x14ac:dyDescent="0.25">
      <c r="A877" s="11" t="s">
        <v>945</v>
      </c>
      <c r="B877" s="11">
        <v>57558659</v>
      </c>
      <c r="C877" s="11">
        <v>3403</v>
      </c>
      <c r="D877" s="11">
        <v>57555256</v>
      </c>
      <c r="E877" s="11">
        <v>37240597</v>
      </c>
    </row>
    <row r="878" spans="1:5" x14ac:dyDescent="0.25">
      <c r="A878" s="11" t="s">
        <v>946</v>
      </c>
      <c r="B878" s="11">
        <v>677165</v>
      </c>
      <c r="C878" s="11">
        <v>0</v>
      </c>
      <c r="D878" s="11">
        <v>677165</v>
      </c>
      <c r="E878" s="11">
        <v>1290146</v>
      </c>
    </row>
    <row r="879" spans="1:5" x14ac:dyDescent="0.25">
      <c r="A879" s="11" t="s">
        <v>947</v>
      </c>
      <c r="B879" s="11">
        <v>214989012</v>
      </c>
      <c r="C879" s="11">
        <v>0</v>
      </c>
      <c r="D879" s="11">
        <v>214989012</v>
      </c>
      <c r="E879" s="11">
        <v>233339822</v>
      </c>
    </row>
    <row r="880" spans="1:5" x14ac:dyDescent="0.25">
      <c r="A880" s="11" t="s">
        <v>948</v>
      </c>
      <c r="B880" s="11">
        <v>214989012</v>
      </c>
      <c r="C880" s="11">
        <v>0</v>
      </c>
      <c r="D880" s="11">
        <v>214989012</v>
      </c>
      <c r="E880" s="11">
        <v>233339822</v>
      </c>
    </row>
    <row r="881" spans="1:5" x14ac:dyDescent="0.25">
      <c r="A881" s="11" t="s">
        <v>949</v>
      </c>
      <c r="B881" s="11">
        <v>9496304</v>
      </c>
      <c r="C881" s="11">
        <v>4496271</v>
      </c>
      <c r="D881" s="11">
        <v>5000033</v>
      </c>
      <c r="E881" s="11">
        <v>5400359</v>
      </c>
    </row>
    <row r="882" spans="1:5" x14ac:dyDescent="0.25">
      <c r="A882" s="11" t="s">
        <v>950</v>
      </c>
      <c r="B882" s="11">
        <v>7388497</v>
      </c>
      <c r="C882" s="11">
        <v>3184245</v>
      </c>
      <c r="D882" s="11">
        <v>4204252</v>
      </c>
      <c r="E882" s="11">
        <v>4572616</v>
      </c>
    </row>
    <row r="883" spans="1:5" x14ac:dyDescent="0.25">
      <c r="A883" s="11" t="s">
        <v>951</v>
      </c>
      <c r="B883" s="11">
        <v>2107807</v>
      </c>
      <c r="C883" s="11">
        <v>1312026</v>
      </c>
      <c r="D883" s="11">
        <v>795781</v>
      </c>
      <c r="E883" s="11">
        <v>827743</v>
      </c>
    </row>
    <row r="884" spans="1:5" x14ac:dyDescent="0.25">
      <c r="A884" s="11" t="s">
        <v>952</v>
      </c>
      <c r="B884" s="11">
        <v>773710051</v>
      </c>
      <c r="C884" s="11">
        <v>38238735</v>
      </c>
      <c r="D884" s="11">
        <v>735471316</v>
      </c>
      <c r="E884" s="11">
        <v>804766367</v>
      </c>
    </row>
    <row r="885" spans="1:5" x14ac:dyDescent="0.25">
      <c r="A885" s="11" t="s">
        <v>953</v>
      </c>
      <c r="B885" s="11">
        <v>91917993</v>
      </c>
      <c r="C885" s="11">
        <v>3048573</v>
      </c>
      <c r="D885" s="11">
        <v>88869420</v>
      </c>
      <c r="E885" s="11">
        <v>114461730</v>
      </c>
    </row>
    <row r="886" spans="1:5" x14ac:dyDescent="0.25">
      <c r="A886" s="11" t="s">
        <v>954</v>
      </c>
      <c r="B886" s="11">
        <v>675033798</v>
      </c>
      <c r="C886" s="11">
        <v>35117592</v>
      </c>
      <c r="D886" s="11">
        <v>639916206</v>
      </c>
      <c r="E886" s="11">
        <v>677482382</v>
      </c>
    </row>
    <row r="887" spans="1:5" x14ac:dyDescent="0.25">
      <c r="A887" s="11" t="s">
        <v>955</v>
      </c>
      <c r="B887" s="11">
        <v>6758260</v>
      </c>
      <c r="C887" s="11">
        <v>72570</v>
      </c>
      <c r="D887" s="11">
        <v>6685690</v>
      </c>
      <c r="E887" s="11">
        <v>12822255</v>
      </c>
    </row>
    <row r="888" spans="1:5" x14ac:dyDescent="0.25">
      <c r="A888" s="11" t="s">
        <v>956</v>
      </c>
      <c r="B888" s="11">
        <v>6287712</v>
      </c>
      <c r="C888" s="11">
        <v>0</v>
      </c>
      <c r="D888" s="11">
        <v>6287712</v>
      </c>
      <c r="E888" s="11">
        <v>19576453</v>
      </c>
    </row>
    <row r="889" spans="1:5" x14ac:dyDescent="0.25">
      <c r="A889" s="11" t="s">
        <v>957</v>
      </c>
      <c r="B889" s="11">
        <v>5914476</v>
      </c>
      <c r="C889" s="11">
        <v>0</v>
      </c>
      <c r="D889" s="11">
        <v>5914476</v>
      </c>
      <c r="E889" s="11">
        <v>19205946</v>
      </c>
    </row>
    <row r="890" spans="1:5" x14ac:dyDescent="0.25">
      <c r="A890" s="11" t="s">
        <v>958</v>
      </c>
      <c r="B890" s="11">
        <v>373236</v>
      </c>
      <c r="C890" s="11">
        <v>0</v>
      </c>
      <c r="D890" s="11">
        <v>373236</v>
      </c>
      <c r="E890" s="11">
        <v>370507</v>
      </c>
    </row>
    <row r="891" spans="1:5" x14ac:dyDescent="0.25">
      <c r="A891" s="11" t="s">
        <v>959</v>
      </c>
      <c r="B891" s="11">
        <v>259667651</v>
      </c>
      <c r="C891" s="11">
        <v>45235027</v>
      </c>
      <c r="D891" s="11">
        <v>214432624</v>
      </c>
      <c r="E891" s="11">
        <v>215937997</v>
      </c>
    </row>
    <row r="892" spans="1:5" x14ac:dyDescent="0.25">
      <c r="A892" s="11" t="s">
        <v>960</v>
      </c>
      <c r="B892" s="11">
        <v>330974</v>
      </c>
      <c r="C892" s="11">
        <v>199115</v>
      </c>
      <c r="D892" s="11">
        <v>131859</v>
      </c>
      <c r="E892" s="11">
        <v>160694</v>
      </c>
    </row>
    <row r="893" spans="1:5" x14ac:dyDescent="0.25">
      <c r="A893" s="11" t="s">
        <v>961</v>
      </c>
      <c r="B893" s="11">
        <v>248287790</v>
      </c>
      <c r="C893" s="11">
        <v>41303339</v>
      </c>
      <c r="D893" s="11">
        <v>206984451</v>
      </c>
      <c r="E893" s="11">
        <v>208811958</v>
      </c>
    </row>
    <row r="894" spans="1:5" x14ac:dyDescent="0.25">
      <c r="A894" s="11" t="s">
        <v>962</v>
      </c>
      <c r="B894" s="11">
        <v>4433906</v>
      </c>
      <c r="C894" s="11">
        <v>79043</v>
      </c>
      <c r="D894" s="11">
        <v>4354863</v>
      </c>
      <c r="E894" s="11">
        <v>4568295</v>
      </c>
    </row>
    <row r="895" spans="1:5" x14ac:dyDescent="0.25">
      <c r="A895" s="11" t="s">
        <v>1963</v>
      </c>
      <c r="B895" s="11">
        <v>1645342</v>
      </c>
      <c r="C895" s="11">
        <v>1009309</v>
      </c>
      <c r="D895" s="11">
        <v>636033</v>
      </c>
      <c r="E895" s="11">
        <v>0</v>
      </c>
    </row>
    <row r="896" spans="1:5" x14ac:dyDescent="0.25">
      <c r="A896" s="11" t="s">
        <v>963</v>
      </c>
      <c r="B896" s="11">
        <v>4828543</v>
      </c>
      <c r="C896" s="11">
        <v>2644216</v>
      </c>
      <c r="D896" s="11">
        <v>2184327</v>
      </c>
      <c r="E896" s="11">
        <v>2192699</v>
      </c>
    </row>
    <row r="897" spans="1:5" x14ac:dyDescent="0.25">
      <c r="A897" s="11" t="s">
        <v>964</v>
      </c>
      <c r="B897" s="11">
        <v>141096</v>
      </c>
      <c r="C897" s="11">
        <v>5</v>
      </c>
      <c r="D897" s="11">
        <v>141091</v>
      </c>
      <c r="E897" s="11">
        <v>204351</v>
      </c>
    </row>
    <row r="898" spans="1:5" x14ac:dyDescent="0.25">
      <c r="A898" s="11" t="s">
        <v>965</v>
      </c>
      <c r="B898" s="11">
        <v>204001</v>
      </c>
      <c r="C898" s="11">
        <v>0</v>
      </c>
      <c r="D898" s="11">
        <v>204001</v>
      </c>
      <c r="E898" s="11">
        <v>150849</v>
      </c>
    </row>
    <row r="899" spans="1:5" x14ac:dyDescent="0.25">
      <c r="A899" s="11" t="s">
        <v>966</v>
      </c>
      <c r="B899" s="11">
        <v>82188200</v>
      </c>
      <c r="C899" s="11">
        <v>21462898</v>
      </c>
      <c r="D899" s="11">
        <v>60725302</v>
      </c>
      <c r="E899" s="11">
        <v>62242970</v>
      </c>
    </row>
    <row r="900" spans="1:5" x14ac:dyDescent="0.25">
      <c r="A900" s="11" t="s">
        <v>967</v>
      </c>
      <c r="B900" s="11">
        <v>67376496</v>
      </c>
      <c r="C900" s="11">
        <v>19267695</v>
      </c>
      <c r="D900" s="11">
        <v>48108801</v>
      </c>
      <c r="E900" s="11">
        <v>48749534</v>
      </c>
    </row>
    <row r="901" spans="1:5" x14ac:dyDescent="0.25">
      <c r="A901" s="11" t="s">
        <v>968</v>
      </c>
      <c r="B901" s="11">
        <v>63178649</v>
      </c>
      <c r="C901" s="11">
        <v>18825403</v>
      </c>
      <c r="D901" s="11">
        <v>44353246</v>
      </c>
      <c r="E901" s="11">
        <v>44733339</v>
      </c>
    </row>
    <row r="902" spans="1:5" x14ac:dyDescent="0.25">
      <c r="A902" s="11" t="s">
        <v>969</v>
      </c>
      <c r="B902" s="11">
        <v>4039178</v>
      </c>
      <c r="C902" s="11">
        <v>442292</v>
      </c>
      <c r="D902" s="11">
        <v>3596886</v>
      </c>
      <c r="E902" s="11">
        <v>3502543</v>
      </c>
    </row>
    <row r="903" spans="1:5" x14ac:dyDescent="0.25">
      <c r="A903" s="11" t="s">
        <v>970</v>
      </c>
      <c r="B903" s="11">
        <v>158669</v>
      </c>
      <c r="C903" s="11">
        <v>0</v>
      </c>
      <c r="D903" s="11">
        <v>158669</v>
      </c>
      <c r="E903" s="11">
        <v>513652</v>
      </c>
    </row>
    <row r="904" spans="1:5" x14ac:dyDescent="0.25">
      <c r="A904" s="11" t="s">
        <v>971</v>
      </c>
      <c r="B904" s="11">
        <v>14640712</v>
      </c>
      <c r="C904" s="11">
        <v>2195203</v>
      </c>
      <c r="D904" s="11">
        <v>12445509</v>
      </c>
      <c r="E904" s="11">
        <v>13307094</v>
      </c>
    </row>
    <row r="905" spans="1:5" x14ac:dyDescent="0.25">
      <c r="A905" s="11" t="s">
        <v>972</v>
      </c>
      <c r="B905" s="11">
        <v>14531789</v>
      </c>
      <c r="C905" s="11">
        <v>2195203</v>
      </c>
      <c r="D905" s="11">
        <v>12336586</v>
      </c>
      <c r="E905" s="11">
        <v>13307094</v>
      </c>
    </row>
    <row r="906" spans="1:5" x14ac:dyDescent="0.25">
      <c r="A906" s="11" t="s">
        <v>973</v>
      </c>
      <c r="B906" s="11">
        <v>108923</v>
      </c>
      <c r="C906" s="11">
        <v>0</v>
      </c>
      <c r="D906" s="11">
        <v>108923</v>
      </c>
      <c r="E906" s="11">
        <v>0</v>
      </c>
    </row>
    <row r="907" spans="1:5" x14ac:dyDescent="0.25">
      <c r="A907" s="11" t="s">
        <v>974</v>
      </c>
      <c r="B907" s="11">
        <v>170992</v>
      </c>
      <c r="C907" s="11">
        <v>0</v>
      </c>
      <c r="D907" s="11">
        <v>170992</v>
      </c>
      <c r="E907" s="11">
        <v>186342</v>
      </c>
    </row>
    <row r="908" spans="1:5" x14ac:dyDescent="0.25">
      <c r="A908" s="11" t="s">
        <v>975</v>
      </c>
      <c r="B908" s="11">
        <v>1432662514</v>
      </c>
      <c r="C908" s="11">
        <v>111892908</v>
      </c>
      <c r="D908" s="11">
        <v>1320769606</v>
      </c>
      <c r="E908" s="11">
        <v>1399072224</v>
      </c>
    </row>
    <row r="909" spans="1:5" x14ac:dyDescent="0.25">
      <c r="A909" s="11" t="s">
        <v>976</v>
      </c>
      <c r="B909" s="11">
        <v>79868551</v>
      </c>
      <c r="C909" s="11">
        <v>0</v>
      </c>
      <c r="D909" s="11">
        <v>79868551</v>
      </c>
      <c r="E909" s="11">
        <v>112165066</v>
      </c>
    </row>
    <row r="910" spans="1:5" x14ac:dyDescent="0.25">
      <c r="A910" s="11" t="s">
        <v>977</v>
      </c>
      <c r="B910" s="11">
        <v>1512531065</v>
      </c>
      <c r="C910" s="11">
        <v>111892908</v>
      </c>
      <c r="D910" s="11">
        <v>1400638157</v>
      </c>
      <c r="E910" s="11">
        <v>1511237290</v>
      </c>
    </row>
    <row r="911" spans="1:5" x14ac:dyDescent="0.25">
      <c r="A911" s="93" t="s">
        <v>2177</v>
      </c>
      <c r="B911" s="93"/>
      <c r="C911" s="93"/>
      <c r="D911" s="93">
        <v>1260044304</v>
      </c>
      <c r="E911" s="93">
        <v>1336829254</v>
      </c>
    </row>
    <row r="912" spans="1:5" x14ac:dyDescent="0.25">
      <c r="A912" s="93" t="s">
        <v>2178</v>
      </c>
      <c r="B912" s="93"/>
      <c r="C912" s="93"/>
      <c r="D912" s="93">
        <v>83659606</v>
      </c>
      <c r="E912" s="93">
        <v>57657407</v>
      </c>
    </row>
    <row r="913" spans="1:5" x14ac:dyDescent="0.25">
      <c r="A913" s="93" t="s">
        <v>2179</v>
      </c>
      <c r="B913" s="93"/>
      <c r="C913" s="93"/>
      <c r="D913" s="93">
        <v>15065189</v>
      </c>
      <c r="E913" s="93">
        <v>16174194</v>
      </c>
    </row>
    <row r="914" spans="1:5" x14ac:dyDescent="0.25">
      <c r="A914" s="93" t="s">
        <v>2180</v>
      </c>
      <c r="B914" s="93"/>
      <c r="C914" s="93"/>
      <c r="D914" s="93">
        <v>10361996</v>
      </c>
      <c r="E914" s="93">
        <v>2952470</v>
      </c>
    </row>
    <row r="915" spans="1:5" x14ac:dyDescent="0.25">
      <c r="A915" s="93" t="s">
        <v>2181</v>
      </c>
      <c r="B915" s="93"/>
      <c r="C915" s="93"/>
      <c r="D915" s="93">
        <v>57555256</v>
      </c>
      <c r="E915" s="93">
        <v>37240597</v>
      </c>
    </row>
    <row r="916" spans="1:5" x14ac:dyDescent="0.25">
      <c r="A916" s="93" t="s">
        <v>2182</v>
      </c>
      <c r="B916" s="93"/>
      <c r="C916" s="93"/>
      <c r="D916" s="93">
        <v>677165</v>
      </c>
      <c r="E916" s="93">
        <v>1290146</v>
      </c>
    </row>
    <row r="917" spans="1:5" x14ac:dyDescent="0.25">
      <c r="A917" s="93" t="s">
        <v>2183</v>
      </c>
      <c r="B917" s="93"/>
      <c r="C917" s="93"/>
      <c r="D917" s="93">
        <v>214989012</v>
      </c>
      <c r="E917" s="93">
        <v>233339822</v>
      </c>
    </row>
    <row r="918" spans="1:5" x14ac:dyDescent="0.25">
      <c r="A918" s="93" t="s">
        <v>2184</v>
      </c>
      <c r="B918" s="93"/>
      <c r="C918" s="93"/>
      <c r="D918" s="93">
        <v>214989012</v>
      </c>
      <c r="E918" s="93">
        <v>233339822</v>
      </c>
    </row>
    <row r="919" spans="1:5" x14ac:dyDescent="0.25">
      <c r="A919" s="11" t="s">
        <v>978</v>
      </c>
      <c r="B919" s="11"/>
      <c r="C919" s="11"/>
      <c r="D919" s="11">
        <v>1075774993</v>
      </c>
      <c r="E919" s="11">
        <v>1157070594</v>
      </c>
    </row>
    <row r="920" spans="1:5" x14ac:dyDescent="0.25">
      <c r="A920" s="11" t="s">
        <v>979</v>
      </c>
      <c r="B920" s="11"/>
      <c r="C920" s="11"/>
      <c r="D920" s="11">
        <v>863701481</v>
      </c>
      <c r="E920" s="11">
        <v>907110170</v>
      </c>
    </row>
    <row r="921" spans="1:5" x14ac:dyDescent="0.25">
      <c r="A921" s="11" t="s">
        <v>980</v>
      </c>
      <c r="B921" s="11"/>
      <c r="C921" s="11"/>
      <c r="D921" s="11">
        <v>163516644</v>
      </c>
      <c r="E921" s="11">
        <v>191301811</v>
      </c>
    </row>
    <row r="922" spans="1:5" x14ac:dyDescent="0.25">
      <c r="A922" s="11" t="s">
        <v>981</v>
      </c>
      <c r="B922" s="11"/>
      <c r="C922" s="11"/>
      <c r="D922" s="11">
        <v>133540575</v>
      </c>
      <c r="E922" s="11">
        <v>139596090</v>
      </c>
    </row>
    <row r="923" spans="1:5" x14ac:dyDescent="0.25">
      <c r="A923" s="11" t="s">
        <v>982</v>
      </c>
      <c r="B923" s="11"/>
      <c r="C923" s="11"/>
      <c r="D923" s="11">
        <v>566644262</v>
      </c>
      <c r="E923" s="11">
        <v>576212269</v>
      </c>
    </row>
    <row r="924" spans="1:5" x14ac:dyDescent="0.25">
      <c r="A924" s="11" t="s">
        <v>983</v>
      </c>
      <c r="B924" s="11"/>
      <c r="C924" s="11"/>
      <c r="D924" s="11">
        <v>282242</v>
      </c>
      <c r="E924" s="11">
        <v>738443</v>
      </c>
    </row>
    <row r="925" spans="1:5" x14ac:dyDescent="0.25">
      <c r="A925" s="11" t="s">
        <v>984</v>
      </c>
      <c r="B925" s="11"/>
      <c r="C925" s="11"/>
      <c r="D925" s="11">
        <v>232412</v>
      </c>
      <c r="E925" s="11">
        <v>268278</v>
      </c>
    </row>
    <row r="926" spans="1:5" x14ac:dyDescent="0.25">
      <c r="A926" s="11" t="s">
        <v>985</v>
      </c>
      <c r="B926" s="11"/>
      <c r="C926" s="11"/>
      <c r="D926" s="11">
        <v>49830</v>
      </c>
      <c r="E926" s="11">
        <v>470165</v>
      </c>
    </row>
    <row r="927" spans="1:5" x14ac:dyDescent="0.25">
      <c r="A927" s="11" t="s">
        <v>986</v>
      </c>
      <c r="B927" s="11"/>
      <c r="C927" s="11"/>
      <c r="D927" s="11">
        <v>211791270</v>
      </c>
      <c r="E927" s="11">
        <v>249221981</v>
      </c>
    </row>
    <row r="928" spans="1:5" x14ac:dyDescent="0.25">
      <c r="A928" s="11" t="s">
        <v>987</v>
      </c>
      <c r="B928" s="11"/>
      <c r="C928" s="11"/>
      <c r="D928" s="11">
        <v>889072</v>
      </c>
      <c r="E928" s="11">
        <v>908124</v>
      </c>
    </row>
    <row r="929" spans="1:5" x14ac:dyDescent="0.25">
      <c r="A929" s="11" t="s">
        <v>988</v>
      </c>
      <c r="B929" s="11"/>
      <c r="C929" s="11"/>
      <c r="D929" s="11">
        <v>9197429</v>
      </c>
      <c r="E929" s="11">
        <v>11043519</v>
      </c>
    </row>
    <row r="930" spans="1:5" x14ac:dyDescent="0.25">
      <c r="A930" s="11" t="s">
        <v>989</v>
      </c>
      <c r="B930" s="11"/>
      <c r="C930" s="11"/>
      <c r="D930" s="11">
        <v>810540</v>
      </c>
      <c r="E930" s="11">
        <v>1066558</v>
      </c>
    </row>
    <row r="931" spans="1:5" x14ac:dyDescent="0.25">
      <c r="A931" s="11" t="s">
        <v>990</v>
      </c>
      <c r="B931" s="11"/>
      <c r="C931" s="11"/>
      <c r="D931" s="11">
        <v>837022</v>
      </c>
      <c r="E931" s="11">
        <v>839267</v>
      </c>
    </row>
    <row r="932" spans="1:5" x14ac:dyDescent="0.25">
      <c r="A932" s="11" t="s">
        <v>991</v>
      </c>
      <c r="B932" s="11"/>
      <c r="C932" s="11"/>
      <c r="D932" s="11">
        <v>8046761</v>
      </c>
      <c r="E932" s="11">
        <v>8325285</v>
      </c>
    </row>
    <row r="933" spans="1:5" x14ac:dyDescent="0.25">
      <c r="A933" s="11" t="s">
        <v>992</v>
      </c>
      <c r="B933" s="11"/>
      <c r="C933" s="11"/>
      <c r="D933" s="11">
        <v>6363051</v>
      </c>
      <c r="E933" s="11">
        <v>7094991</v>
      </c>
    </row>
    <row r="934" spans="1:5" x14ac:dyDescent="0.25">
      <c r="A934" s="11" t="s">
        <v>993</v>
      </c>
      <c r="B934" s="11"/>
      <c r="C934" s="11"/>
      <c r="D934" s="11">
        <v>67326605</v>
      </c>
      <c r="E934" s="11">
        <v>80890697</v>
      </c>
    </row>
    <row r="935" spans="1:5" x14ac:dyDescent="0.25">
      <c r="A935" s="11" t="s">
        <v>994</v>
      </c>
      <c r="B935" s="11"/>
      <c r="C935" s="11"/>
      <c r="D935" s="11">
        <v>1452832</v>
      </c>
      <c r="E935" s="11">
        <v>1249510</v>
      </c>
    </row>
    <row r="936" spans="1:5" x14ac:dyDescent="0.25">
      <c r="A936" s="11" t="s">
        <v>995</v>
      </c>
      <c r="B936" s="11"/>
      <c r="C936" s="11"/>
      <c r="D936" s="11">
        <v>3952709</v>
      </c>
      <c r="E936" s="11">
        <v>972412</v>
      </c>
    </row>
    <row r="937" spans="1:5" x14ac:dyDescent="0.25">
      <c r="A937" s="11" t="s">
        <v>996</v>
      </c>
      <c r="B937" s="11"/>
      <c r="C937" s="11"/>
      <c r="D937" s="11">
        <v>112915249</v>
      </c>
      <c r="E937" s="11">
        <v>136831618</v>
      </c>
    </row>
    <row r="938" spans="1:5" x14ac:dyDescent="0.25">
      <c r="A938" s="11" t="s">
        <v>997</v>
      </c>
      <c r="B938" s="11"/>
      <c r="C938" s="11"/>
      <c r="D938" s="11">
        <v>244994613</v>
      </c>
      <c r="E938" s="11">
        <v>242001630</v>
      </c>
    </row>
    <row r="939" spans="1:5" x14ac:dyDescent="0.25">
      <c r="A939" s="11" t="s">
        <v>998</v>
      </c>
      <c r="B939" s="11"/>
      <c r="C939" s="11"/>
      <c r="D939" s="11">
        <v>129167785</v>
      </c>
      <c r="E939" s="11">
        <v>129167785</v>
      </c>
    </row>
    <row r="940" spans="1:5" x14ac:dyDescent="0.25">
      <c r="A940" s="11" t="s">
        <v>999</v>
      </c>
      <c r="B940" s="11"/>
      <c r="C940" s="11"/>
      <c r="D940" s="11">
        <v>129167785</v>
      </c>
      <c r="E940" s="11">
        <v>129167785</v>
      </c>
    </row>
    <row r="941" spans="1:5" x14ac:dyDescent="0.25">
      <c r="A941" s="11" t="s">
        <v>1000</v>
      </c>
      <c r="B941" s="11"/>
      <c r="C941" s="11"/>
      <c r="D941" s="11">
        <v>105810831</v>
      </c>
      <c r="E941" s="11">
        <v>79582203</v>
      </c>
    </row>
    <row r="942" spans="1:5" x14ac:dyDescent="0.25">
      <c r="A942" s="11" t="s">
        <v>1001</v>
      </c>
      <c r="B942" s="11"/>
      <c r="C942" s="11"/>
      <c r="D942" s="11">
        <v>17517750</v>
      </c>
      <c r="E942" s="11">
        <v>17517750</v>
      </c>
    </row>
    <row r="943" spans="1:5" x14ac:dyDescent="0.25">
      <c r="A943" s="11" t="s">
        <v>1002</v>
      </c>
      <c r="B943" s="11"/>
      <c r="C943" s="11"/>
      <c r="D943" s="11">
        <v>88293081</v>
      </c>
      <c r="E943" s="11">
        <v>62064453</v>
      </c>
    </row>
    <row r="944" spans="1:5" x14ac:dyDescent="0.25">
      <c r="A944" s="11" t="s">
        <v>1003</v>
      </c>
      <c r="B944" s="11"/>
      <c r="C944" s="11"/>
      <c r="D944" s="11">
        <v>6604708</v>
      </c>
      <c r="E944" s="11">
        <v>6597297</v>
      </c>
    </row>
    <row r="945" spans="1:5" x14ac:dyDescent="0.25">
      <c r="A945" s="11" t="s">
        <v>1004</v>
      </c>
      <c r="B945" s="11"/>
      <c r="C945" s="11"/>
      <c r="D945" s="11">
        <v>6680608</v>
      </c>
      <c r="E945" s="11">
        <v>6678863</v>
      </c>
    </row>
    <row r="946" spans="1:5" x14ac:dyDescent="0.25">
      <c r="A946" s="11" t="s">
        <v>1005</v>
      </c>
      <c r="B946" s="11"/>
      <c r="C946" s="11"/>
      <c r="D946" s="11">
        <v>-75900</v>
      </c>
      <c r="E946" s="11">
        <v>-81566</v>
      </c>
    </row>
    <row r="947" spans="1:5" x14ac:dyDescent="0.25">
      <c r="A947" s="11" t="s">
        <v>1006</v>
      </c>
      <c r="B947" s="11"/>
      <c r="C947" s="11"/>
      <c r="D947" s="11">
        <v>3411289</v>
      </c>
      <c r="E947" s="11">
        <v>26654345</v>
      </c>
    </row>
    <row r="948" spans="1:5" x14ac:dyDescent="0.25">
      <c r="A948" s="11" t="s">
        <v>1007</v>
      </c>
      <c r="B948" s="11"/>
      <c r="C948" s="11"/>
      <c r="D948" s="11">
        <v>2985080</v>
      </c>
      <c r="E948" s="11">
        <v>7824741</v>
      </c>
    </row>
    <row r="949" spans="1:5" x14ac:dyDescent="0.25">
      <c r="A949" s="11" t="s">
        <v>1008</v>
      </c>
      <c r="B949" s="11"/>
      <c r="C949" s="11"/>
      <c r="D949" s="11">
        <v>426209</v>
      </c>
      <c r="E949" s="11">
        <v>18829604</v>
      </c>
    </row>
    <row r="950" spans="1:5" x14ac:dyDescent="0.25">
      <c r="A950" s="11" t="s">
        <v>1009</v>
      </c>
      <c r="B950" s="11"/>
      <c r="C950" s="11"/>
      <c r="D950" s="11">
        <v>1320769606</v>
      </c>
      <c r="E950" s="11">
        <v>1399072224</v>
      </c>
    </row>
    <row r="951" spans="1:5" x14ac:dyDescent="0.25">
      <c r="A951" s="11" t="s">
        <v>1010</v>
      </c>
      <c r="B951" s="11"/>
      <c r="C951" s="11"/>
      <c r="D951" s="11">
        <v>79868551</v>
      </c>
      <c r="E951" s="11">
        <v>112165066</v>
      </c>
    </row>
    <row r="952" spans="1:5" x14ac:dyDescent="0.25">
      <c r="A952" s="11" t="s">
        <v>1011</v>
      </c>
      <c r="B952" s="11"/>
      <c r="C952" s="11"/>
      <c r="D952" s="11">
        <v>1400638157</v>
      </c>
      <c r="E952" s="11">
        <v>1511237290</v>
      </c>
    </row>
    <row r="953" spans="1:5" x14ac:dyDescent="0.25">
      <c r="A953" s="11" t="s">
        <v>1012</v>
      </c>
      <c r="B953" s="11"/>
      <c r="C953" s="11"/>
      <c r="D953" s="11">
        <v>29074171</v>
      </c>
      <c r="E953" s="11">
        <v>38386513</v>
      </c>
    </row>
    <row r="954" spans="1:5" x14ac:dyDescent="0.25">
      <c r="A954" s="11" t="s">
        <v>1013</v>
      </c>
      <c r="B954" s="11"/>
      <c r="C954" s="11"/>
      <c r="D954" s="11">
        <v>6116460</v>
      </c>
      <c r="E954" s="11">
        <v>7345074</v>
      </c>
    </row>
    <row r="955" spans="1:5" x14ac:dyDescent="0.25">
      <c r="A955" s="11" t="s">
        <v>1014</v>
      </c>
      <c r="B955" s="11"/>
      <c r="C955" s="11"/>
      <c r="D955" s="11">
        <v>22857315</v>
      </c>
      <c r="E955" s="11">
        <v>30904552</v>
      </c>
    </row>
    <row r="956" spans="1:5" x14ac:dyDescent="0.25">
      <c r="A956" s="11" t="s">
        <v>1015</v>
      </c>
      <c r="B956" s="11"/>
      <c r="C956" s="11"/>
      <c r="D956" s="11">
        <v>100396</v>
      </c>
      <c r="E956" s="11">
        <v>136887</v>
      </c>
    </row>
    <row r="957" spans="1:5" x14ac:dyDescent="0.25">
      <c r="A957" s="11" t="s">
        <v>1016</v>
      </c>
      <c r="B957" s="11"/>
      <c r="C957" s="11"/>
      <c r="D957" s="11">
        <v>13721345</v>
      </c>
      <c r="E957" s="11">
        <v>17497002</v>
      </c>
    </row>
    <row r="958" spans="1:5" x14ac:dyDescent="0.25">
      <c r="A958" s="11" t="s">
        <v>1017</v>
      </c>
      <c r="B958" s="11"/>
      <c r="C958" s="11"/>
      <c r="D958" s="11">
        <v>1228453</v>
      </c>
      <c r="E958" s="11">
        <v>1964628</v>
      </c>
    </row>
    <row r="959" spans="1:5" x14ac:dyDescent="0.25">
      <c r="A959" s="11" t="s">
        <v>1018</v>
      </c>
      <c r="B959" s="11"/>
      <c r="C959" s="11"/>
      <c r="D959" s="11">
        <v>3992448</v>
      </c>
      <c r="E959" s="11">
        <v>4224491</v>
      </c>
    </row>
    <row r="960" spans="1:5" x14ac:dyDescent="0.25">
      <c r="A960" s="11" t="s">
        <v>1019</v>
      </c>
      <c r="B960" s="11"/>
      <c r="C960" s="11"/>
      <c r="D960" s="11">
        <v>8500444</v>
      </c>
      <c r="E960" s="11">
        <v>11307883</v>
      </c>
    </row>
    <row r="961" spans="1:5" x14ac:dyDescent="0.25">
      <c r="A961" s="11" t="s">
        <v>1020</v>
      </c>
      <c r="B961" s="11"/>
      <c r="C961" s="11"/>
      <c r="D961" s="11">
        <v>15352826</v>
      </c>
      <c r="E961" s="11">
        <v>20889511</v>
      </c>
    </row>
    <row r="962" spans="1:5" x14ac:dyDescent="0.25">
      <c r="A962" s="11" t="s">
        <v>1021</v>
      </c>
      <c r="B962" s="11"/>
      <c r="C962" s="11"/>
      <c r="D962" s="11">
        <v>8106300</v>
      </c>
      <c r="E962" s="11">
        <v>8815292</v>
      </c>
    </row>
    <row r="963" spans="1:5" x14ac:dyDescent="0.25">
      <c r="A963" s="11" t="s">
        <v>1022</v>
      </c>
      <c r="B963" s="11"/>
      <c r="C963" s="11"/>
      <c r="D963" s="11">
        <v>4033364</v>
      </c>
      <c r="E963" s="11">
        <v>4174346</v>
      </c>
    </row>
    <row r="964" spans="1:5" x14ac:dyDescent="0.25">
      <c r="A964" s="11" t="s">
        <v>1023</v>
      </c>
      <c r="B964" s="11"/>
      <c r="C964" s="11"/>
      <c r="D964" s="11">
        <v>3409366</v>
      </c>
      <c r="E964" s="11">
        <v>3879777</v>
      </c>
    </row>
    <row r="965" spans="1:5" x14ac:dyDescent="0.25">
      <c r="A965" s="11" t="s">
        <v>1024</v>
      </c>
      <c r="B965" s="11"/>
      <c r="C965" s="11"/>
      <c r="D965" s="11">
        <v>663570</v>
      </c>
      <c r="E965" s="11">
        <v>761169</v>
      </c>
    </row>
    <row r="966" spans="1:5" x14ac:dyDescent="0.25">
      <c r="A966" s="11" t="s">
        <v>1025</v>
      </c>
      <c r="B966" s="11"/>
      <c r="C966" s="11"/>
      <c r="D966" s="11">
        <v>1245340</v>
      </c>
      <c r="E966" s="11">
        <v>1812542</v>
      </c>
    </row>
    <row r="967" spans="1:5" x14ac:dyDescent="0.25">
      <c r="A967" s="11" t="s">
        <v>1026</v>
      </c>
      <c r="B967" s="11"/>
      <c r="C967" s="11"/>
      <c r="D967" s="11">
        <v>155137</v>
      </c>
      <c r="E967" s="11">
        <v>287832</v>
      </c>
    </row>
    <row r="968" spans="1:5" x14ac:dyDescent="0.25">
      <c r="A968" s="11" t="s">
        <v>1027</v>
      </c>
      <c r="B968" s="11"/>
      <c r="C968" s="11"/>
      <c r="D968" s="11">
        <v>759540</v>
      </c>
      <c r="E968" s="11">
        <v>1185847</v>
      </c>
    </row>
    <row r="969" spans="1:5" x14ac:dyDescent="0.25">
      <c r="A969" s="11" t="s">
        <v>1028</v>
      </c>
      <c r="B969" s="11"/>
      <c r="C969" s="11"/>
      <c r="D969" s="11">
        <v>330663</v>
      </c>
      <c r="E969" s="11">
        <v>338863</v>
      </c>
    </row>
    <row r="970" spans="1:5" x14ac:dyDescent="0.25">
      <c r="A970" s="11" t="s">
        <v>1029</v>
      </c>
      <c r="B970" s="11"/>
      <c r="C970" s="11"/>
      <c r="D970" s="11">
        <v>6860960</v>
      </c>
      <c r="E970" s="11">
        <v>7002750</v>
      </c>
    </row>
    <row r="971" spans="1:5" x14ac:dyDescent="0.25">
      <c r="A971" s="11" t="s">
        <v>1030</v>
      </c>
      <c r="B971" s="11"/>
      <c r="C971" s="11"/>
      <c r="D971" s="11">
        <v>22213786</v>
      </c>
      <c r="E971" s="11">
        <v>27892261</v>
      </c>
    </row>
    <row r="972" spans="1:5" x14ac:dyDescent="0.25">
      <c r="A972" s="11" t="s">
        <v>1031</v>
      </c>
      <c r="B972" s="11"/>
      <c r="C972" s="11"/>
      <c r="D972" s="11">
        <v>71908853</v>
      </c>
      <c r="E972" s="11">
        <v>20547709</v>
      </c>
    </row>
    <row r="973" spans="1:5" x14ac:dyDescent="0.25">
      <c r="A973" s="11" t="s">
        <v>1032</v>
      </c>
      <c r="B973" s="11"/>
      <c r="C973" s="11"/>
      <c r="D973" s="11">
        <v>69300715</v>
      </c>
      <c r="E973" s="11">
        <v>18906330</v>
      </c>
    </row>
    <row r="974" spans="1:5" x14ac:dyDescent="0.25">
      <c r="A974" s="11" t="s">
        <v>1033</v>
      </c>
      <c r="B974" s="11"/>
      <c r="C974" s="11"/>
      <c r="D974" s="11">
        <v>1863955</v>
      </c>
      <c r="E974" s="11">
        <v>1178411</v>
      </c>
    </row>
    <row r="975" spans="1:5" x14ac:dyDescent="0.25">
      <c r="A975" s="11" t="s">
        <v>1034</v>
      </c>
      <c r="B975" s="11"/>
      <c r="C975" s="11"/>
      <c r="D975" s="11">
        <v>2500</v>
      </c>
      <c r="E975" s="11">
        <v>54436</v>
      </c>
    </row>
    <row r="976" spans="1:5" x14ac:dyDescent="0.25">
      <c r="A976" s="11" t="s">
        <v>1035</v>
      </c>
      <c r="B976" s="11"/>
      <c r="C976" s="11"/>
      <c r="D976" s="11">
        <v>549</v>
      </c>
      <c r="E976" s="11">
        <v>0</v>
      </c>
    </row>
    <row r="977" spans="1:5" x14ac:dyDescent="0.25">
      <c r="A977" s="11" t="s">
        <v>1036</v>
      </c>
      <c r="B977" s="11"/>
      <c r="C977" s="11"/>
      <c r="D977" s="11">
        <v>409079</v>
      </c>
      <c r="E977" s="11">
        <v>92453</v>
      </c>
    </row>
    <row r="978" spans="1:5" x14ac:dyDescent="0.25">
      <c r="A978" s="11" t="s">
        <v>1037</v>
      </c>
      <c r="B978" s="11"/>
      <c r="C978" s="11"/>
      <c r="D978" s="11">
        <v>93967253</v>
      </c>
      <c r="E978" s="11">
        <v>35223950</v>
      </c>
    </row>
    <row r="979" spans="1:5" x14ac:dyDescent="0.25">
      <c r="A979" s="11" t="s">
        <v>1038</v>
      </c>
      <c r="B979" s="11"/>
      <c r="C979" s="11"/>
      <c r="D979" s="11">
        <v>72962130</v>
      </c>
      <c r="E979" s="11">
        <v>15163298</v>
      </c>
    </row>
    <row r="980" spans="1:5" x14ac:dyDescent="0.25">
      <c r="A980" s="11" t="s">
        <v>1039</v>
      </c>
      <c r="B980" s="11"/>
      <c r="C980" s="11"/>
      <c r="D980" s="11">
        <v>1244714</v>
      </c>
      <c r="E980" s="11">
        <v>1375552</v>
      </c>
    </row>
    <row r="981" spans="1:5" x14ac:dyDescent="0.25">
      <c r="A981" s="11" t="s">
        <v>1964</v>
      </c>
      <c r="B981" s="11"/>
      <c r="C981" s="11"/>
      <c r="D981" s="11">
        <v>503982</v>
      </c>
      <c r="E981" s="11">
        <v>0</v>
      </c>
    </row>
    <row r="982" spans="1:5" x14ac:dyDescent="0.25">
      <c r="A982" s="11" t="s">
        <v>1040</v>
      </c>
      <c r="B982" s="11"/>
      <c r="C982" s="11"/>
      <c r="D982" s="11">
        <v>8200845</v>
      </c>
      <c r="E982" s="11">
        <v>7808430</v>
      </c>
    </row>
    <row r="983" spans="1:5" x14ac:dyDescent="0.25">
      <c r="A983" s="11" t="s">
        <v>1041</v>
      </c>
      <c r="B983" s="11"/>
      <c r="C983" s="11"/>
      <c r="D983" s="11">
        <v>45034</v>
      </c>
      <c r="E983" s="11">
        <v>27088</v>
      </c>
    </row>
    <row r="984" spans="1:5" x14ac:dyDescent="0.25">
      <c r="A984" s="11" t="s">
        <v>1042</v>
      </c>
      <c r="B984" s="11"/>
      <c r="C984" s="11"/>
      <c r="D984" s="11">
        <v>134069</v>
      </c>
      <c r="E984" s="11">
        <v>137763</v>
      </c>
    </row>
    <row r="985" spans="1:5" x14ac:dyDescent="0.25">
      <c r="A985" s="11" t="s">
        <v>1043</v>
      </c>
      <c r="B985" s="11"/>
      <c r="C985" s="11"/>
      <c r="D985" s="11">
        <v>682804</v>
      </c>
      <c r="E985" s="11">
        <v>832981</v>
      </c>
    </row>
    <row r="986" spans="1:5" x14ac:dyDescent="0.25">
      <c r="A986" s="11" t="s">
        <v>1044</v>
      </c>
      <c r="B986" s="11"/>
      <c r="C986" s="11"/>
      <c r="D986" s="11">
        <v>3602413</v>
      </c>
      <c r="E986" s="11">
        <v>3687090</v>
      </c>
    </row>
    <row r="987" spans="1:5" x14ac:dyDescent="0.25">
      <c r="A987" s="11" t="s">
        <v>1045</v>
      </c>
      <c r="B987" s="11"/>
      <c r="C987" s="11"/>
      <c r="D987" s="11">
        <v>2344866</v>
      </c>
      <c r="E987" s="11">
        <v>1678754</v>
      </c>
    </row>
    <row r="988" spans="1:5" x14ac:dyDescent="0.25">
      <c r="A988" s="11" t="s">
        <v>1046</v>
      </c>
      <c r="B988" s="11"/>
      <c r="C988" s="11"/>
      <c r="D988" s="11">
        <v>337046</v>
      </c>
      <c r="E988" s="11">
        <v>376568</v>
      </c>
    </row>
    <row r="989" spans="1:5" x14ac:dyDescent="0.25">
      <c r="A989" s="11" t="s">
        <v>1047</v>
      </c>
      <c r="B989" s="11"/>
      <c r="C989" s="11"/>
      <c r="D989" s="11">
        <v>3302198</v>
      </c>
      <c r="E989" s="11">
        <v>2885346</v>
      </c>
    </row>
    <row r="990" spans="1:5" x14ac:dyDescent="0.25">
      <c r="A990" s="11" t="s">
        <v>1048</v>
      </c>
      <c r="B990" s="11"/>
      <c r="C990" s="11"/>
      <c r="D990" s="11">
        <v>606305</v>
      </c>
      <c r="E990" s="11">
        <v>1250907</v>
      </c>
    </row>
    <row r="991" spans="1:5" x14ac:dyDescent="0.25">
      <c r="A991" s="11" t="s">
        <v>1049</v>
      </c>
      <c r="B991" s="11"/>
      <c r="C991" s="11"/>
      <c r="D991" s="11">
        <v>847</v>
      </c>
      <c r="E991" s="11">
        <v>173</v>
      </c>
    </row>
    <row r="992" spans="1:5" x14ac:dyDescent="0.25">
      <c r="A992" s="11" t="s">
        <v>1050</v>
      </c>
      <c r="B992" s="11"/>
      <c r="C992" s="11"/>
      <c r="D992" s="11">
        <v>22058400</v>
      </c>
      <c r="E992" s="11">
        <v>14676241</v>
      </c>
    </row>
    <row r="993" spans="1:5" x14ac:dyDescent="0.25">
      <c r="A993" s="11" t="s">
        <v>1051</v>
      </c>
      <c r="B993" s="11"/>
      <c r="C993" s="11"/>
      <c r="D993" s="11">
        <v>3028302</v>
      </c>
      <c r="E993" s="11">
        <v>2825684</v>
      </c>
    </row>
    <row r="994" spans="1:5" x14ac:dyDescent="0.25">
      <c r="A994" s="11" t="s">
        <v>1052</v>
      </c>
      <c r="B994" s="11"/>
      <c r="C994" s="11"/>
      <c r="D994" s="11">
        <v>2944477</v>
      </c>
      <c r="E994" s="11">
        <v>1947316</v>
      </c>
    </row>
    <row r="995" spans="1:5" x14ac:dyDescent="0.25">
      <c r="A995" s="11" t="s">
        <v>1053</v>
      </c>
      <c r="B995" s="11"/>
      <c r="C995" s="11"/>
      <c r="D995" s="11">
        <v>2300</v>
      </c>
      <c r="E995" s="11">
        <v>0</v>
      </c>
    </row>
    <row r="996" spans="1:5" x14ac:dyDescent="0.25">
      <c r="A996" s="11" t="s">
        <v>1054</v>
      </c>
      <c r="B996" s="11"/>
      <c r="C996" s="11"/>
      <c r="D996" s="11">
        <v>6832</v>
      </c>
      <c r="E996" s="11">
        <v>0</v>
      </c>
    </row>
    <row r="997" spans="1:5" x14ac:dyDescent="0.25">
      <c r="A997" s="11" t="s">
        <v>1965</v>
      </c>
      <c r="B997" s="11"/>
      <c r="C997" s="11"/>
      <c r="D997" s="11">
        <v>4139</v>
      </c>
      <c r="E997" s="11">
        <v>0</v>
      </c>
    </row>
    <row r="998" spans="1:5" x14ac:dyDescent="0.25">
      <c r="A998" s="11" t="s">
        <v>1055</v>
      </c>
      <c r="B998" s="11"/>
      <c r="C998" s="11"/>
      <c r="D998" s="11">
        <v>0</v>
      </c>
      <c r="E998" s="11">
        <v>1</v>
      </c>
    </row>
    <row r="999" spans="1:5" x14ac:dyDescent="0.25">
      <c r="A999" s="11" t="s">
        <v>1056</v>
      </c>
      <c r="B999" s="11"/>
      <c r="C999" s="11"/>
      <c r="D999" s="11">
        <v>70554</v>
      </c>
      <c r="E999" s="11">
        <v>878367</v>
      </c>
    </row>
    <row r="1000" spans="1:5" x14ac:dyDescent="0.25">
      <c r="A1000" s="11" t="s">
        <v>1057</v>
      </c>
      <c r="B1000" s="11"/>
      <c r="C1000" s="11"/>
      <c r="D1000" s="11">
        <v>126656</v>
      </c>
      <c r="E1000" s="11">
        <v>1540104</v>
      </c>
    </row>
    <row r="1001" spans="1:5" x14ac:dyDescent="0.25">
      <c r="A1001" s="11" t="s">
        <v>1058</v>
      </c>
      <c r="B1001" s="11"/>
      <c r="C1001" s="11"/>
      <c r="D1001" s="11">
        <v>2766</v>
      </c>
      <c r="E1001" s="11">
        <v>28999</v>
      </c>
    </row>
    <row r="1002" spans="1:5" x14ac:dyDescent="0.25">
      <c r="A1002" s="11" t="s">
        <v>1059</v>
      </c>
      <c r="B1002" s="11"/>
      <c r="C1002" s="11"/>
      <c r="D1002" s="11">
        <v>2230</v>
      </c>
      <c r="E1002" s="11">
        <v>0</v>
      </c>
    </row>
    <row r="1003" spans="1:5" x14ac:dyDescent="0.25">
      <c r="A1003" s="11" t="s">
        <v>1060</v>
      </c>
      <c r="B1003" s="11"/>
      <c r="C1003" s="11"/>
      <c r="D1003" s="11">
        <v>0</v>
      </c>
      <c r="E1003" s="11">
        <v>2662</v>
      </c>
    </row>
    <row r="1004" spans="1:5" x14ac:dyDescent="0.25">
      <c r="A1004" s="11" t="s">
        <v>1061</v>
      </c>
      <c r="B1004" s="11"/>
      <c r="C1004" s="11"/>
      <c r="D1004" s="11">
        <v>121660</v>
      </c>
      <c r="E1004" s="11">
        <v>1508443</v>
      </c>
    </row>
    <row r="1005" spans="1:5" x14ac:dyDescent="0.25">
      <c r="A1005" s="11" t="s">
        <v>1062</v>
      </c>
      <c r="B1005" s="11"/>
      <c r="C1005" s="11"/>
      <c r="D1005" s="11">
        <v>2901646</v>
      </c>
      <c r="E1005" s="11">
        <v>1285580</v>
      </c>
    </row>
    <row r="1006" spans="1:5" x14ac:dyDescent="0.25">
      <c r="A1006" s="11" t="s">
        <v>1063</v>
      </c>
      <c r="B1006" s="11"/>
      <c r="C1006" s="11"/>
      <c r="D1006" s="11">
        <v>3057032</v>
      </c>
      <c r="E1006" s="11">
        <v>14501600</v>
      </c>
    </row>
    <row r="1007" spans="1:5" x14ac:dyDescent="0.25">
      <c r="A1007" s="11" t="s">
        <v>1064</v>
      </c>
      <c r="B1007" s="11"/>
      <c r="C1007" s="11"/>
      <c r="D1007" s="11">
        <v>1294181</v>
      </c>
      <c r="E1007" s="11">
        <v>6564271</v>
      </c>
    </row>
    <row r="1008" spans="1:5" x14ac:dyDescent="0.25">
      <c r="A1008" s="11" t="s">
        <v>1065</v>
      </c>
      <c r="B1008" s="11"/>
      <c r="C1008" s="11"/>
      <c r="D1008" s="11">
        <v>1294181</v>
      </c>
      <c r="E1008" s="11">
        <v>6564271</v>
      </c>
    </row>
    <row r="1009" spans="1:5" x14ac:dyDescent="0.25">
      <c r="A1009" s="11" t="s">
        <v>1066</v>
      </c>
      <c r="B1009" s="11"/>
      <c r="C1009" s="11"/>
      <c r="D1009" s="11">
        <v>786363</v>
      </c>
      <c r="E1009" s="11">
        <v>5756665</v>
      </c>
    </row>
    <row r="1010" spans="1:5" x14ac:dyDescent="0.25">
      <c r="A1010" s="11" t="s">
        <v>1067</v>
      </c>
      <c r="B1010" s="11"/>
      <c r="C1010" s="11"/>
      <c r="D1010" s="11">
        <v>786363</v>
      </c>
      <c r="E1010" s="11">
        <v>5756665</v>
      </c>
    </row>
    <row r="1011" spans="1:5" x14ac:dyDescent="0.25">
      <c r="A1011" s="11" t="s">
        <v>1068</v>
      </c>
      <c r="B1011" s="11"/>
      <c r="C1011" s="11"/>
      <c r="D1011" s="11">
        <v>507818</v>
      </c>
      <c r="E1011" s="11">
        <v>807606</v>
      </c>
    </row>
    <row r="1012" spans="1:5" x14ac:dyDescent="0.25">
      <c r="A1012" s="11" t="s">
        <v>1069</v>
      </c>
      <c r="B1012" s="11"/>
      <c r="C1012" s="11"/>
      <c r="D1012" s="11">
        <v>3564850</v>
      </c>
      <c r="E1012" s="11">
        <v>15309206</v>
      </c>
    </row>
    <row r="1013" spans="1:5" x14ac:dyDescent="0.25">
      <c r="A1013" s="11" t="s">
        <v>1070</v>
      </c>
      <c r="B1013" s="11"/>
      <c r="C1013" s="11"/>
      <c r="D1013" s="11">
        <v>565058</v>
      </c>
      <c r="E1013" s="11">
        <v>1143623</v>
      </c>
    </row>
    <row r="1014" spans="1:5" x14ac:dyDescent="0.25">
      <c r="A1014" s="11" t="s">
        <v>1071</v>
      </c>
      <c r="B1014" s="11"/>
      <c r="C1014" s="11"/>
      <c r="D1014" s="11">
        <v>8</v>
      </c>
      <c r="E1014" s="11">
        <v>0</v>
      </c>
    </row>
    <row r="1015" spans="1:5" x14ac:dyDescent="0.25">
      <c r="A1015" s="11" t="s">
        <v>1072</v>
      </c>
      <c r="B1015" s="11"/>
      <c r="C1015" s="11"/>
      <c r="D1015" s="11">
        <v>14720</v>
      </c>
      <c r="E1015" s="11">
        <v>19983</v>
      </c>
    </row>
    <row r="1016" spans="1:5" x14ac:dyDescent="0.25">
      <c r="A1016" s="11" t="s">
        <v>1073</v>
      </c>
      <c r="B1016" s="11"/>
      <c r="C1016" s="11"/>
      <c r="D1016" s="11">
        <v>2985080</v>
      </c>
      <c r="E1016" s="11">
        <v>14145600</v>
      </c>
    </row>
    <row r="1017" spans="1:5" x14ac:dyDescent="0.25">
      <c r="A1017" s="11" t="s">
        <v>1074</v>
      </c>
      <c r="B1017" s="11"/>
      <c r="C1017" s="11"/>
      <c r="D1017" s="11">
        <v>7903</v>
      </c>
      <c r="E1017" s="11">
        <v>0</v>
      </c>
    </row>
    <row r="1018" spans="1:5" x14ac:dyDescent="0.25">
      <c r="A1018" s="11" t="s">
        <v>1966</v>
      </c>
      <c r="B1018" s="11"/>
      <c r="C1018" s="11"/>
      <c r="D1018" s="11">
        <v>6295</v>
      </c>
      <c r="E1018" s="11">
        <v>0</v>
      </c>
    </row>
    <row r="1019" spans="1:5" x14ac:dyDescent="0.25">
      <c r="A1019" s="11" t="s">
        <v>1075</v>
      </c>
      <c r="B1019" s="11"/>
      <c r="C1019" s="11"/>
      <c r="D1019" s="11">
        <v>1608</v>
      </c>
      <c r="E1019" s="11">
        <v>0</v>
      </c>
    </row>
    <row r="1020" spans="1:5" x14ac:dyDescent="0.25">
      <c r="A1020" s="11" t="s">
        <v>1076</v>
      </c>
      <c r="B1020" s="11"/>
      <c r="C1020" s="11"/>
      <c r="D1020" s="11">
        <v>0</v>
      </c>
      <c r="E1020" s="11">
        <v>166</v>
      </c>
    </row>
    <row r="1021" spans="1:5" x14ac:dyDescent="0.25">
      <c r="A1021" s="11" t="s">
        <v>1077</v>
      </c>
      <c r="B1021" s="11"/>
      <c r="C1021" s="11"/>
      <c r="D1021" s="11">
        <v>0</v>
      </c>
      <c r="E1021" s="11">
        <v>166</v>
      </c>
    </row>
    <row r="1022" spans="1:5" x14ac:dyDescent="0.25">
      <c r="A1022" s="11" t="s">
        <v>1078</v>
      </c>
      <c r="B1022" s="11"/>
      <c r="C1022" s="11"/>
      <c r="D1022" s="11">
        <v>7903</v>
      </c>
      <c r="E1022" s="11">
        <v>-166</v>
      </c>
    </row>
    <row r="1023" spans="1:5" x14ac:dyDescent="0.25">
      <c r="A1023" s="11" t="s">
        <v>1079</v>
      </c>
      <c r="B1023" s="11"/>
      <c r="C1023" s="11"/>
      <c r="D1023" s="11">
        <v>7903</v>
      </c>
      <c r="E1023" s="11">
        <v>-166</v>
      </c>
    </row>
    <row r="1024" spans="1:5" x14ac:dyDescent="0.25">
      <c r="A1024" s="11" t="s">
        <v>1080</v>
      </c>
      <c r="B1024" s="11"/>
      <c r="C1024" s="11"/>
      <c r="D1024" s="11">
        <v>2992983</v>
      </c>
      <c r="E1024" s="11">
        <v>14145434</v>
      </c>
    </row>
    <row r="1025" spans="1:5" x14ac:dyDescent="0.25">
      <c r="A1025" s="11" t="s">
        <v>1081</v>
      </c>
      <c r="B1025" s="11"/>
      <c r="C1025" s="11"/>
      <c r="D1025" s="11">
        <v>2977020</v>
      </c>
      <c r="E1025" s="11">
        <v>14107407</v>
      </c>
    </row>
    <row r="1026" spans="1:5" x14ac:dyDescent="0.25">
      <c r="A1026" s="11" t="s">
        <v>1082</v>
      </c>
      <c r="B1026" s="11"/>
      <c r="C1026" s="11"/>
      <c r="D1026" s="11">
        <v>8060</v>
      </c>
      <c r="E1026" s="11">
        <v>38193</v>
      </c>
    </row>
    <row r="1027" spans="1:5" x14ac:dyDescent="0.25">
      <c r="A1027" s="11" t="s">
        <v>1930</v>
      </c>
      <c r="B1027" s="11"/>
      <c r="C1027" s="11"/>
      <c r="D1027" s="11">
        <v>0</v>
      </c>
      <c r="E1027" s="11">
        <v>0</v>
      </c>
    </row>
    <row r="1028" spans="1:5" x14ac:dyDescent="0.25">
      <c r="A1028" s="11" t="s">
        <v>1931</v>
      </c>
      <c r="B1028" s="11"/>
      <c r="C1028" s="11"/>
      <c r="D1028" s="11">
        <v>0</v>
      </c>
      <c r="E1028" s="11">
        <v>0</v>
      </c>
    </row>
    <row r="1029" spans="1:5" x14ac:dyDescent="0.25">
      <c r="A1029" s="11" t="s">
        <v>1083</v>
      </c>
      <c r="B1029" s="11"/>
      <c r="C1029" s="11"/>
      <c r="D1029" s="11">
        <v>199</v>
      </c>
      <c r="E1029" s="11">
        <v>478</v>
      </c>
    </row>
    <row r="1030" spans="1:5" x14ac:dyDescent="0.25">
      <c r="A1030" s="11" t="s">
        <v>1084</v>
      </c>
      <c r="B1030" s="11"/>
      <c r="C1030" s="11"/>
      <c r="D1030" s="11">
        <v>561</v>
      </c>
      <c r="E1030" s="11">
        <v>516</v>
      </c>
    </row>
    <row r="1031" spans="1:5" x14ac:dyDescent="0.25">
      <c r="A1031" s="11" t="s">
        <v>1967</v>
      </c>
      <c r="B1031" s="11"/>
      <c r="C1031" s="11"/>
      <c r="D1031" s="11">
        <v>332055</v>
      </c>
      <c r="E1031" s="11">
        <v>316079</v>
      </c>
    </row>
    <row r="1032" spans="1:5" x14ac:dyDescent="0.25">
      <c r="A1032" s="93" t="s">
        <v>1085</v>
      </c>
      <c r="B1032" s="93"/>
      <c r="C1032" s="93"/>
      <c r="D1032" s="93">
        <v>35828</v>
      </c>
      <c r="E1032" s="93">
        <v>45624</v>
      </c>
    </row>
    <row r="1033" spans="1:5" x14ac:dyDescent="0.25">
      <c r="A1033" s="93" t="s">
        <v>1085</v>
      </c>
      <c r="B1033" s="93"/>
      <c r="C1033" s="93"/>
      <c r="D1033" s="93">
        <v>1075774993</v>
      </c>
      <c r="E1033" s="93">
        <v>1157070594</v>
      </c>
    </row>
    <row r="1034" spans="1:5" x14ac:dyDescent="0.25">
      <c r="A1034" s="93" t="s">
        <v>1085</v>
      </c>
      <c r="B1034" s="93"/>
      <c r="C1034" s="93"/>
      <c r="D1034" s="93">
        <v>29074171</v>
      </c>
      <c r="E1034" s="93">
        <v>38386513</v>
      </c>
    </row>
    <row r="1035" spans="1:5" x14ac:dyDescent="0.25">
      <c r="A1035" s="93" t="s">
        <v>1085</v>
      </c>
      <c r="B1035" s="93"/>
      <c r="C1035" s="93"/>
      <c r="D1035" s="93">
        <v>6295</v>
      </c>
      <c r="E1035" s="93">
        <v>0</v>
      </c>
    </row>
    <row r="1036" spans="1:5" x14ac:dyDescent="0.25">
      <c r="A1036" s="93" t="s">
        <v>1086</v>
      </c>
      <c r="B1036" s="93"/>
      <c r="C1036" s="93"/>
      <c r="D1036" s="93">
        <v>11281</v>
      </c>
      <c r="E1036" s="93">
        <v>13775</v>
      </c>
    </row>
    <row r="1037" spans="1:5" x14ac:dyDescent="0.25">
      <c r="A1037" s="93" t="s">
        <v>1086</v>
      </c>
      <c r="B1037" s="93"/>
      <c r="C1037" s="93"/>
      <c r="D1037" s="93">
        <v>863701481</v>
      </c>
      <c r="E1037" s="93">
        <v>907110170</v>
      </c>
    </row>
    <row r="1038" spans="1:5" x14ac:dyDescent="0.25">
      <c r="A1038" s="93" t="s">
        <v>1086</v>
      </c>
      <c r="B1038" s="93"/>
      <c r="C1038" s="93"/>
      <c r="D1038" s="93">
        <v>6116460</v>
      </c>
      <c r="E1038" s="93">
        <v>7345074</v>
      </c>
    </row>
    <row r="1039" spans="1:5" x14ac:dyDescent="0.25">
      <c r="A1039" s="93" t="s">
        <v>1087</v>
      </c>
      <c r="B1039" s="93"/>
      <c r="C1039" s="93"/>
      <c r="D1039" s="93">
        <v>2943</v>
      </c>
      <c r="E1039" s="93">
        <v>1947</v>
      </c>
    </row>
    <row r="1040" spans="1:5" x14ac:dyDescent="0.25">
      <c r="A1040" s="93" t="s">
        <v>1087</v>
      </c>
      <c r="B1040" s="93"/>
      <c r="C1040" s="93"/>
      <c r="D1040" s="93">
        <v>163516644</v>
      </c>
      <c r="E1040" s="93">
        <v>191301811</v>
      </c>
    </row>
    <row r="1041" spans="1:5" x14ac:dyDescent="0.25">
      <c r="A1041" s="93" t="s">
        <v>1087</v>
      </c>
      <c r="B1041" s="93"/>
      <c r="C1041" s="93"/>
      <c r="D1041" s="93">
        <v>22857315</v>
      </c>
      <c r="E1041" s="93">
        <v>30904552</v>
      </c>
    </row>
    <row r="1042" spans="1:5" x14ac:dyDescent="0.25">
      <c r="A1042" s="93" t="s">
        <v>1088</v>
      </c>
      <c r="B1042" s="93"/>
      <c r="C1042" s="93"/>
      <c r="D1042" s="93">
        <v>17756</v>
      </c>
      <c r="E1042" s="93">
        <v>19924</v>
      </c>
    </row>
    <row r="1043" spans="1:5" x14ac:dyDescent="0.25">
      <c r="A1043" s="93" t="s">
        <v>1088</v>
      </c>
      <c r="B1043" s="93"/>
      <c r="C1043" s="93"/>
      <c r="D1043" s="93">
        <v>133540575</v>
      </c>
      <c r="E1043" s="93">
        <v>139596090</v>
      </c>
    </row>
    <row r="1044" spans="1:5" x14ac:dyDescent="0.25">
      <c r="A1044" s="93" t="s">
        <v>1088</v>
      </c>
      <c r="B1044" s="93"/>
      <c r="C1044" s="93"/>
      <c r="D1044" s="93">
        <v>100396</v>
      </c>
      <c r="E1044" s="93">
        <v>136887</v>
      </c>
    </row>
    <row r="1045" spans="1:5" x14ac:dyDescent="0.25">
      <c r="A1045" s="93" t="s">
        <v>1089</v>
      </c>
      <c r="B1045" s="93"/>
      <c r="C1045" s="93"/>
      <c r="D1045" s="93">
        <v>1589</v>
      </c>
      <c r="E1045" s="93">
        <v>0</v>
      </c>
    </row>
    <row r="1046" spans="1:5" x14ac:dyDescent="0.25">
      <c r="A1046" s="93" t="s">
        <v>1089</v>
      </c>
      <c r="B1046" s="93"/>
      <c r="C1046" s="93"/>
      <c r="D1046" s="93">
        <v>566644262</v>
      </c>
      <c r="E1046" s="93">
        <v>576212269</v>
      </c>
    </row>
    <row r="1047" spans="1:5" x14ac:dyDescent="0.25">
      <c r="A1047" s="93" t="s">
        <v>1089</v>
      </c>
      <c r="B1047" s="93"/>
      <c r="C1047" s="93"/>
      <c r="D1047" s="93">
        <v>13721345</v>
      </c>
      <c r="E1047" s="93">
        <v>17497002</v>
      </c>
    </row>
    <row r="1048" spans="1:5" x14ac:dyDescent="0.25">
      <c r="A1048" s="93" t="s">
        <v>1089</v>
      </c>
      <c r="B1048" s="93"/>
      <c r="C1048" s="93"/>
      <c r="D1048" s="93">
        <v>1608</v>
      </c>
      <c r="E1048" s="93">
        <v>0</v>
      </c>
    </row>
    <row r="1049" spans="1:5" x14ac:dyDescent="0.25">
      <c r="A1049" s="93" t="s">
        <v>1090</v>
      </c>
      <c r="B1049" s="93"/>
      <c r="C1049" s="93"/>
      <c r="D1049" s="93">
        <v>-6698</v>
      </c>
      <c r="E1049" s="93">
        <v>-16408</v>
      </c>
    </row>
    <row r="1050" spans="1:5" x14ac:dyDescent="0.25">
      <c r="A1050" s="93" t="s">
        <v>1090</v>
      </c>
      <c r="B1050" s="93"/>
      <c r="C1050" s="93"/>
      <c r="D1050" s="93">
        <v>282242</v>
      </c>
      <c r="E1050" s="93">
        <v>738443</v>
      </c>
    </row>
    <row r="1051" spans="1:5" x14ac:dyDescent="0.25">
      <c r="A1051" s="93" t="s">
        <v>1090</v>
      </c>
      <c r="B1051" s="93"/>
      <c r="C1051" s="93"/>
      <c r="D1051" s="93">
        <v>1228453</v>
      </c>
      <c r="E1051" s="93">
        <v>1964628</v>
      </c>
    </row>
    <row r="1052" spans="1:5" x14ac:dyDescent="0.25">
      <c r="A1052" s="93" t="s">
        <v>1090</v>
      </c>
      <c r="B1052" s="93"/>
      <c r="C1052" s="93"/>
      <c r="D1052" s="93">
        <v>0</v>
      </c>
      <c r="E1052" s="93">
        <v>166</v>
      </c>
    </row>
    <row r="1053" spans="1:5" x14ac:dyDescent="0.25">
      <c r="A1053" s="93" t="s">
        <v>2201</v>
      </c>
      <c r="B1053" s="93"/>
      <c r="C1053" s="93"/>
      <c r="D1053" s="93">
        <v>232412</v>
      </c>
      <c r="E1053" s="93">
        <v>268278</v>
      </c>
    </row>
    <row r="1054" spans="1:5" x14ac:dyDescent="0.25">
      <c r="A1054" s="93" t="s">
        <v>2201</v>
      </c>
      <c r="B1054" s="93"/>
      <c r="C1054" s="93"/>
      <c r="D1054" s="93">
        <v>3992448</v>
      </c>
      <c r="E1054" s="93">
        <v>4224491</v>
      </c>
    </row>
    <row r="1055" spans="1:5" x14ac:dyDescent="0.25">
      <c r="A1055" s="93" t="s">
        <v>2201</v>
      </c>
      <c r="B1055" s="93"/>
      <c r="C1055" s="93"/>
      <c r="D1055" s="93">
        <v>0</v>
      </c>
      <c r="E1055" s="93">
        <v>166</v>
      </c>
    </row>
    <row r="1056" spans="1:5" x14ac:dyDescent="0.25">
      <c r="A1056" s="93" t="s">
        <v>1091</v>
      </c>
      <c r="B1056" s="93"/>
      <c r="C1056" s="93"/>
      <c r="D1056" s="93">
        <v>63219</v>
      </c>
      <c r="E1056" s="93">
        <v>27910</v>
      </c>
    </row>
    <row r="1057" spans="1:5" x14ac:dyDescent="0.25">
      <c r="A1057" s="93" t="s">
        <v>1091</v>
      </c>
      <c r="B1057" s="93"/>
      <c r="C1057" s="93"/>
      <c r="D1057" s="93">
        <v>49830</v>
      </c>
      <c r="E1057" s="93">
        <v>470165</v>
      </c>
    </row>
    <row r="1058" spans="1:5" x14ac:dyDescent="0.25">
      <c r="A1058" s="93" t="s">
        <v>1091</v>
      </c>
      <c r="B1058" s="93"/>
      <c r="C1058" s="93"/>
      <c r="D1058" s="93">
        <v>8500444</v>
      </c>
      <c r="E1058" s="93">
        <v>11307883</v>
      </c>
    </row>
    <row r="1059" spans="1:5" x14ac:dyDescent="0.25">
      <c r="A1059" s="93" t="s">
        <v>2208</v>
      </c>
      <c r="B1059" s="93"/>
      <c r="C1059" s="93"/>
      <c r="D1059" s="93">
        <v>15352826</v>
      </c>
      <c r="E1059" s="93">
        <v>20889511</v>
      </c>
    </row>
    <row r="1060" spans="1:5" x14ac:dyDescent="0.25">
      <c r="A1060" s="93" t="s">
        <v>1092</v>
      </c>
      <c r="B1060" s="93"/>
      <c r="C1060" s="93"/>
      <c r="D1060" s="93">
        <v>-88013</v>
      </c>
      <c r="E1060" s="93">
        <v>-27957</v>
      </c>
    </row>
    <row r="1061" spans="1:5" x14ac:dyDescent="0.25">
      <c r="A1061" s="93" t="s">
        <v>1093</v>
      </c>
      <c r="B1061" s="93"/>
      <c r="C1061" s="93"/>
      <c r="D1061" s="93">
        <v>638</v>
      </c>
      <c r="E1061" s="93">
        <v>844</v>
      </c>
    </row>
    <row r="1062" spans="1:5" x14ac:dyDescent="0.25">
      <c r="A1062" s="93" t="s">
        <v>1093</v>
      </c>
      <c r="B1062" s="93"/>
      <c r="C1062" s="93"/>
      <c r="D1062" s="93">
        <v>5000033</v>
      </c>
      <c r="E1062" s="93">
        <v>5400359</v>
      </c>
    </row>
    <row r="1063" spans="1:5" x14ac:dyDescent="0.25">
      <c r="A1063" s="93" t="s">
        <v>1093</v>
      </c>
      <c r="B1063" s="93"/>
      <c r="C1063" s="93"/>
      <c r="D1063" s="93">
        <v>8106300</v>
      </c>
      <c r="E1063" s="93">
        <v>8815292</v>
      </c>
    </row>
    <row r="1064" spans="1:5" x14ac:dyDescent="0.25">
      <c r="A1064" s="93" t="s">
        <v>1094</v>
      </c>
      <c r="B1064" s="93"/>
      <c r="C1064" s="93"/>
      <c r="D1064" s="93">
        <v>-23985</v>
      </c>
      <c r="E1064" s="93">
        <v>-3427</v>
      </c>
    </row>
    <row r="1065" spans="1:5" x14ac:dyDescent="0.25">
      <c r="A1065" s="93" t="s">
        <v>1094</v>
      </c>
      <c r="B1065" s="93"/>
      <c r="C1065" s="93"/>
      <c r="D1065" s="93">
        <v>4204252</v>
      </c>
      <c r="E1065" s="93">
        <v>4572616</v>
      </c>
    </row>
    <row r="1066" spans="1:5" x14ac:dyDescent="0.25">
      <c r="A1066" s="93" t="s">
        <v>1094</v>
      </c>
      <c r="B1066" s="93"/>
      <c r="C1066" s="93"/>
      <c r="D1066" s="93">
        <v>4033364</v>
      </c>
      <c r="E1066" s="93">
        <v>4174346</v>
      </c>
    </row>
    <row r="1067" spans="1:5" x14ac:dyDescent="0.25">
      <c r="A1067" s="93" t="s">
        <v>1094</v>
      </c>
      <c r="B1067" s="93"/>
      <c r="C1067" s="93"/>
      <c r="D1067" s="93">
        <v>7903</v>
      </c>
      <c r="E1067" s="93">
        <v>-166</v>
      </c>
    </row>
    <row r="1068" spans="1:5" x14ac:dyDescent="0.25">
      <c r="A1068" s="93" t="s">
        <v>2185</v>
      </c>
      <c r="B1068" s="93"/>
      <c r="C1068" s="93"/>
      <c r="D1068" s="93">
        <v>795781</v>
      </c>
      <c r="E1068" s="93">
        <v>827743</v>
      </c>
    </row>
    <row r="1069" spans="1:5" x14ac:dyDescent="0.25">
      <c r="A1069" s="93" t="s">
        <v>2185</v>
      </c>
      <c r="B1069" s="93"/>
      <c r="C1069" s="93"/>
      <c r="D1069" s="93">
        <v>211791270</v>
      </c>
      <c r="E1069" s="93">
        <v>249221981</v>
      </c>
    </row>
    <row r="1070" spans="1:5" x14ac:dyDescent="0.25">
      <c r="A1070" s="93" t="s">
        <v>2185</v>
      </c>
      <c r="B1070" s="93"/>
      <c r="C1070" s="93"/>
      <c r="D1070" s="93">
        <v>3409366</v>
      </c>
      <c r="E1070" s="93">
        <v>3879777</v>
      </c>
    </row>
    <row r="1071" spans="1:5" x14ac:dyDescent="0.25">
      <c r="A1071" s="93" t="s">
        <v>1095</v>
      </c>
      <c r="B1071" s="93"/>
      <c r="C1071" s="93"/>
      <c r="D1071" s="93">
        <v>137</v>
      </c>
      <c r="E1071" s="93">
        <v>503</v>
      </c>
    </row>
    <row r="1072" spans="1:5" x14ac:dyDescent="0.25">
      <c r="A1072" s="93" t="s">
        <v>1095</v>
      </c>
      <c r="B1072" s="93"/>
      <c r="C1072" s="93"/>
      <c r="D1072" s="93">
        <v>735471316</v>
      </c>
      <c r="E1072" s="93">
        <v>804766367</v>
      </c>
    </row>
    <row r="1073" spans="1:5" x14ac:dyDescent="0.25">
      <c r="A1073" s="93" t="s">
        <v>1095</v>
      </c>
      <c r="B1073" s="93"/>
      <c r="C1073" s="93"/>
      <c r="D1073" s="93">
        <v>889072</v>
      </c>
      <c r="E1073" s="93">
        <v>908124</v>
      </c>
    </row>
    <row r="1074" spans="1:5" x14ac:dyDescent="0.25">
      <c r="A1074" s="93" t="s">
        <v>1095</v>
      </c>
      <c r="B1074" s="93"/>
      <c r="C1074" s="93"/>
      <c r="D1074" s="93">
        <v>663570</v>
      </c>
      <c r="E1074" s="93">
        <v>761169</v>
      </c>
    </row>
    <row r="1075" spans="1:5" x14ac:dyDescent="0.25">
      <c r="A1075" s="93" t="s">
        <v>1095</v>
      </c>
      <c r="B1075" s="93"/>
      <c r="C1075" s="93"/>
      <c r="D1075" s="93">
        <v>7903</v>
      </c>
      <c r="E1075" s="93">
        <v>-166</v>
      </c>
    </row>
    <row r="1076" spans="1:5" x14ac:dyDescent="0.25">
      <c r="A1076" s="93" t="s">
        <v>1096</v>
      </c>
      <c r="B1076" s="93"/>
      <c r="C1076" s="93"/>
      <c r="D1076" s="93">
        <v>4</v>
      </c>
      <c r="E1076" s="93">
        <v>0</v>
      </c>
    </row>
    <row r="1077" spans="1:5" x14ac:dyDescent="0.25">
      <c r="A1077" s="93" t="s">
        <v>1096</v>
      </c>
      <c r="B1077" s="93"/>
      <c r="C1077" s="93"/>
      <c r="D1077" s="93">
        <v>88869420</v>
      </c>
      <c r="E1077" s="93">
        <v>114461730</v>
      </c>
    </row>
    <row r="1078" spans="1:5" x14ac:dyDescent="0.25">
      <c r="A1078" s="93" t="s">
        <v>1096</v>
      </c>
      <c r="B1078" s="93"/>
      <c r="C1078" s="93"/>
      <c r="D1078" s="93">
        <v>9197429</v>
      </c>
      <c r="E1078" s="93">
        <v>11043519</v>
      </c>
    </row>
    <row r="1079" spans="1:5" x14ac:dyDescent="0.25">
      <c r="A1079" s="93" t="s">
        <v>1096</v>
      </c>
      <c r="B1079" s="93"/>
      <c r="C1079" s="93"/>
      <c r="D1079" s="93">
        <v>1245340</v>
      </c>
      <c r="E1079" s="93">
        <v>1812542</v>
      </c>
    </row>
    <row r="1080" spans="1:5" x14ac:dyDescent="0.25">
      <c r="A1080" s="93" t="s">
        <v>1096</v>
      </c>
      <c r="B1080" s="93"/>
      <c r="C1080" s="93"/>
      <c r="D1080" s="93">
        <v>2992983</v>
      </c>
      <c r="E1080" s="93">
        <v>14145434</v>
      </c>
    </row>
    <row r="1081" spans="1:5" x14ac:dyDescent="0.25">
      <c r="A1081" s="93" t="s">
        <v>1097</v>
      </c>
      <c r="B1081" s="93"/>
      <c r="C1081" s="93"/>
      <c r="D1081" s="93">
        <v>0</v>
      </c>
      <c r="E1081" s="93">
        <v>7209</v>
      </c>
    </row>
    <row r="1082" spans="1:5" x14ac:dyDescent="0.25">
      <c r="A1082" s="93" t="s">
        <v>1097</v>
      </c>
      <c r="B1082" s="93"/>
      <c r="C1082" s="93"/>
      <c r="D1082" s="93">
        <v>639916206</v>
      </c>
      <c r="E1082" s="93">
        <v>677482382</v>
      </c>
    </row>
    <row r="1083" spans="1:5" x14ac:dyDescent="0.25">
      <c r="A1083" s="93" t="s">
        <v>1097</v>
      </c>
      <c r="B1083" s="93"/>
      <c r="C1083" s="93"/>
      <c r="D1083" s="93">
        <v>810540</v>
      </c>
      <c r="E1083" s="93">
        <v>1066558</v>
      </c>
    </row>
    <row r="1084" spans="1:5" x14ac:dyDescent="0.25">
      <c r="A1084" s="93" t="s">
        <v>1097</v>
      </c>
      <c r="B1084" s="93"/>
      <c r="C1084" s="93"/>
      <c r="D1084" s="93">
        <v>155137</v>
      </c>
      <c r="E1084" s="93">
        <v>287832</v>
      </c>
    </row>
    <row r="1085" spans="1:5" x14ac:dyDescent="0.25">
      <c r="A1085" s="93" t="s">
        <v>1098</v>
      </c>
      <c r="B1085" s="93"/>
      <c r="C1085" s="93"/>
      <c r="D1085" s="93">
        <v>6685690</v>
      </c>
      <c r="E1085" s="93">
        <v>12822255</v>
      </c>
    </row>
    <row r="1086" spans="1:5" x14ac:dyDescent="0.25">
      <c r="A1086" s="93" t="s">
        <v>1098</v>
      </c>
      <c r="B1086" s="93"/>
      <c r="C1086" s="93"/>
      <c r="D1086" s="93">
        <v>759540</v>
      </c>
      <c r="E1086" s="93">
        <v>1185847</v>
      </c>
    </row>
    <row r="1087" spans="1:5" x14ac:dyDescent="0.25">
      <c r="A1087" s="93" t="s">
        <v>1098</v>
      </c>
      <c r="B1087" s="93"/>
      <c r="C1087" s="93"/>
      <c r="D1087" s="93">
        <v>2977020</v>
      </c>
      <c r="E1087" s="93">
        <v>14107407</v>
      </c>
    </row>
    <row r="1088" spans="1:5" x14ac:dyDescent="0.25">
      <c r="A1088" s="93" t="s">
        <v>1099</v>
      </c>
      <c r="B1088" s="93"/>
      <c r="C1088" s="93"/>
      <c r="D1088" s="93">
        <v>-270</v>
      </c>
      <c r="E1088" s="93">
        <v>-54</v>
      </c>
    </row>
    <row r="1089" spans="1:5" x14ac:dyDescent="0.25">
      <c r="A1089" s="93" t="s">
        <v>1099</v>
      </c>
      <c r="B1089" s="93"/>
      <c r="C1089" s="93"/>
      <c r="D1089" s="93">
        <v>6287712</v>
      </c>
      <c r="E1089" s="93">
        <v>19576453</v>
      </c>
    </row>
    <row r="1090" spans="1:5" x14ac:dyDescent="0.25">
      <c r="A1090" s="93" t="s">
        <v>1099</v>
      </c>
      <c r="B1090" s="93"/>
      <c r="C1090" s="93"/>
      <c r="D1090" s="93">
        <v>837022</v>
      </c>
      <c r="E1090" s="93">
        <v>839267</v>
      </c>
    </row>
    <row r="1091" spans="1:5" x14ac:dyDescent="0.25">
      <c r="A1091" s="93" t="s">
        <v>1099</v>
      </c>
      <c r="B1091" s="93"/>
      <c r="C1091" s="93"/>
      <c r="D1091" s="93">
        <v>330663</v>
      </c>
      <c r="E1091" s="93">
        <v>338863</v>
      </c>
    </row>
    <row r="1092" spans="1:5" x14ac:dyDescent="0.25">
      <c r="A1092" s="93" t="s">
        <v>1099</v>
      </c>
      <c r="B1092" s="93"/>
      <c r="C1092" s="93"/>
      <c r="D1092" s="93">
        <v>8060</v>
      </c>
      <c r="E1092" s="93">
        <v>38193</v>
      </c>
    </row>
    <row r="1093" spans="1:5" x14ac:dyDescent="0.25">
      <c r="A1093" s="93" t="s">
        <v>1100</v>
      </c>
      <c r="B1093" s="93"/>
      <c r="C1093" s="93"/>
      <c r="D1093" s="93">
        <v>-670</v>
      </c>
      <c r="E1093" s="93">
        <v>-160</v>
      </c>
    </row>
    <row r="1094" spans="1:5" x14ac:dyDescent="0.25">
      <c r="A1094" s="93" t="s">
        <v>1100</v>
      </c>
      <c r="B1094" s="93"/>
      <c r="C1094" s="93"/>
      <c r="D1094" s="93">
        <v>5914476</v>
      </c>
      <c r="E1094" s="93">
        <v>19205946</v>
      </c>
    </row>
    <row r="1095" spans="1:5" x14ac:dyDescent="0.25">
      <c r="A1095" s="93" t="s">
        <v>1100</v>
      </c>
      <c r="B1095" s="93"/>
      <c r="C1095" s="93"/>
      <c r="D1095" s="93">
        <v>8046761</v>
      </c>
      <c r="E1095" s="93">
        <v>8325285</v>
      </c>
    </row>
    <row r="1096" spans="1:5" x14ac:dyDescent="0.25">
      <c r="A1096" s="93" t="s">
        <v>1100</v>
      </c>
      <c r="B1096" s="93"/>
      <c r="C1096" s="93"/>
      <c r="D1096" s="93">
        <v>6860960</v>
      </c>
      <c r="E1096" s="93">
        <v>7002750</v>
      </c>
    </row>
    <row r="1097" spans="1:5" x14ac:dyDescent="0.25">
      <c r="A1097" s="93" t="s">
        <v>1100</v>
      </c>
      <c r="B1097" s="93"/>
      <c r="C1097" s="93"/>
      <c r="D1097" s="93">
        <v>0</v>
      </c>
      <c r="E1097" s="93">
        <v>0</v>
      </c>
    </row>
    <row r="1098" spans="1:5" x14ac:dyDescent="0.25">
      <c r="A1098" s="93" t="s">
        <v>1101</v>
      </c>
      <c r="B1098" s="93"/>
      <c r="C1098" s="93"/>
      <c r="D1098" s="93">
        <v>6363051</v>
      </c>
      <c r="E1098" s="93">
        <v>7094991</v>
      </c>
    </row>
    <row r="1099" spans="1:5" x14ac:dyDescent="0.25">
      <c r="A1099" s="93" t="s">
        <v>1101</v>
      </c>
      <c r="B1099" s="93"/>
      <c r="C1099" s="93"/>
      <c r="D1099" s="93">
        <v>0</v>
      </c>
      <c r="E1099" s="93">
        <v>0</v>
      </c>
    </row>
    <row r="1100" spans="1:5" x14ac:dyDescent="0.25">
      <c r="A1100" s="93" t="s">
        <v>1102</v>
      </c>
      <c r="B1100" s="93"/>
      <c r="C1100" s="93"/>
      <c r="D1100" s="93">
        <v>0</v>
      </c>
      <c r="E1100" s="93">
        <v>-160</v>
      </c>
    </row>
    <row r="1101" spans="1:5" x14ac:dyDescent="0.25">
      <c r="A1101" s="93" t="s">
        <v>1102</v>
      </c>
      <c r="B1101" s="93"/>
      <c r="C1101" s="93"/>
      <c r="D1101" s="93">
        <v>373236</v>
      </c>
      <c r="E1101" s="93">
        <v>370507</v>
      </c>
    </row>
    <row r="1102" spans="1:5" x14ac:dyDescent="0.25">
      <c r="A1102" s="93" t="s">
        <v>1102</v>
      </c>
      <c r="B1102" s="93"/>
      <c r="C1102" s="93"/>
      <c r="D1102" s="93">
        <v>67326605</v>
      </c>
      <c r="E1102" s="93">
        <v>80890697</v>
      </c>
    </row>
    <row r="1103" spans="1:5" x14ac:dyDescent="0.25">
      <c r="A1103" s="93" t="s">
        <v>1102</v>
      </c>
      <c r="B1103" s="93"/>
      <c r="C1103" s="93"/>
      <c r="D1103" s="93">
        <v>199</v>
      </c>
      <c r="E1103" s="93">
        <v>478</v>
      </c>
    </row>
    <row r="1104" spans="1:5" x14ac:dyDescent="0.25">
      <c r="A1104" s="93" t="s">
        <v>2186</v>
      </c>
      <c r="B1104" s="93"/>
      <c r="C1104" s="93"/>
      <c r="D1104" s="93">
        <v>214432624</v>
      </c>
      <c r="E1104" s="93">
        <v>215937997</v>
      </c>
    </row>
    <row r="1105" spans="1:5" x14ac:dyDescent="0.25">
      <c r="A1105" s="93" t="s">
        <v>2186</v>
      </c>
      <c r="B1105" s="93"/>
      <c r="C1105" s="93"/>
      <c r="D1105" s="93">
        <v>1452832</v>
      </c>
      <c r="E1105" s="93">
        <v>1249510</v>
      </c>
    </row>
    <row r="1106" spans="1:5" x14ac:dyDescent="0.25">
      <c r="A1106" s="93" t="s">
        <v>2186</v>
      </c>
      <c r="B1106" s="93"/>
      <c r="C1106" s="93"/>
      <c r="D1106" s="93">
        <v>561</v>
      </c>
      <c r="E1106" s="93">
        <v>516</v>
      </c>
    </row>
    <row r="1107" spans="1:5" x14ac:dyDescent="0.25">
      <c r="A1107" s="93" t="s">
        <v>2187</v>
      </c>
      <c r="B1107" s="93"/>
      <c r="C1107" s="93"/>
      <c r="D1107" s="93">
        <v>131859</v>
      </c>
      <c r="E1107" s="93">
        <v>160694</v>
      </c>
    </row>
    <row r="1108" spans="1:5" x14ac:dyDescent="0.25">
      <c r="A1108" s="93" t="s">
        <v>2187</v>
      </c>
      <c r="B1108" s="93"/>
      <c r="C1108" s="93"/>
      <c r="D1108" s="93">
        <v>3952709</v>
      </c>
      <c r="E1108" s="93">
        <v>972412</v>
      </c>
    </row>
    <row r="1109" spans="1:5" x14ac:dyDescent="0.25">
      <c r="A1109" s="93" t="s">
        <v>2187</v>
      </c>
      <c r="B1109" s="93"/>
      <c r="C1109" s="93"/>
      <c r="D1109" s="93">
        <v>332055</v>
      </c>
      <c r="E1109" s="93">
        <v>316079</v>
      </c>
    </row>
    <row r="1110" spans="1:5" x14ac:dyDescent="0.25">
      <c r="A1110" s="93" t="s">
        <v>1103</v>
      </c>
      <c r="B1110" s="93"/>
      <c r="C1110" s="93"/>
      <c r="D1110" s="93">
        <v>13292</v>
      </c>
      <c r="E1110" s="93">
        <v>-8</v>
      </c>
    </row>
    <row r="1111" spans="1:5" x14ac:dyDescent="0.25">
      <c r="A1111" s="93" t="s">
        <v>1103</v>
      </c>
      <c r="B1111" s="93"/>
      <c r="C1111" s="93"/>
      <c r="D1111" s="93">
        <v>112915249</v>
      </c>
      <c r="E1111" s="93">
        <v>136831618</v>
      </c>
    </row>
    <row r="1112" spans="1:5" x14ac:dyDescent="0.25">
      <c r="A1112" s="93" t="s">
        <v>2188</v>
      </c>
      <c r="B1112" s="93"/>
      <c r="C1112" s="93"/>
      <c r="D1112" s="93">
        <v>206984451</v>
      </c>
      <c r="E1112" s="93">
        <v>208811958</v>
      </c>
    </row>
    <row r="1113" spans="1:5" x14ac:dyDescent="0.25">
      <c r="A1113" s="93" t="s">
        <v>2188</v>
      </c>
      <c r="B1113" s="93"/>
      <c r="C1113" s="93"/>
      <c r="D1113" s="93">
        <v>244994613</v>
      </c>
      <c r="E1113" s="93">
        <v>242001630</v>
      </c>
    </row>
    <row r="1114" spans="1:5" x14ac:dyDescent="0.25">
      <c r="A1114" s="93" t="s">
        <v>2189</v>
      </c>
      <c r="B1114" s="93"/>
      <c r="C1114" s="93"/>
      <c r="D1114" s="93">
        <v>4354863</v>
      </c>
      <c r="E1114" s="93">
        <v>4568295</v>
      </c>
    </row>
    <row r="1115" spans="1:5" x14ac:dyDescent="0.25">
      <c r="A1115" s="93" t="s">
        <v>2189</v>
      </c>
      <c r="B1115" s="93"/>
      <c r="C1115" s="93"/>
      <c r="D1115" s="93">
        <v>129167785</v>
      </c>
      <c r="E1115" s="93">
        <v>129167785</v>
      </c>
    </row>
    <row r="1116" spans="1:5" x14ac:dyDescent="0.25">
      <c r="A1116" s="93" t="s">
        <v>1104</v>
      </c>
      <c r="B1116" s="93"/>
      <c r="C1116" s="93"/>
      <c r="D1116" s="93">
        <v>12493</v>
      </c>
      <c r="E1116" s="93">
        <v>-7088</v>
      </c>
    </row>
    <row r="1117" spans="1:5" x14ac:dyDescent="0.25">
      <c r="A1117" s="93" t="s">
        <v>1104</v>
      </c>
      <c r="B1117" s="93"/>
      <c r="C1117" s="93"/>
      <c r="D1117" s="93">
        <v>636033</v>
      </c>
      <c r="E1117" s="93">
        <v>0</v>
      </c>
    </row>
    <row r="1118" spans="1:5" x14ac:dyDescent="0.25">
      <c r="A1118" s="93" t="s">
        <v>1104</v>
      </c>
      <c r="B1118" s="93"/>
      <c r="C1118" s="93"/>
      <c r="D1118" s="93">
        <v>129167785</v>
      </c>
      <c r="E1118" s="93">
        <v>129167785</v>
      </c>
    </row>
    <row r="1119" spans="1:5" x14ac:dyDescent="0.25">
      <c r="A1119" s="93" t="s">
        <v>2190</v>
      </c>
      <c r="B1119" s="93"/>
      <c r="C1119" s="93"/>
      <c r="D1119" s="93">
        <v>2184327</v>
      </c>
      <c r="E1119" s="93">
        <v>2192699</v>
      </c>
    </row>
    <row r="1120" spans="1:5" x14ac:dyDescent="0.25">
      <c r="A1120" s="93" t="s">
        <v>2191</v>
      </c>
      <c r="B1120" s="93"/>
      <c r="C1120" s="93"/>
      <c r="D1120" s="93">
        <v>141091</v>
      </c>
      <c r="E1120" s="93">
        <v>204351</v>
      </c>
    </row>
    <row r="1121" spans="1:5" x14ac:dyDescent="0.25">
      <c r="A1121" s="93" t="s">
        <v>2192</v>
      </c>
      <c r="B1121" s="93"/>
      <c r="C1121" s="93"/>
      <c r="D1121" s="93">
        <v>204001</v>
      </c>
      <c r="E1121" s="93">
        <v>150849</v>
      </c>
    </row>
    <row r="1122" spans="1:5" x14ac:dyDescent="0.25">
      <c r="A1122" s="93" t="s">
        <v>1105</v>
      </c>
      <c r="B1122" s="93"/>
      <c r="C1122" s="93"/>
      <c r="D1122" s="93">
        <v>1173</v>
      </c>
      <c r="E1122" s="93">
        <v>524</v>
      </c>
    </row>
    <row r="1123" spans="1:5" x14ac:dyDescent="0.25">
      <c r="A1123" s="93" t="s">
        <v>1106</v>
      </c>
      <c r="B1123" s="93"/>
      <c r="C1123" s="93"/>
      <c r="D1123" s="93">
        <v>12501</v>
      </c>
      <c r="E1123" s="93">
        <v>2853</v>
      </c>
    </row>
    <row r="1124" spans="1:5" x14ac:dyDescent="0.25">
      <c r="A1124" s="93" t="s">
        <v>1106</v>
      </c>
      <c r="B1124" s="93"/>
      <c r="C1124" s="93"/>
      <c r="D1124" s="93">
        <v>105810831</v>
      </c>
      <c r="E1124" s="93">
        <v>79582203</v>
      </c>
    </row>
    <row r="1125" spans="1:5" x14ac:dyDescent="0.25">
      <c r="A1125" s="93" t="s">
        <v>1107</v>
      </c>
      <c r="B1125" s="93"/>
      <c r="C1125" s="93"/>
      <c r="D1125" s="93">
        <v>5378</v>
      </c>
      <c r="E1125" s="93">
        <v>4497</v>
      </c>
    </row>
    <row r="1126" spans="1:5" x14ac:dyDescent="0.25">
      <c r="A1126" s="93" t="s">
        <v>1107</v>
      </c>
      <c r="B1126" s="93"/>
      <c r="C1126" s="93"/>
      <c r="D1126" s="93">
        <v>17517750</v>
      </c>
      <c r="E1126" s="93">
        <v>17517750</v>
      </c>
    </row>
    <row r="1127" spans="1:5" x14ac:dyDescent="0.25">
      <c r="A1127" s="93" t="s">
        <v>1107</v>
      </c>
      <c r="B1127" s="93"/>
      <c r="C1127" s="93"/>
      <c r="D1127" s="93">
        <v>22213786</v>
      </c>
      <c r="E1127" s="93">
        <v>27892261</v>
      </c>
    </row>
    <row r="1128" spans="1:5" x14ac:dyDescent="0.25">
      <c r="A1128" s="93" t="s">
        <v>1108</v>
      </c>
      <c r="B1128" s="93"/>
      <c r="C1128" s="93"/>
      <c r="D1128" s="93">
        <v>0</v>
      </c>
      <c r="E1128" s="93">
        <v>1</v>
      </c>
    </row>
    <row r="1129" spans="1:5" x14ac:dyDescent="0.25">
      <c r="A1129" s="93" t="s">
        <v>2193</v>
      </c>
      <c r="B1129" s="93"/>
      <c r="C1129" s="93"/>
      <c r="D1129" s="93">
        <v>60725302</v>
      </c>
      <c r="E1129" s="93">
        <v>62242970</v>
      </c>
    </row>
    <row r="1130" spans="1:5" x14ac:dyDescent="0.25">
      <c r="A1130" s="93" t="s">
        <v>2193</v>
      </c>
      <c r="B1130" s="93"/>
      <c r="C1130" s="93"/>
      <c r="D1130" s="93">
        <v>88293081</v>
      </c>
      <c r="E1130" s="93">
        <v>62064453</v>
      </c>
    </row>
    <row r="1131" spans="1:5" x14ac:dyDescent="0.25">
      <c r="A1131" s="93" t="s">
        <v>2193</v>
      </c>
      <c r="B1131" s="93"/>
      <c r="C1131" s="93"/>
      <c r="D1131" s="93">
        <v>71908853</v>
      </c>
      <c r="E1131" s="93">
        <v>20547709</v>
      </c>
    </row>
    <row r="1132" spans="1:5" x14ac:dyDescent="0.25">
      <c r="A1132" s="93" t="s">
        <v>2194</v>
      </c>
      <c r="B1132" s="93"/>
      <c r="C1132" s="93"/>
      <c r="D1132" s="93">
        <v>48108801</v>
      </c>
      <c r="E1132" s="93">
        <v>48749534</v>
      </c>
    </row>
    <row r="1133" spans="1:5" x14ac:dyDescent="0.25">
      <c r="A1133" s="93" t="s">
        <v>2194</v>
      </c>
      <c r="B1133" s="93"/>
      <c r="C1133" s="93"/>
      <c r="D1133" s="93">
        <v>69300715</v>
      </c>
      <c r="E1133" s="93">
        <v>18906330</v>
      </c>
    </row>
    <row r="1134" spans="1:5" x14ac:dyDescent="0.25">
      <c r="A1134" s="93" t="s">
        <v>1109</v>
      </c>
      <c r="B1134" s="93"/>
      <c r="C1134" s="93"/>
      <c r="D1134" s="93">
        <v>5950</v>
      </c>
      <c r="E1134" s="93">
        <v>-2169</v>
      </c>
    </row>
    <row r="1135" spans="1:5" x14ac:dyDescent="0.25">
      <c r="A1135" s="93" t="s">
        <v>1109</v>
      </c>
      <c r="B1135" s="93"/>
      <c r="C1135" s="93"/>
      <c r="D1135" s="93">
        <v>44353246</v>
      </c>
      <c r="E1135" s="93">
        <v>44733339</v>
      </c>
    </row>
    <row r="1136" spans="1:5" x14ac:dyDescent="0.25">
      <c r="A1136" s="93" t="s">
        <v>1109</v>
      </c>
      <c r="B1136" s="93"/>
      <c r="C1136" s="93"/>
      <c r="D1136" s="93">
        <v>1863955</v>
      </c>
      <c r="E1136" s="93">
        <v>1178411</v>
      </c>
    </row>
    <row r="1137" spans="1:5" x14ac:dyDescent="0.25">
      <c r="A1137" s="93" t="s">
        <v>1110</v>
      </c>
      <c r="B1137" s="93"/>
      <c r="C1137" s="93"/>
      <c r="D1137" s="93">
        <v>-5542</v>
      </c>
      <c r="E1137" s="93">
        <v>-12684</v>
      </c>
    </row>
    <row r="1138" spans="1:5" x14ac:dyDescent="0.25">
      <c r="A1138" s="93" t="s">
        <v>1110</v>
      </c>
      <c r="B1138" s="93"/>
      <c r="C1138" s="93"/>
      <c r="D1138" s="93">
        <v>3596886</v>
      </c>
      <c r="E1138" s="93">
        <v>3502543</v>
      </c>
    </row>
    <row r="1139" spans="1:5" x14ac:dyDescent="0.25">
      <c r="A1139" s="93" t="s">
        <v>1110</v>
      </c>
      <c r="B1139" s="93"/>
      <c r="C1139" s="93"/>
      <c r="D1139" s="93">
        <v>6604708</v>
      </c>
      <c r="E1139" s="93">
        <v>6597297</v>
      </c>
    </row>
    <row r="1140" spans="1:5" x14ac:dyDescent="0.25">
      <c r="A1140" s="93" t="s">
        <v>1110</v>
      </c>
      <c r="B1140" s="93"/>
      <c r="C1140" s="93"/>
      <c r="D1140" s="93">
        <v>2500</v>
      </c>
      <c r="E1140" s="93">
        <v>54436</v>
      </c>
    </row>
    <row r="1141" spans="1:5" x14ac:dyDescent="0.25">
      <c r="A1141" s="93" t="s">
        <v>1111</v>
      </c>
      <c r="B1141" s="93"/>
      <c r="C1141" s="93"/>
      <c r="D1141" s="93">
        <v>297581</v>
      </c>
      <c r="E1141" s="93">
        <v>261740</v>
      </c>
    </row>
    <row r="1142" spans="1:5" x14ac:dyDescent="0.25">
      <c r="A1142" s="93" t="s">
        <v>1111</v>
      </c>
      <c r="B1142" s="93"/>
      <c r="C1142" s="93"/>
      <c r="D1142" s="93">
        <v>6680608</v>
      </c>
      <c r="E1142" s="93">
        <v>6678863</v>
      </c>
    </row>
    <row r="1143" spans="1:5" x14ac:dyDescent="0.25">
      <c r="A1143" s="93" t="s">
        <v>1111</v>
      </c>
      <c r="B1143" s="93"/>
      <c r="C1143" s="93"/>
      <c r="D1143" s="93">
        <v>549</v>
      </c>
      <c r="E1143" s="93">
        <v>0</v>
      </c>
    </row>
    <row r="1144" spans="1:5" x14ac:dyDescent="0.25">
      <c r="A1144" s="93" t="s">
        <v>1112</v>
      </c>
      <c r="B1144" s="93"/>
      <c r="C1144" s="93"/>
      <c r="D1144" s="93">
        <v>508</v>
      </c>
      <c r="E1144" s="93">
        <v>967</v>
      </c>
    </row>
    <row r="1145" spans="1:5" x14ac:dyDescent="0.25">
      <c r="A1145" s="93" t="s">
        <v>1112</v>
      </c>
      <c r="B1145" s="93"/>
      <c r="C1145" s="93"/>
      <c r="D1145" s="93">
        <v>158669</v>
      </c>
      <c r="E1145" s="93">
        <v>513652</v>
      </c>
    </row>
    <row r="1146" spans="1:5" x14ac:dyDescent="0.25">
      <c r="A1146" s="93" t="s">
        <v>1112</v>
      </c>
      <c r="B1146" s="93"/>
      <c r="C1146" s="93"/>
      <c r="D1146" s="93">
        <v>-75900</v>
      </c>
      <c r="E1146" s="93">
        <v>-81566</v>
      </c>
    </row>
    <row r="1147" spans="1:5" x14ac:dyDescent="0.25">
      <c r="A1147" s="93" t="s">
        <v>1112</v>
      </c>
      <c r="B1147" s="93"/>
      <c r="C1147" s="93"/>
      <c r="D1147" s="93">
        <v>409079</v>
      </c>
      <c r="E1147" s="93">
        <v>92453</v>
      </c>
    </row>
    <row r="1148" spans="1:5" x14ac:dyDescent="0.25">
      <c r="A1148" s="93" t="s">
        <v>1113</v>
      </c>
      <c r="B1148" s="93"/>
      <c r="C1148" s="93"/>
      <c r="D1148" s="93">
        <v>292547</v>
      </c>
      <c r="E1148" s="93">
        <v>250023</v>
      </c>
    </row>
    <row r="1149" spans="1:5" x14ac:dyDescent="0.25">
      <c r="A1149" s="93" t="s">
        <v>1113</v>
      </c>
      <c r="B1149" s="93"/>
      <c r="C1149" s="93"/>
      <c r="D1149" s="93">
        <v>12445509</v>
      </c>
      <c r="E1149" s="93">
        <v>13307094</v>
      </c>
    </row>
    <row r="1150" spans="1:5" x14ac:dyDescent="0.25">
      <c r="A1150" s="93" t="s">
        <v>1113</v>
      </c>
      <c r="B1150" s="93"/>
      <c r="C1150" s="93"/>
      <c r="D1150" s="93">
        <v>93967253</v>
      </c>
      <c r="E1150" s="93">
        <v>35223950</v>
      </c>
    </row>
    <row r="1151" spans="1:5" x14ac:dyDescent="0.25">
      <c r="A1151" s="93" t="s">
        <v>2202</v>
      </c>
      <c r="B1151" s="93"/>
      <c r="C1151" s="93"/>
      <c r="D1151" s="93">
        <v>3411289</v>
      </c>
      <c r="E1151" s="93">
        <v>26654345</v>
      </c>
    </row>
    <row r="1152" spans="1:5" x14ac:dyDescent="0.25">
      <c r="A1152" s="93" t="s">
        <v>2202</v>
      </c>
      <c r="B1152" s="93"/>
      <c r="C1152" s="93"/>
      <c r="D1152" s="93">
        <v>72962130</v>
      </c>
      <c r="E1152" s="93">
        <v>15163298</v>
      </c>
    </row>
    <row r="1153" spans="1:5" x14ac:dyDescent="0.25">
      <c r="A1153" s="93" t="s">
        <v>2203</v>
      </c>
      <c r="B1153" s="93"/>
      <c r="C1153" s="93"/>
      <c r="D1153" s="93">
        <v>2985080</v>
      </c>
      <c r="E1153" s="93">
        <v>7824741</v>
      </c>
    </row>
    <row r="1154" spans="1:5" x14ac:dyDescent="0.25">
      <c r="A1154" s="93" t="s">
        <v>2203</v>
      </c>
      <c r="B1154" s="93"/>
      <c r="C1154" s="93"/>
      <c r="D1154" s="93">
        <v>1244714</v>
      </c>
      <c r="E1154" s="93">
        <v>1375552</v>
      </c>
    </row>
    <row r="1155" spans="1:5" x14ac:dyDescent="0.25">
      <c r="A1155" s="93" t="s">
        <v>2204</v>
      </c>
      <c r="B1155" s="93"/>
      <c r="C1155" s="93"/>
      <c r="D1155" s="93">
        <v>426209</v>
      </c>
      <c r="E1155" s="93">
        <v>18829604</v>
      </c>
    </row>
    <row r="1156" spans="1:5" x14ac:dyDescent="0.25">
      <c r="A1156" s="93" t="s">
        <v>2204</v>
      </c>
      <c r="B1156" s="93"/>
      <c r="C1156" s="93"/>
      <c r="D1156" s="93">
        <v>503982</v>
      </c>
      <c r="E1156" s="93">
        <v>0</v>
      </c>
    </row>
    <row r="1157" spans="1:5" x14ac:dyDescent="0.25">
      <c r="A1157" s="93" t="s">
        <v>2195</v>
      </c>
      <c r="B1157" s="93"/>
      <c r="C1157" s="93"/>
      <c r="D1157" s="93">
        <v>12336586</v>
      </c>
      <c r="E1157" s="93">
        <v>13307094</v>
      </c>
    </row>
    <row r="1158" spans="1:5" x14ac:dyDescent="0.25">
      <c r="A1158" s="93" t="s">
        <v>2196</v>
      </c>
      <c r="B1158" s="93"/>
      <c r="C1158" s="93"/>
      <c r="D1158" s="93">
        <v>108923</v>
      </c>
      <c r="E1158" s="93">
        <v>0</v>
      </c>
    </row>
    <row r="1159" spans="1:5" x14ac:dyDescent="0.25">
      <c r="A1159" s="93" t="s">
        <v>2196</v>
      </c>
      <c r="B1159" s="93"/>
      <c r="C1159" s="93"/>
      <c r="D1159" s="93">
        <v>8200845</v>
      </c>
      <c r="E1159" s="93">
        <v>7808430</v>
      </c>
    </row>
    <row r="1160" spans="1:5" x14ac:dyDescent="0.25">
      <c r="A1160" s="93" t="s">
        <v>2197</v>
      </c>
      <c r="B1160" s="93"/>
      <c r="C1160" s="93"/>
      <c r="D1160" s="93">
        <v>170992</v>
      </c>
      <c r="E1160" s="93">
        <v>186342</v>
      </c>
    </row>
    <row r="1161" spans="1:5" x14ac:dyDescent="0.25">
      <c r="A1161" s="93" t="s">
        <v>2197</v>
      </c>
      <c r="B1161" s="93"/>
      <c r="C1161" s="93"/>
      <c r="D1161" s="93">
        <v>45034</v>
      </c>
      <c r="E1161" s="93">
        <v>27088</v>
      </c>
    </row>
    <row r="1162" spans="1:5" x14ac:dyDescent="0.25">
      <c r="A1162" s="93" t="s">
        <v>2198</v>
      </c>
      <c r="B1162" s="93"/>
      <c r="C1162" s="93"/>
      <c r="D1162" s="93">
        <v>1320769606</v>
      </c>
      <c r="E1162" s="93">
        <v>1399072224</v>
      </c>
    </row>
    <row r="1163" spans="1:5" x14ac:dyDescent="0.25">
      <c r="A1163" s="93" t="s">
        <v>2198</v>
      </c>
      <c r="B1163" s="93"/>
      <c r="C1163" s="93"/>
      <c r="D1163" s="93">
        <v>134069</v>
      </c>
      <c r="E1163" s="93">
        <v>137763</v>
      </c>
    </row>
    <row r="1164" spans="1:5" x14ac:dyDescent="0.25">
      <c r="A1164" s="93" t="s">
        <v>2199</v>
      </c>
      <c r="B1164" s="93"/>
      <c r="C1164" s="93"/>
      <c r="D1164" s="93">
        <v>79868551</v>
      </c>
      <c r="E1164" s="93">
        <v>112165066</v>
      </c>
    </row>
    <row r="1165" spans="1:5" x14ac:dyDescent="0.25">
      <c r="A1165" s="93" t="s">
        <v>2199</v>
      </c>
      <c r="B1165" s="93"/>
      <c r="C1165" s="93"/>
      <c r="D1165" s="93">
        <v>682804</v>
      </c>
      <c r="E1165" s="93">
        <v>832981</v>
      </c>
    </row>
    <row r="1166" spans="1:5" x14ac:dyDescent="0.25">
      <c r="A1166" s="93" t="s">
        <v>2200</v>
      </c>
      <c r="B1166" s="93"/>
      <c r="C1166" s="93"/>
      <c r="D1166" s="93">
        <v>1400638157</v>
      </c>
      <c r="E1166" s="93">
        <v>1511237290</v>
      </c>
    </row>
    <row r="1167" spans="1:5" x14ac:dyDescent="0.25">
      <c r="A1167" s="93" t="s">
        <v>2200</v>
      </c>
      <c r="B1167" s="93"/>
      <c r="C1167" s="93"/>
      <c r="D1167" s="93">
        <v>3602413</v>
      </c>
      <c r="E1167" s="93">
        <v>3687090</v>
      </c>
    </row>
    <row r="1168" spans="1:5" x14ac:dyDescent="0.25">
      <c r="A1168" s="93" t="s">
        <v>2205</v>
      </c>
      <c r="B1168" s="93"/>
      <c r="C1168" s="93"/>
      <c r="D1168" s="93">
        <v>1320769606</v>
      </c>
      <c r="E1168" s="93">
        <v>1399072224</v>
      </c>
    </row>
    <row r="1169" spans="1:5" x14ac:dyDescent="0.25">
      <c r="A1169" s="93" t="s">
        <v>2205</v>
      </c>
      <c r="B1169" s="93"/>
      <c r="C1169" s="93"/>
      <c r="D1169" s="93">
        <v>2344866</v>
      </c>
      <c r="E1169" s="93">
        <v>1678754</v>
      </c>
    </row>
    <row r="1170" spans="1:5" x14ac:dyDescent="0.25">
      <c r="A1170" s="93" t="s">
        <v>2206</v>
      </c>
      <c r="B1170" s="93"/>
      <c r="C1170" s="93"/>
      <c r="D1170" s="93">
        <v>79868551</v>
      </c>
      <c r="E1170" s="93">
        <v>112165066</v>
      </c>
    </row>
    <row r="1171" spans="1:5" x14ac:dyDescent="0.25">
      <c r="A1171" s="93" t="s">
        <v>2206</v>
      </c>
      <c r="B1171" s="93"/>
      <c r="C1171" s="93"/>
      <c r="D1171" s="93">
        <v>337046</v>
      </c>
      <c r="E1171" s="93">
        <v>376568</v>
      </c>
    </row>
    <row r="1172" spans="1:5" x14ac:dyDescent="0.25">
      <c r="A1172" s="93" t="s">
        <v>2207</v>
      </c>
      <c r="B1172" s="93"/>
      <c r="C1172" s="93"/>
      <c r="D1172" s="93">
        <v>1400638157</v>
      </c>
      <c r="E1172" s="93">
        <v>1511237290</v>
      </c>
    </row>
    <row r="1173" spans="1:5" x14ac:dyDescent="0.25">
      <c r="A1173" s="93" t="s">
        <v>2207</v>
      </c>
      <c r="B1173" s="93"/>
      <c r="C1173" s="93"/>
      <c r="D1173" s="93">
        <v>3302198</v>
      </c>
      <c r="E1173" s="93">
        <v>2885346</v>
      </c>
    </row>
    <row r="1174" spans="1:5" x14ac:dyDescent="0.25">
      <c r="A1174" s="93" t="s">
        <v>2209</v>
      </c>
      <c r="B1174" s="93"/>
      <c r="C1174" s="93"/>
      <c r="D1174" s="93">
        <v>606305</v>
      </c>
      <c r="E1174" s="93">
        <v>1250907</v>
      </c>
    </row>
    <row r="1175" spans="1:5" x14ac:dyDescent="0.25">
      <c r="A1175" s="93" t="s">
        <v>2210</v>
      </c>
      <c r="B1175" s="93"/>
      <c r="C1175" s="93"/>
      <c r="D1175" s="93">
        <v>847</v>
      </c>
      <c r="E1175" s="93">
        <v>173</v>
      </c>
    </row>
    <row r="1176" spans="1:5" x14ac:dyDescent="0.25">
      <c r="A1176" s="93" t="s">
        <v>2211</v>
      </c>
      <c r="B1176" s="93"/>
      <c r="C1176" s="93"/>
      <c r="D1176" s="93">
        <v>22058400</v>
      </c>
      <c r="E1176" s="93">
        <v>14676241</v>
      </c>
    </row>
    <row r="1177" spans="1:5" x14ac:dyDescent="0.25">
      <c r="A1177" s="93" t="s">
        <v>2212</v>
      </c>
      <c r="B1177" s="93"/>
      <c r="C1177" s="93"/>
      <c r="D1177" s="93">
        <v>3028302</v>
      </c>
      <c r="E1177" s="93">
        <v>2825684</v>
      </c>
    </row>
    <row r="1178" spans="1:5" x14ac:dyDescent="0.25">
      <c r="A1178" s="93" t="s">
        <v>2213</v>
      </c>
      <c r="B1178" s="93"/>
      <c r="C1178" s="93"/>
      <c r="D1178" s="93">
        <v>2944477</v>
      </c>
      <c r="E1178" s="93">
        <v>1947316</v>
      </c>
    </row>
    <row r="1179" spans="1:5" x14ac:dyDescent="0.25">
      <c r="A1179" s="93" t="s">
        <v>2214</v>
      </c>
      <c r="B1179" s="93"/>
      <c r="C1179" s="93"/>
      <c r="D1179" s="93">
        <v>2300</v>
      </c>
      <c r="E1179" s="93">
        <v>0</v>
      </c>
    </row>
    <row r="1180" spans="1:5" x14ac:dyDescent="0.25">
      <c r="A1180" s="93" t="s">
        <v>2215</v>
      </c>
      <c r="B1180" s="93"/>
      <c r="C1180" s="93"/>
      <c r="D1180" s="93">
        <v>6832</v>
      </c>
      <c r="E1180" s="93">
        <v>0</v>
      </c>
    </row>
    <row r="1181" spans="1:5" x14ac:dyDescent="0.25">
      <c r="A1181" s="93" t="s">
        <v>2216</v>
      </c>
      <c r="B1181" s="93"/>
      <c r="C1181" s="93"/>
      <c r="D1181" s="93">
        <v>4139</v>
      </c>
      <c r="E1181" s="93">
        <v>0</v>
      </c>
    </row>
    <row r="1182" spans="1:5" x14ac:dyDescent="0.25">
      <c r="A1182" s="93" t="s">
        <v>2217</v>
      </c>
      <c r="B1182" s="93"/>
      <c r="C1182" s="93"/>
      <c r="D1182" s="93">
        <v>0</v>
      </c>
      <c r="E1182" s="93">
        <v>1</v>
      </c>
    </row>
    <row r="1183" spans="1:5" x14ac:dyDescent="0.25">
      <c r="A1183" s="93" t="s">
        <v>2218</v>
      </c>
      <c r="B1183" s="93"/>
      <c r="C1183" s="93"/>
      <c r="D1183" s="93">
        <v>70554</v>
      </c>
      <c r="E1183" s="93">
        <v>878367</v>
      </c>
    </row>
    <row r="1184" spans="1:5" x14ac:dyDescent="0.25">
      <c r="A1184" s="93" t="s">
        <v>2219</v>
      </c>
      <c r="B1184" s="93"/>
      <c r="C1184" s="93"/>
      <c r="D1184" s="93">
        <v>126656</v>
      </c>
      <c r="E1184" s="93">
        <v>1540104</v>
      </c>
    </row>
    <row r="1185" spans="1:5" x14ac:dyDescent="0.25">
      <c r="A1185" s="93" t="s">
        <v>2220</v>
      </c>
      <c r="B1185" s="93"/>
      <c r="C1185" s="93"/>
      <c r="D1185" s="93">
        <v>2766</v>
      </c>
      <c r="E1185" s="93">
        <v>28999</v>
      </c>
    </row>
    <row r="1186" spans="1:5" x14ac:dyDescent="0.25">
      <c r="A1186" s="93" t="s">
        <v>2221</v>
      </c>
      <c r="B1186" s="93"/>
      <c r="C1186" s="93"/>
      <c r="D1186" s="93">
        <v>2230</v>
      </c>
      <c r="E1186" s="93">
        <v>0</v>
      </c>
    </row>
    <row r="1187" spans="1:5" x14ac:dyDescent="0.25">
      <c r="A1187" s="93" t="s">
        <v>2222</v>
      </c>
      <c r="B1187" s="93"/>
      <c r="C1187" s="93"/>
      <c r="D1187" s="93">
        <v>0</v>
      </c>
      <c r="E1187" s="93">
        <v>2662</v>
      </c>
    </row>
    <row r="1188" spans="1:5" x14ac:dyDescent="0.25">
      <c r="A1188" s="93" t="s">
        <v>2223</v>
      </c>
      <c r="B1188" s="93"/>
      <c r="C1188" s="93"/>
      <c r="D1188" s="93">
        <v>121660</v>
      </c>
      <c r="E1188" s="93">
        <v>1508443</v>
      </c>
    </row>
    <row r="1189" spans="1:5" x14ac:dyDescent="0.25">
      <c r="A1189" s="93" t="s">
        <v>2224</v>
      </c>
      <c r="B1189" s="93"/>
      <c r="C1189" s="93"/>
      <c r="D1189" s="93">
        <v>2901646</v>
      </c>
      <c r="E1189" s="93">
        <v>1285580</v>
      </c>
    </row>
    <row r="1190" spans="1:5" x14ac:dyDescent="0.25">
      <c r="A1190" s="93" t="s">
        <v>2225</v>
      </c>
      <c r="B1190" s="93"/>
      <c r="C1190" s="93"/>
      <c r="D1190" s="93">
        <v>3057032</v>
      </c>
      <c r="E1190" s="93">
        <v>14501600</v>
      </c>
    </row>
    <row r="1191" spans="1:5" x14ac:dyDescent="0.25">
      <c r="A1191" s="93" t="s">
        <v>2226</v>
      </c>
      <c r="B1191" s="93"/>
      <c r="C1191" s="93"/>
      <c r="D1191" s="93">
        <v>1294181</v>
      </c>
      <c r="E1191" s="93">
        <v>6564271</v>
      </c>
    </row>
    <row r="1192" spans="1:5" x14ac:dyDescent="0.25">
      <c r="A1192" s="93" t="s">
        <v>2227</v>
      </c>
      <c r="B1192" s="93"/>
      <c r="C1192" s="93"/>
      <c r="D1192" s="93">
        <v>1294181</v>
      </c>
      <c r="E1192" s="93">
        <v>6564271</v>
      </c>
    </row>
    <row r="1193" spans="1:5" x14ac:dyDescent="0.25">
      <c r="A1193" s="93" t="s">
        <v>2228</v>
      </c>
      <c r="B1193" s="93"/>
      <c r="C1193" s="93"/>
      <c r="D1193" s="93">
        <v>786363</v>
      </c>
      <c r="E1193" s="93">
        <v>5756665</v>
      </c>
    </row>
    <row r="1194" spans="1:5" x14ac:dyDescent="0.25">
      <c r="A1194" s="93" t="s">
        <v>2229</v>
      </c>
      <c r="B1194" s="93"/>
      <c r="C1194" s="93"/>
      <c r="D1194" s="93">
        <v>786363</v>
      </c>
      <c r="E1194" s="93">
        <v>5756665</v>
      </c>
    </row>
    <row r="1195" spans="1:5" x14ac:dyDescent="0.25">
      <c r="A1195" s="93" t="s">
        <v>2230</v>
      </c>
      <c r="B1195" s="93"/>
      <c r="C1195" s="93"/>
      <c r="D1195" s="93">
        <v>507818</v>
      </c>
      <c r="E1195" s="93">
        <v>807606</v>
      </c>
    </row>
    <row r="1196" spans="1:5" x14ac:dyDescent="0.25">
      <c r="A1196" s="93" t="s">
        <v>2231</v>
      </c>
      <c r="B1196" s="93"/>
      <c r="C1196" s="93"/>
      <c r="D1196" s="93">
        <v>3564850</v>
      </c>
      <c r="E1196" s="93">
        <v>15309206</v>
      </c>
    </row>
    <row r="1197" spans="1:5" x14ac:dyDescent="0.25">
      <c r="A1197" s="93" t="s">
        <v>2232</v>
      </c>
      <c r="B1197" s="93"/>
      <c r="C1197" s="93"/>
      <c r="D1197" s="93">
        <v>565058</v>
      </c>
      <c r="E1197" s="93">
        <v>1143623</v>
      </c>
    </row>
    <row r="1198" spans="1:5" x14ac:dyDescent="0.25">
      <c r="A1198" s="93" t="s">
        <v>2233</v>
      </c>
      <c r="B1198" s="93"/>
      <c r="C1198" s="93"/>
      <c r="D1198" s="93">
        <v>8</v>
      </c>
      <c r="E1198" s="93">
        <v>0</v>
      </c>
    </row>
    <row r="1199" spans="1:5" x14ac:dyDescent="0.25">
      <c r="A1199" s="93" t="s">
        <v>2234</v>
      </c>
      <c r="B1199" s="93"/>
      <c r="C1199" s="93"/>
      <c r="D1199" s="93">
        <v>14720</v>
      </c>
      <c r="E1199" s="93">
        <v>19983</v>
      </c>
    </row>
    <row r="1200" spans="1:5" x14ac:dyDescent="0.25">
      <c r="A1200" s="93" t="s">
        <v>2235</v>
      </c>
      <c r="B1200" s="93"/>
      <c r="C1200" s="93"/>
      <c r="D1200" s="93">
        <v>2985080</v>
      </c>
      <c r="E1200" s="93">
        <v>14145600</v>
      </c>
    </row>
    <row r="1201" spans="1:5" x14ac:dyDescent="0.25">
      <c r="A1201" s="93" t="s">
        <v>2236</v>
      </c>
      <c r="B1201" s="93"/>
      <c r="C1201" s="93"/>
      <c r="D1201" s="93">
        <v>7903</v>
      </c>
      <c r="E1201" s="93">
        <v>0</v>
      </c>
    </row>
    <row r="1202" spans="1:5" x14ac:dyDescent="0.25">
      <c r="A1202" s="11" t="s">
        <v>1114</v>
      </c>
      <c r="B1202" s="11">
        <v>903614421</v>
      </c>
      <c r="C1202" s="11">
        <v>50960096</v>
      </c>
      <c r="D1202" s="11">
        <v>852654325</v>
      </c>
      <c r="E1202" s="11">
        <v>889142214</v>
      </c>
    </row>
    <row r="1203" spans="1:5" x14ac:dyDescent="0.25">
      <c r="A1203" s="11" t="s">
        <v>1115</v>
      </c>
      <c r="B1203" s="11">
        <v>25868055</v>
      </c>
      <c r="C1203" s="11">
        <v>1963907</v>
      </c>
      <c r="D1203" s="11">
        <v>23904148</v>
      </c>
      <c r="E1203" s="11">
        <v>92354589</v>
      </c>
    </row>
    <row r="1204" spans="1:5" x14ac:dyDescent="0.25">
      <c r="A1204" s="11" t="s">
        <v>1116</v>
      </c>
      <c r="B1204" s="11">
        <v>8028752</v>
      </c>
      <c r="C1204" s="11">
        <v>0</v>
      </c>
      <c r="D1204" s="11">
        <v>8028752</v>
      </c>
      <c r="E1204" s="11">
        <v>8608263</v>
      </c>
    </row>
    <row r="1205" spans="1:5" x14ac:dyDescent="0.25">
      <c r="A1205" s="11" t="s">
        <v>1117</v>
      </c>
      <c r="B1205" s="11">
        <v>2645320</v>
      </c>
      <c r="C1205" s="11">
        <v>1941056</v>
      </c>
      <c r="D1205" s="11">
        <v>704264</v>
      </c>
      <c r="E1205" s="11">
        <v>1981854</v>
      </c>
    </row>
    <row r="1206" spans="1:5" x14ac:dyDescent="0.25">
      <c r="A1206" s="11" t="s">
        <v>1118</v>
      </c>
      <c r="B1206" s="11">
        <v>15098872</v>
      </c>
      <c r="C1206" s="11">
        <v>0</v>
      </c>
      <c r="D1206" s="11">
        <v>15098872</v>
      </c>
      <c r="E1206" s="11">
        <v>80265065</v>
      </c>
    </row>
    <row r="1207" spans="1:5" x14ac:dyDescent="0.25">
      <c r="A1207" s="11" t="s">
        <v>1119</v>
      </c>
      <c r="B1207" s="11">
        <v>17142</v>
      </c>
      <c r="C1207" s="11">
        <v>0</v>
      </c>
      <c r="D1207" s="11">
        <v>17142</v>
      </c>
      <c r="E1207" s="11">
        <v>17142</v>
      </c>
    </row>
    <row r="1208" spans="1:5" x14ac:dyDescent="0.25">
      <c r="A1208" s="11" t="s">
        <v>1120</v>
      </c>
      <c r="B1208" s="11">
        <v>77969</v>
      </c>
      <c r="C1208" s="11">
        <v>22851</v>
      </c>
      <c r="D1208" s="11">
        <v>55118</v>
      </c>
      <c r="E1208" s="11">
        <v>1482265</v>
      </c>
    </row>
    <row r="1209" spans="1:5" x14ac:dyDescent="0.25">
      <c r="A1209" s="11" t="s">
        <v>1121</v>
      </c>
      <c r="B1209" s="11">
        <v>64126612</v>
      </c>
      <c r="C1209" s="11">
        <v>0</v>
      </c>
      <c r="D1209" s="11">
        <v>64126612</v>
      </c>
      <c r="E1209" s="11">
        <v>71423953</v>
      </c>
    </row>
    <row r="1210" spans="1:5" x14ac:dyDescent="0.25">
      <c r="A1210" s="11" t="s">
        <v>1122</v>
      </c>
      <c r="B1210" s="11">
        <v>64126612</v>
      </c>
      <c r="C1210" s="11">
        <v>0</v>
      </c>
      <c r="D1210" s="11">
        <v>64126612</v>
      </c>
      <c r="E1210" s="11">
        <v>71423953</v>
      </c>
    </row>
    <row r="1211" spans="1:5" x14ac:dyDescent="0.25">
      <c r="A1211" s="11" t="s">
        <v>1123</v>
      </c>
      <c r="B1211" s="11">
        <v>6633585</v>
      </c>
      <c r="C1211" s="11">
        <v>4422873</v>
      </c>
      <c r="D1211" s="11">
        <v>2210712</v>
      </c>
      <c r="E1211" s="11">
        <v>2714133</v>
      </c>
    </row>
    <row r="1212" spans="1:5" x14ac:dyDescent="0.25">
      <c r="A1212" s="11" t="s">
        <v>1124</v>
      </c>
      <c r="B1212" s="11">
        <v>5324505</v>
      </c>
      <c r="C1212" s="11">
        <v>3585845</v>
      </c>
      <c r="D1212" s="11">
        <v>1738660</v>
      </c>
      <c r="E1212" s="11">
        <v>2311847</v>
      </c>
    </row>
    <row r="1213" spans="1:5" x14ac:dyDescent="0.25">
      <c r="A1213" s="11" t="s">
        <v>1125</v>
      </c>
      <c r="B1213" s="11">
        <v>1309080</v>
      </c>
      <c r="C1213" s="11">
        <v>837028</v>
      </c>
      <c r="D1213" s="11">
        <v>472052</v>
      </c>
      <c r="E1213" s="11">
        <v>402286</v>
      </c>
    </row>
    <row r="1214" spans="1:5" x14ac:dyDescent="0.25">
      <c r="A1214" s="11" t="s">
        <v>1126</v>
      </c>
      <c r="B1214" s="11">
        <v>670048692</v>
      </c>
      <c r="C1214" s="11">
        <v>26080296</v>
      </c>
      <c r="D1214" s="11">
        <v>643968396</v>
      </c>
      <c r="E1214" s="11">
        <v>626820532</v>
      </c>
    </row>
    <row r="1215" spans="1:5" x14ac:dyDescent="0.25">
      <c r="A1215" s="11" t="s">
        <v>1127</v>
      </c>
      <c r="B1215" s="11">
        <v>204446267</v>
      </c>
      <c r="C1215" s="11">
        <v>15649990</v>
      </c>
      <c r="D1215" s="11">
        <v>188796277</v>
      </c>
      <c r="E1215" s="11">
        <v>197708141</v>
      </c>
    </row>
    <row r="1216" spans="1:5" x14ac:dyDescent="0.25">
      <c r="A1216" s="11" t="s">
        <v>1128</v>
      </c>
      <c r="B1216" s="11">
        <v>314072815</v>
      </c>
      <c r="C1216" s="11">
        <v>4872781</v>
      </c>
      <c r="D1216" s="11">
        <v>309200034</v>
      </c>
      <c r="E1216" s="11">
        <v>290969750</v>
      </c>
    </row>
    <row r="1217" spans="1:5" x14ac:dyDescent="0.25">
      <c r="A1217" s="11" t="s">
        <v>1129</v>
      </c>
      <c r="B1217" s="11">
        <v>151529610</v>
      </c>
      <c r="C1217" s="11">
        <v>5557525</v>
      </c>
      <c r="D1217" s="11">
        <v>145972085</v>
      </c>
      <c r="E1217" s="11">
        <v>138142641</v>
      </c>
    </row>
    <row r="1218" spans="1:5" x14ac:dyDescent="0.25">
      <c r="A1218" s="11" t="s">
        <v>1130</v>
      </c>
      <c r="B1218" s="11">
        <v>79014663</v>
      </c>
      <c r="C1218" s="11">
        <v>319149</v>
      </c>
      <c r="D1218" s="11">
        <v>78695514</v>
      </c>
      <c r="E1218" s="11">
        <v>55897223</v>
      </c>
    </row>
    <row r="1219" spans="1:5" x14ac:dyDescent="0.25">
      <c r="A1219" s="11" t="s">
        <v>1131</v>
      </c>
      <c r="B1219" s="11">
        <v>58276243</v>
      </c>
      <c r="C1219" s="11">
        <v>319149</v>
      </c>
      <c r="D1219" s="11">
        <v>57957094</v>
      </c>
      <c r="E1219" s="11">
        <v>50952021</v>
      </c>
    </row>
    <row r="1220" spans="1:5" x14ac:dyDescent="0.25">
      <c r="A1220" s="11" t="s">
        <v>1132</v>
      </c>
      <c r="B1220" s="11">
        <v>20738420</v>
      </c>
      <c r="C1220" s="11">
        <v>0</v>
      </c>
      <c r="D1220" s="11">
        <v>20738420</v>
      </c>
      <c r="E1220" s="11">
        <v>4945202</v>
      </c>
    </row>
    <row r="1221" spans="1:5" x14ac:dyDescent="0.25">
      <c r="A1221" s="11" t="s">
        <v>1133</v>
      </c>
      <c r="B1221" s="11">
        <v>57736002</v>
      </c>
      <c r="C1221" s="11">
        <v>18004174</v>
      </c>
      <c r="D1221" s="11">
        <v>39731828</v>
      </c>
      <c r="E1221" s="11">
        <v>39908671</v>
      </c>
    </row>
    <row r="1222" spans="1:5" x14ac:dyDescent="0.25">
      <c r="A1222" s="11" t="s">
        <v>1134</v>
      </c>
      <c r="B1222" s="11">
        <v>728768</v>
      </c>
      <c r="C1222" s="11">
        <v>656687</v>
      </c>
      <c r="D1222" s="11">
        <v>72081</v>
      </c>
      <c r="E1222" s="11">
        <v>72081</v>
      </c>
    </row>
    <row r="1223" spans="1:5" x14ac:dyDescent="0.25">
      <c r="A1223" s="11" t="s">
        <v>1135</v>
      </c>
      <c r="B1223" s="11">
        <v>47240974</v>
      </c>
      <c r="C1223" s="11">
        <v>16872341</v>
      </c>
      <c r="D1223" s="11">
        <v>30368633</v>
      </c>
      <c r="E1223" s="11">
        <v>32357544</v>
      </c>
    </row>
    <row r="1224" spans="1:5" x14ac:dyDescent="0.25">
      <c r="A1224" s="11" t="s">
        <v>1136</v>
      </c>
      <c r="B1224" s="11">
        <v>755849</v>
      </c>
      <c r="C1224" s="11">
        <v>1144</v>
      </c>
      <c r="D1224" s="11">
        <v>754705</v>
      </c>
      <c r="E1224" s="11">
        <v>548925</v>
      </c>
    </row>
    <row r="1225" spans="1:5" x14ac:dyDescent="0.25">
      <c r="A1225" s="11" t="s">
        <v>1137</v>
      </c>
      <c r="B1225" s="11">
        <v>215836</v>
      </c>
      <c r="C1225" s="11">
        <v>196076</v>
      </c>
      <c r="D1225" s="11">
        <v>19760</v>
      </c>
      <c r="E1225" s="11">
        <v>19760</v>
      </c>
    </row>
    <row r="1226" spans="1:5" x14ac:dyDescent="0.25">
      <c r="A1226" s="11" t="s">
        <v>1138</v>
      </c>
      <c r="B1226" s="11">
        <v>8690489</v>
      </c>
      <c r="C1226" s="11">
        <v>277156</v>
      </c>
      <c r="D1226" s="11">
        <v>8413333</v>
      </c>
      <c r="E1226" s="11">
        <v>6895308</v>
      </c>
    </row>
    <row r="1227" spans="1:5" x14ac:dyDescent="0.25">
      <c r="A1227" s="11" t="s">
        <v>1139</v>
      </c>
      <c r="B1227" s="11">
        <v>104086</v>
      </c>
      <c r="C1227" s="11">
        <v>770</v>
      </c>
      <c r="D1227" s="11">
        <v>103316</v>
      </c>
      <c r="E1227" s="11">
        <v>15053</v>
      </c>
    </row>
    <row r="1228" spans="1:5" x14ac:dyDescent="0.25">
      <c r="A1228" s="11" t="s">
        <v>1140</v>
      </c>
      <c r="B1228" s="11">
        <v>186812</v>
      </c>
      <c r="C1228" s="11">
        <v>169697</v>
      </c>
      <c r="D1228" s="11">
        <v>17115</v>
      </c>
      <c r="E1228" s="11">
        <v>23113</v>
      </c>
    </row>
    <row r="1229" spans="1:5" x14ac:dyDescent="0.25">
      <c r="A1229" s="11" t="s">
        <v>1141</v>
      </c>
      <c r="B1229" s="11">
        <v>64666016</v>
      </c>
      <c r="C1229" s="11">
        <v>43604051</v>
      </c>
      <c r="D1229" s="11">
        <v>21061965</v>
      </c>
      <c r="E1229" s="11">
        <v>22515735</v>
      </c>
    </row>
    <row r="1230" spans="1:5" x14ac:dyDescent="0.25">
      <c r="A1230" s="11" t="s">
        <v>1142</v>
      </c>
      <c r="B1230" s="11">
        <v>45669978</v>
      </c>
      <c r="C1230" s="11">
        <v>28646200</v>
      </c>
      <c r="D1230" s="11">
        <v>17023778</v>
      </c>
      <c r="E1230" s="11">
        <v>17839243</v>
      </c>
    </row>
    <row r="1231" spans="1:5" x14ac:dyDescent="0.25">
      <c r="A1231" s="11" t="s">
        <v>1143</v>
      </c>
      <c r="B1231" s="11">
        <v>45605345</v>
      </c>
      <c r="C1231" s="11">
        <v>28646200</v>
      </c>
      <c r="D1231" s="11">
        <v>16959145</v>
      </c>
      <c r="E1231" s="11">
        <v>17386045</v>
      </c>
    </row>
    <row r="1232" spans="1:5" x14ac:dyDescent="0.25">
      <c r="A1232" s="11" t="s">
        <v>1144</v>
      </c>
      <c r="B1232" s="11">
        <v>0</v>
      </c>
      <c r="C1232" s="11">
        <v>0</v>
      </c>
      <c r="D1232" s="11">
        <v>0</v>
      </c>
      <c r="E1232" s="11">
        <v>22943</v>
      </c>
    </row>
    <row r="1233" spans="1:5" x14ac:dyDescent="0.25">
      <c r="A1233" s="11" t="s">
        <v>1145</v>
      </c>
      <c r="B1233" s="11">
        <v>64633</v>
      </c>
      <c r="C1233" s="11">
        <v>0</v>
      </c>
      <c r="D1233" s="11">
        <v>64633</v>
      </c>
      <c r="E1233" s="11">
        <v>430255</v>
      </c>
    </row>
    <row r="1234" spans="1:5" x14ac:dyDescent="0.25">
      <c r="A1234" s="11" t="s">
        <v>1146</v>
      </c>
      <c r="B1234" s="11">
        <v>18972879</v>
      </c>
      <c r="C1234" s="11">
        <v>14957851</v>
      </c>
      <c r="D1234" s="11">
        <v>4015028</v>
      </c>
      <c r="E1234" s="11">
        <v>4657507</v>
      </c>
    </row>
    <row r="1235" spans="1:5" x14ac:dyDescent="0.25">
      <c r="A1235" s="11" t="s">
        <v>1147</v>
      </c>
      <c r="B1235" s="11">
        <v>0</v>
      </c>
      <c r="C1235" s="11">
        <v>0</v>
      </c>
      <c r="D1235" s="11">
        <v>0</v>
      </c>
      <c r="E1235" s="11">
        <v>3873980</v>
      </c>
    </row>
    <row r="1236" spans="1:5" x14ac:dyDescent="0.25">
      <c r="A1236" s="11" t="s">
        <v>1968</v>
      </c>
      <c r="B1236" s="11">
        <v>18081931</v>
      </c>
      <c r="C1236" s="11">
        <v>14957851</v>
      </c>
      <c r="D1236" s="11">
        <v>3124080</v>
      </c>
      <c r="E1236" s="11">
        <v>0</v>
      </c>
    </row>
    <row r="1237" spans="1:5" x14ac:dyDescent="0.25">
      <c r="A1237" s="11" t="s">
        <v>1148</v>
      </c>
      <c r="B1237" s="11">
        <v>890948</v>
      </c>
      <c r="C1237" s="11">
        <v>0</v>
      </c>
      <c r="D1237" s="11">
        <v>890948</v>
      </c>
      <c r="E1237" s="11">
        <v>783527</v>
      </c>
    </row>
    <row r="1238" spans="1:5" x14ac:dyDescent="0.25">
      <c r="A1238" s="11" t="s">
        <v>1149</v>
      </c>
      <c r="B1238" s="11">
        <v>23159</v>
      </c>
      <c r="C1238" s="11">
        <v>0</v>
      </c>
      <c r="D1238" s="11">
        <v>23159</v>
      </c>
      <c r="E1238" s="11">
        <v>18985</v>
      </c>
    </row>
    <row r="1239" spans="1:5" x14ac:dyDescent="0.25">
      <c r="A1239" s="11" t="s">
        <v>1150</v>
      </c>
      <c r="B1239" s="11">
        <v>968280437</v>
      </c>
      <c r="C1239" s="11">
        <v>94564147</v>
      </c>
      <c r="D1239" s="11">
        <v>873716290</v>
      </c>
      <c r="E1239" s="11">
        <v>911657949</v>
      </c>
    </row>
    <row r="1240" spans="1:5" x14ac:dyDescent="0.25">
      <c r="A1240" s="11" t="s">
        <v>1151</v>
      </c>
      <c r="B1240" s="11">
        <v>126227508</v>
      </c>
      <c r="C1240" s="11">
        <v>0</v>
      </c>
      <c r="D1240" s="11">
        <v>126227508</v>
      </c>
      <c r="E1240" s="11">
        <v>126638761</v>
      </c>
    </row>
    <row r="1241" spans="1:5" x14ac:dyDescent="0.25">
      <c r="A1241" s="11" t="s">
        <v>1152</v>
      </c>
      <c r="B1241" s="11">
        <v>1094507945</v>
      </c>
      <c r="C1241" s="11">
        <v>94564147</v>
      </c>
      <c r="D1241" s="11">
        <v>999943798</v>
      </c>
      <c r="E1241" s="11">
        <v>1038296710</v>
      </c>
    </row>
    <row r="1242" spans="1:5" x14ac:dyDescent="0.25">
      <c r="A1242" s="93" t="s">
        <v>2237</v>
      </c>
      <c r="B1242" s="93"/>
      <c r="C1242" s="93"/>
      <c r="D1242" s="93">
        <v>852654325</v>
      </c>
      <c r="E1242" s="93">
        <v>889142214</v>
      </c>
    </row>
    <row r="1243" spans="1:5" x14ac:dyDescent="0.25">
      <c r="A1243" s="93" t="s">
        <v>2238</v>
      </c>
      <c r="B1243" s="93"/>
      <c r="C1243" s="93"/>
      <c r="D1243" s="93">
        <v>23904148</v>
      </c>
      <c r="E1243" s="93">
        <v>92354589</v>
      </c>
    </row>
    <row r="1244" spans="1:5" x14ac:dyDescent="0.25">
      <c r="A1244" s="93" t="s">
        <v>2239</v>
      </c>
      <c r="B1244" s="93"/>
      <c r="C1244" s="93"/>
      <c r="D1244" s="93">
        <v>8028752</v>
      </c>
      <c r="E1244" s="93">
        <v>8608263</v>
      </c>
    </row>
    <row r="1245" spans="1:5" x14ac:dyDescent="0.25">
      <c r="A1245" s="93" t="s">
        <v>2240</v>
      </c>
      <c r="B1245" s="93"/>
      <c r="C1245" s="93"/>
      <c r="D1245" s="93">
        <v>704264</v>
      </c>
      <c r="E1245" s="93">
        <v>1981854</v>
      </c>
    </row>
    <row r="1246" spans="1:5" x14ac:dyDescent="0.25">
      <c r="A1246" s="93" t="s">
        <v>2241</v>
      </c>
      <c r="B1246" s="93"/>
      <c r="C1246" s="93"/>
      <c r="D1246" s="93">
        <v>15098872</v>
      </c>
      <c r="E1246" s="93">
        <v>80265065</v>
      </c>
    </row>
    <row r="1247" spans="1:5" x14ac:dyDescent="0.25">
      <c r="A1247" s="93" t="s">
        <v>2242</v>
      </c>
      <c r="B1247" s="93"/>
      <c r="C1247" s="93"/>
      <c r="D1247" s="93">
        <v>17142</v>
      </c>
      <c r="E1247" s="93">
        <v>17142</v>
      </c>
    </row>
    <row r="1248" spans="1:5" x14ac:dyDescent="0.25">
      <c r="A1248" s="93" t="s">
        <v>2243</v>
      </c>
      <c r="B1248" s="93"/>
      <c r="C1248" s="93"/>
      <c r="D1248" s="93">
        <v>55118</v>
      </c>
      <c r="E1248" s="93">
        <v>1482265</v>
      </c>
    </row>
    <row r="1249" spans="1:5" x14ac:dyDescent="0.25">
      <c r="A1249" s="93" t="s">
        <v>2244</v>
      </c>
      <c r="B1249" s="93"/>
      <c r="C1249" s="93"/>
      <c r="D1249" s="93">
        <v>64126612</v>
      </c>
      <c r="E1249" s="93">
        <v>71423953</v>
      </c>
    </row>
    <row r="1250" spans="1:5" x14ac:dyDescent="0.25">
      <c r="A1250" s="93" t="s">
        <v>2245</v>
      </c>
      <c r="B1250" s="93"/>
      <c r="C1250" s="93"/>
      <c r="D1250" s="93">
        <v>64126612</v>
      </c>
      <c r="E1250" s="93">
        <v>71423953</v>
      </c>
    </row>
    <row r="1251" spans="1:5" x14ac:dyDescent="0.25">
      <c r="A1251" s="11" t="s">
        <v>1153</v>
      </c>
      <c r="B1251" s="11"/>
      <c r="C1251" s="11"/>
      <c r="D1251" s="11">
        <v>732932689</v>
      </c>
      <c r="E1251" s="11">
        <v>798818659</v>
      </c>
    </row>
    <row r="1252" spans="1:5" x14ac:dyDescent="0.25">
      <c r="A1252" s="11" t="s">
        <v>1154</v>
      </c>
      <c r="B1252" s="11"/>
      <c r="C1252" s="11"/>
      <c r="D1252" s="11">
        <v>714818464</v>
      </c>
      <c r="E1252" s="11">
        <v>787487323</v>
      </c>
    </row>
    <row r="1253" spans="1:5" x14ac:dyDescent="0.25">
      <c r="A1253" s="11" t="s">
        <v>1155</v>
      </c>
      <c r="B1253" s="11"/>
      <c r="C1253" s="11"/>
      <c r="D1253" s="11">
        <v>253078628</v>
      </c>
      <c r="E1253" s="11">
        <v>263565667</v>
      </c>
    </row>
    <row r="1254" spans="1:5" x14ac:dyDescent="0.25">
      <c r="A1254" s="11" t="s">
        <v>1156</v>
      </c>
      <c r="B1254" s="11"/>
      <c r="C1254" s="11"/>
      <c r="D1254" s="11">
        <v>96844749</v>
      </c>
      <c r="E1254" s="11">
        <v>90282805</v>
      </c>
    </row>
    <row r="1255" spans="1:5" x14ac:dyDescent="0.25">
      <c r="A1255" s="11" t="s">
        <v>1157</v>
      </c>
      <c r="B1255" s="11"/>
      <c r="C1255" s="11"/>
      <c r="D1255" s="11">
        <v>364895087</v>
      </c>
      <c r="E1255" s="11">
        <v>433638851</v>
      </c>
    </row>
    <row r="1256" spans="1:5" x14ac:dyDescent="0.25">
      <c r="A1256" s="11" t="s">
        <v>1158</v>
      </c>
      <c r="B1256" s="11"/>
      <c r="C1256" s="11"/>
      <c r="D1256" s="11">
        <v>20537</v>
      </c>
      <c r="E1256" s="11">
        <v>2444</v>
      </c>
    </row>
    <row r="1257" spans="1:5" x14ac:dyDescent="0.25">
      <c r="A1257" s="11" t="s">
        <v>1159</v>
      </c>
      <c r="B1257" s="11"/>
      <c r="C1257" s="11"/>
      <c r="D1257" s="11">
        <v>17734</v>
      </c>
      <c r="E1257" s="11">
        <v>146</v>
      </c>
    </row>
    <row r="1258" spans="1:5" x14ac:dyDescent="0.25">
      <c r="A1258" s="11" t="s">
        <v>1160</v>
      </c>
      <c r="B1258" s="11"/>
      <c r="C1258" s="11"/>
      <c r="D1258" s="11">
        <v>2803</v>
      </c>
      <c r="E1258" s="11">
        <v>2298</v>
      </c>
    </row>
    <row r="1259" spans="1:5" x14ac:dyDescent="0.25">
      <c r="A1259" s="11" t="s">
        <v>1161</v>
      </c>
      <c r="B1259" s="11"/>
      <c r="C1259" s="11"/>
      <c r="D1259" s="11">
        <v>18093688</v>
      </c>
      <c r="E1259" s="11">
        <v>11328892</v>
      </c>
    </row>
    <row r="1260" spans="1:5" x14ac:dyDescent="0.25">
      <c r="A1260" s="11" t="s">
        <v>1162</v>
      </c>
      <c r="B1260" s="11"/>
      <c r="C1260" s="11"/>
      <c r="D1260" s="11">
        <v>583253</v>
      </c>
      <c r="E1260" s="11">
        <v>0</v>
      </c>
    </row>
    <row r="1261" spans="1:5" x14ac:dyDescent="0.25">
      <c r="A1261" s="11" t="s">
        <v>1163</v>
      </c>
      <c r="B1261" s="11"/>
      <c r="C1261" s="11"/>
      <c r="D1261" s="11">
        <v>4571063</v>
      </c>
      <c r="E1261" s="11">
        <v>4712880</v>
      </c>
    </row>
    <row r="1262" spans="1:5" x14ac:dyDescent="0.25">
      <c r="A1262" s="11" t="s">
        <v>1164</v>
      </c>
      <c r="B1262" s="11"/>
      <c r="C1262" s="11"/>
      <c r="D1262" s="11">
        <v>642911</v>
      </c>
      <c r="E1262" s="11">
        <v>237903</v>
      </c>
    </row>
    <row r="1263" spans="1:5" x14ac:dyDescent="0.25">
      <c r="A1263" s="11" t="s">
        <v>1165</v>
      </c>
      <c r="B1263" s="11"/>
      <c r="C1263" s="11"/>
      <c r="D1263" s="11">
        <v>383992</v>
      </c>
      <c r="E1263" s="11">
        <v>353528</v>
      </c>
    </row>
    <row r="1264" spans="1:5" x14ac:dyDescent="0.25">
      <c r="A1264" s="11" t="s">
        <v>1166</v>
      </c>
      <c r="B1264" s="11"/>
      <c r="C1264" s="11"/>
      <c r="D1264" s="11">
        <v>243873</v>
      </c>
      <c r="E1264" s="11">
        <v>243873</v>
      </c>
    </row>
    <row r="1265" spans="1:5" x14ac:dyDescent="0.25">
      <c r="A1265" s="11" t="s">
        <v>1167</v>
      </c>
      <c r="B1265" s="11"/>
      <c r="C1265" s="11"/>
      <c r="D1265" s="11">
        <v>3614914</v>
      </c>
      <c r="E1265" s="11">
        <v>2763279</v>
      </c>
    </row>
    <row r="1266" spans="1:5" x14ac:dyDescent="0.25">
      <c r="A1266" s="11" t="s">
        <v>1168</v>
      </c>
      <c r="B1266" s="11"/>
      <c r="C1266" s="11"/>
      <c r="D1266" s="11">
        <v>1058765</v>
      </c>
      <c r="E1266" s="11">
        <v>632646</v>
      </c>
    </row>
    <row r="1267" spans="1:5" x14ac:dyDescent="0.25">
      <c r="A1267" s="11" t="s">
        <v>1169</v>
      </c>
      <c r="B1267" s="11"/>
      <c r="C1267" s="11"/>
      <c r="D1267" s="11">
        <v>3836371</v>
      </c>
      <c r="E1267" s="11">
        <v>83658</v>
      </c>
    </row>
    <row r="1268" spans="1:5" x14ac:dyDescent="0.25">
      <c r="A1268" s="11" t="s">
        <v>1170</v>
      </c>
      <c r="B1268" s="11"/>
      <c r="C1268" s="11"/>
      <c r="D1268" s="11">
        <v>3158546</v>
      </c>
      <c r="E1268" s="11">
        <v>2301125</v>
      </c>
    </row>
    <row r="1269" spans="1:5" x14ac:dyDescent="0.25">
      <c r="A1269" s="11" t="s">
        <v>1171</v>
      </c>
      <c r="B1269" s="11"/>
      <c r="C1269" s="11"/>
      <c r="D1269" s="11">
        <v>140783601</v>
      </c>
      <c r="E1269" s="11">
        <v>112839290</v>
      </c>
    </row>
    <row r="1270" spans="1:5" x14ac:dyDescent="0.25">
      <c r="A1270" s="11" t="s">
        <v>1172</v>
      </c>
      <c r="B1270" s="11"/>
      <c r="C1270" s="11"/>
      <c r="D1270" s="11">
        <v>97427649</v>
      </c>
      <c r="E1270" s="11">
        <v>82427349</v>
      </c>
    </row>
    <row r="1271" spans="1:5" x14ac:dyDescent="0.25">
      <c r="A1271" s="11" t="s">
        <v>1173</v>
      </c>
      <c r="B1271" s="11"/>
      <c r="C1271" s="11"/>
      <c r="D1271" s="11">
        <v>97055000</v>
      </c>
      <c r="E1271" s="11">
        <v>82054700</v>
      </c>
    </row>
    <row r="1272" spans="1:5" x14ac:dyDescent="0.25">
      <c r="A1272" s="11" t="s">
        <v>1174</v>
      </c>
      <c r="B1272" s="11"/>
      <c r="C1272" s="11"/>
      <c r="D1272" s="11">
        <v>372649</v>
      </c>
      <c r="E1272" s="11">
        <v>372649</v>
      </c>
    </row>
    <row r="1273" spans="1:5" x14ac:dyDescent="0.25">
      <c r="A1273" s="11" t="s">
        <v>1175</v>
      </c>
      <c r="B1273" s="11"/>
      <c r="C1273" s="11"/>
      <c r="D1273" s="11">
        <v>17861001</v>
      </c>
      <c r="E1273" s="11">
        <v>14449123</v>
      </c>
    </row>
    <row r="1274" spans="1:5" x14ac:dyDescent="0.25">
      <c r="A1274" s="11" t="s">
        <v>1176</v>
      </c>
      <c r="B1274" s="11"/>
      <c r="C1274" s="11"/>
      <c r="D1274" s="11">
        <v>5854000</v>
      </c>
      <c r="E1274" s="11">
        <v>5161123</v>
      </c>
    </row>
    <row r="1275" spans="1:5" x14ac:dyDescent="0.25">
      <c r="A1275" s="11" t="s">
        <v>1177</v>
      </c>
      <c r="B1275" s="11"/>
      <c r="C1275" s="11"/>
      <c r="D1275" s="11">
        <v>12007001</v>
      </c>
      <c r="E1275" s="11">
        <v>9288000</v>
      </c>
    </row>
    <row r="1276" spans="1:5" x14ac:dyDescent="0.25">
      <c r="A1276" s="11" t="s">
        <v>1178</v>
      </c>
      <c r="B1276" s="11"/>
      <c r="C1276" s="11"/>
      <c r="D1276" s="11">
        <v>-143587</v>
      </c>
      <c r="E1276" s="11">
        <v>-71539</v>
      </c>
    </row>
    <row r="1277" spans="1:5" x14ac:dyDescent="0.25">
      <c r="A1277" s="11" t="s">
        <v>1179</v>
      </c>
      <c r="B1277" s="11"/>
      <c r="C1277" s="11"/>
      <c r="D1277" s="11">
        <v>-143587</v>
      </c>
      <c r="E1277" s="11">
        <v>-71539</v>
      </c>
    </row>
    <row r="1278" spans="1:5" x14ac:dyDescent="0.25">
      <c r="A1278" s="11" t="s">
        <v>1180</v>
      </c>
      <c r="B1278" s="11"/>
      <c r="C1278" s="11"/>
      <c r="D1278" s="11">
        <v>25638538</v>
      </c>
      <c r="E1278" s="11">
        <v>16034357</v>
      </c>
    </row>
    <row r="1279" spans="1:5" x14ac:dyDescent="0.25">
      <c r="A1279" s="11" t="s">
        <v>1181</v>
      </c>
      <c r="B1279" s="11"/>
      <c r="C1279" s="11"/>
      <c r="D1279" s="11">
        <v>13016059</v>
      </c>
      <c r="E1279" s="11">
        <v>13839502</v>
      </c>
    </row>
    <row r="1280" spans="1:5" x14ac:dyDescent="0.25">
      <c r="A1280" s="11" t="s">
        <v>1969</v>
      </c>
      <c r="B1280" s="11"/>
      <c r="C1280" s="11"/>
      <c r="D1280" s="11">
        <v>12622479</v>
      </c>
      <c r="E1280" s="11">
        <v>2194855</v>
      </c>
    </row>
    <row r="1281" spans="1:5" x14ac:dyDescent="0.25">
      <c r="A1281" s="11" t="s">
        <v>1182</v>
      </c>
      <c r="B1281" s="11"/>
      <c r="C1281" s="11"/>
      <c r="D1281" s="11">
        <v>873716290</v>
      </c>
      <c r="E1281" s="11">
        <v>911657949</v>
      </c>
    </row>
    <row r="1282" spans="1:5" x14ac:dyDescent="0.25">
      <c r="A1282" s="11" t="s">
        <v>1183</v>
      </c>
      <c r="B1282" s="11"/>
      <c r="C1282" s="11"/>
      <c r="D1282" s="11">
        <v>126227508</v>
      </c>
      <c r="E1282" s="11">
        <v>126638761</v>
      </c>
    </row>
    <row r="1283" spans="1:5" x14ac:dyDescent="0.25">
      <c r="A1283" s="11" t="s">
        <v>1184</v>
      </c>
      <c r="B1283" s="11"/>
      <c r="C1283" s="11"/>
      <c r="D1283" s="11">
        <v>999943798</v>
      </c>
      <c r="E1283" s="11">
        <v>1038296710</v>
      </c>
    </row>
    <row r="1284" spans="1:5" x14ac:dyDescent="0.25">
      <c r="A1284" s="11" t="s">
        <v>1185</v>
      </c>
      <c r="B1284" s="11"/>
      <c r="C1284" s="11"/>
      <c r="D1284" s="11">
        <v>26784574</v>
      </c>
      <c r="E1284" s="11">
        <v>23376171</v>
      </c>
    </row>
    <row r="1285" spans="1:5" x14ac:dyDescent="0.25">
      <c r="A1285" s="11" t="s">
        <v>1186</v>
      </c>
      <c r="B1285" s="11"/>
      <c r="C1285" s="11"/>
      <c r="D1285" s="11">
        <v>12815651</v>
      </c>
      <c r="E1285" s="11">
        <v>13137144</v>
      </c>
    </row>
    <row r="1286" spans="1:5" x14ac:dyDescent="0.25">
      <c r="A1286" s="11" t="s">
        <v>1187</v>
      </c>
      <c r="B1286" s="11"/>
      <c r="C1286" s="11"/>
      <c r="D1286" s="11">
        <v>11776530</v>
      </c>
      <c r="E1286" s="11">
        <v>7603374</v>
      </c>
    </row>
    <row r="1287" spans="1:5" x14ac:dyDescent="0.25">
      <c r="A1287" s="11" t="s">
        <v>1188</v>
      </c>
      <c r="B1287" s="11"/>
      <c r="C1287" s="11"/>
      <c r="D1287" s="11">
        <v>2192393</v>
      </c>
      <c r="E1287" s="11">
        <v>2635653</v>
      </c>
    </row>
    <row r="1288" spans="1:5" x14ac:dyDescent="0.25">
      <c r="A1288" s="11" t="s">
        <v>1189</v>
      </c>
      <c r="B1288" s="11"/>
      <c r="C1288" s="11"/>
      <c r="D1288" s="11">
        <v>5213637</v>
      </c>
      <c r="E1288" s="11">
        <v>4649914</v>
      </c>
    </row>
    <row r="1289" spans="1:5" x14ac:dyDescent="0.25">
      <c r="A1289" s="11" t="s">
        <v>1190</v>
      </c>
      <c r="B1289" s="11"/>
      <c r="C1289" s="11"/>
      <c r="D1289" s="11">
        <v>1108546</v>
      </c>
      <c r="E1289" s="11">
        <v>1021196</v>
      </c>
    </row>
    <row r="1290" spans="1:5" x14ac:dyDescent="0.25">
      <c r="A1290" s="11" t="s">
        <v>1191</v>
      </c>
      <c r="B1290" s="11"/>
      <c r="C1290" s="11"/>
      <c r="D1290" s="11">
        <v>1232136</v>
      </c>
      <c r="E1290" s="11">
        <v>819838</v>
      </c>
    </row>
    <row r="1291" spans="1:5" x14ac:dyDescent="0.25">
      <c r="A1291" s="11" t="s">
        <v>1192</v>
      </c>
      <c r="B1291" s="11"/>
      <c r="C1291" s="11"/>
      <c r="D1291" s="11">
        <v>2872955</v>
      </c>
      <c r="E1291" s="11">
        <v>2808880</v>
      </c>
    </row>
    <row r="1292" spans="1:5" x14ac:dyDescent="0.25">
      <c r="A1292" s="11" t="s">
        <v>1193</v>
      </c>
      <c r="B1292" s="11"/>
      <c r="C1292" s="11"/>
      <c r="D1292" s="11">
        <v>21570937</v>
      </c>
      <c r="E1292" s="11">
        <v>18726257</v>
      </c>
    </row>
    <row r="1293" spans="1:5" x14ac:dyDescent="0.25">
      <c r="A1293" s="11" t="s">
        <v>1194</v>
      </c>
      <c r="B1293" s="11"/>
      <c r="C1293" s="11"/>
      <c r="D1293" s="11">
        <v>5855854</v>
      </c>
      <c r="E1293" s="11">
        <v>6277341</v>
      </c>
    </row>
    <row r="1294" spans="1:5" x14ac:dyDescent="0.25">
      <c r="A1294" s="11" t="s">
        <v>1195</v>
      </c>
      <c r="B1294" s="11"/>
      <c r="C1294" s="11"/>
      <c r="D1294" s="11">
        <v>2946465</v>
      </c>
      <c r="E1294" s="11">
        <v>3121010</v>
      </c>
    </row>
    <row r="1295" spans="1:5" x14ac:dyDescent="0.25">
      <c r="A1295" s="11" t="s">
        <v>1196</v>
      </c>
      <c r="B1295" s="11"/>
      <c r="C1295" s="11"/>
      <c r="D1295" s="11">
        <v>508912</v>
      </c>
      <c r="E1295" s="11">
        <v>2937049</v>
      </c>
    </row>
    <row r="1296" spans="1:5" x14ac:dyDescent="0.25">
      <c r="A1296" s="11" t="s">
        <v>1197</v>
      </c>
      <c r="B1296" s="11"/>
      <c r="C1296" s="11"/>
      <c r="D1296" s="11">
        <v>2400477</v>
      </c>
      <c r="E1296" s="11">
        <v>219282</v>
      </c>
    </row>
    <row r="1297" spans="1:5" x14ac:dyDescent="0.25">
      <c r="A1297" s="11" t="s">
        <v>1198</v>
      </c>
      <c r="B1297" s="11"/>
      <c r="C1297" s="11"/>
      <c r="D1297" s="11">
        <v>628835</v>
      </c>
      <c r="E1297" s="11">
        <v>461029</v>
      </c>
    </row>
    <row r="1298" spans="1:5" x14ac:dyDescent="0.25">
      <c r="A1298" s="11" t="s">
        <v>1199</v>
      </c>
      <c r="B1298" s="11"/>
      <c r="C1298" s="11"/>
      <c r="D1298" s="11">
        <v>95155</v>
      </c>
      <c r="E1298" s="11">
        <v>98605</v>
      </c>
    </row>
    <row r="1299" spans="1:5" x14ac:dyDescent="0.25">
      <c r="A1299" s="11" t="s">
        <v>1200</v>
      </c>
      <c r="B1299" s="11"/>
      <c r="C1299" s="11"/>
      <c r="D1299" s="11">
        <v>34980</v>
      </c>
      <c r="E1299" s="11">
        <v>34012</v>
      </c>
    </row>
    <row r="1300" spans="1:5" x14ac:dyDescent="0.25">
      <c r="A1300" s="11" t="s">
        <v>1201</v>
      </c>
      <c r="B1300" s="11"/>
      <c r="C1300" s="11"/>
      <c r="D1300" s="11">
        <v>498700</v>
      </c>
      <c r="E1300" s="11">
        <v>328412</v>
      </c>
    </row>
    <row r="1301" spans="1:5" x14ac:dyDescent="0.25">
      <c r="A1301" s="11" t="s">
        <v>1202</v>
      </c>
      <c r="B1301" s="11"/>
      <c r="C1301" s="11"/>
      <c r="D1301" s="11">
        <v>5227019</v>
      </c>
      <c r="E1301" s="11">
        <v>5816312</v>
      </c>
    </row>
    <row r="1302" spans="1:5" x14ac:dyDescent="0.25">
      <c r="A1302" s="11" t="s">
        <v>1203</v>
      </c>
      <c r="B1302" s="11"/>
      <c r="C1302" s="11"/>
      <c r="D1302" s="11">
        <v>26797956</v>
      </c>
      <c r="E1302" s="11">
        <v>24542569</v>
      </c>
    </row>
    <row r="1303" spans="1:5" x14ac:dyDescent="0.25">
      <c r="A1303" s="11" t="s">
        <v>1204</v>
      </c>
      <c r="B1303" s="11"/>
      <c r="C1303" s="11"/>
      <c r="D1303" s="11">
        <v>15722473</v>
      </c>
      <c r="E1303" s="11">
        <v>2909236</v>
      </c>
    </row>
    <row r="1304" spans="1:5" x14ac:dyDescent="0.25">
      <c r="A1304" s="11" t="s">
        <v>1205</v>
      </c>
      <c r="B1304" s="11"/>
      <c r="C1304" s="11"/>
      <c r="D1304" s="11">
        <v>14977498</v>
      </c>
      <c r="E1304" s="11">
        <v>2728928</v>
      </c>
    </row>
    <row r="1305" spans="1:5" x14ac:dyDescent="0.25">
      <c r="A1305" s="11" t="s">
        <v>1206</v>
      </c>
      <c r="B1305" s="11"/>
      <c r="C1305" s="11"/>
      <c r="D1305" s="11">
        <v>744975</v>
      </c>
      <c r="E1305" s="11">
        <v>180308</v>
      </c>
    </row>
    <row r="1306" spans="1:5" x14ac:dyDescent="0.25">
      <c r="A1306" s="11" t="s">
        <v>1207</v>
      </c>
      <c r="B1306" s="11"/>
      <c r="C1306" s="11"/>
      <c r="D1306" s="11">
        <v>28932265</v>
      </c>
      <c r="E1306" s="11">
        <v>20534848</v>
      </c>
    </row>
    <row r="1307" spans="1:5" x14ac:dyDescent="0.25">
      <c r="A1307" s="11" t="s">
        <v>1208</v>
      </c>
      <c r="B1307" s="11"/>
      <c r="C1307" s="11"/>
      <c r="D1307" s="11">
        <v>13956403</v>
      </c>
      <c r="E1307" s="11">
        <v>5707172</v>
      </c>
    </row>
    <row r="1308" spans="1:5" x14ac:dyDescent="0.25">
      <c r="A1308" s="11" t="s">
        <v>1209</v>
      </c>
      <c r="B1308" s="11"/>
      <c r="C1308" s="11"/>
      <c r="D1308" s="11">
        <v>742759</v>
      </c>
      <c r="E1308" s="11">
        <v>355110</v>
      </c>
    </row>
    <row r="1309" spans="1:5" x14ac:dyDescent="0.25">
      <c r="A1309" s="11" t="s">
        <v>1210</v>
      </c>
      <c r="B1309" s="11"/>
      <c r="C1309" s="11"/>
      <c r="D1309" s="11">
        <v>56813</v>
      </c>
      <c r="E1309" s="11">
        <v>224704</v>
      </c>
    </row>
    <row r="1310" spans="1:5" x14ac:dyDescent="0.25">
      <c r="A1310" s="11" t="s">
        <v>1211</v>
      </c>
      <c r="B1310" s="11"/>
      <c r="C1310" s="11"/>
      <c r="D1310" s="11">
        <v>5976291</v>
      </c>
      <c r="E1310" s="11">
        <v>6687243</v>
      </c>
    </row>
    <row r="1311" spans="1:5" x14ac:dyDescent="0.25">
      <c r="A1311" s="11" t="s">
        <v>1212</v>
      </c>
      <c r="B1311" s="11"/>
      <c r="C1311" s="11"/>
      <c r="D1311" s="11">
        <v>22670</v>
      </c>
      <c r="E1311" s="11">
        <v>0</v>
      </c>
    </row>
    <row r="1312" spans="1:5" x14ac:dyDescent="0.25">
      <c r="A1312" s="11" t="s">
        <v>1213</v>
      </c>
      <c r="B1312" s="11"/>
      <c r="C1312" s="11"/>
      <c r="D1312" s="11">
        <v>383661</v>
      </c>
      <c r="E1312" s="11">
        <v>8261</v>
      </c>
    </row>
    <row r="1313" spans="1:5" x14ac:dyDescent="0.25">
      <c r="A1313" s="11" t="s">
        <v>1214</v>
      </c>
      <c r="B1313" s="11"/>
      <c r="C1313" s="11"/>
      <c r="D1313" s="11">
        <v>455547</v>
      </c>
      <c r="E1313" s="11">
        <v>500948</v>
      </c>
    </row>
    <row r="1314" spans="1:5" x14ac:dyDescent="0.25">
      <c r="A1314" s="11" t="s">
        <v>1215</v>
      </c>
      <c r="B1314" s="11"/>
      <c r="C1314" s="11"/>
      <c r="D1314" s="11">
        <v>1266505</v>
      </c>
      <c r="E1314" s="11">
        <v>1346622</v>
      </c>
    </row>
    <row r="1315" spans="1:5" x14ac:dyDescent="0.25">
      <c r="A1315" s="11" t="s">
        <v>1216</v>
      </c>
      <c r="B1315" s="11"/>
      <c r="C1315" s="11"/>
      <c r="D1315" s="11">
        <v>2214701</v>
      </c>
      <c r="E1315" s="11">
        <v>2115629</v>
      </c>
    </row>
    <row r="1316" spans="1:5" x14ac:dyDescent="0.25">
      <c r="A1316" s="11" t="s">
        <v>1217</v>
      </c>
      <c r="B1316" s="11"/>
      <c r="C1316" s="11"/>
      <c r="D1316" s="11">
        <v>3474637</v>
      </c>
      <c r="E1316" s="11">
        <v>3211884</v>
      </c>
    </row>
    <row r="1317" spans="1:5" x14ac:dyDescent="0.25">
      <c r="A1317" s="11" t="s">
        <v>1218</v>
      </c>
      <c r="B1317" s="11"/>
      <c r="C1317" s="11"/>
      <c r="D1317" s="11">
        <v>379843</v>
      </c>
      <c r="E1317" s="11">
        <v>343542</v>
      </c>
    </row>
    <row r="1318" spans="1:5" x14ac:dyDescent="0.25">
      <c r="A1318" s="11" t="s">
        <v>1219</v>
      </c>
      <c r="B1318" s="11"/>
      <c r="C1318" s="11"/>
      <c r="D1318" s="11">
        <v>2435</v>
      </c>
      <c r="E1318" s="11">
        <v>33733</v>
      </c>
    </row>
    <row r="1319" spans="1:5" x14ac:dyDescent="0.25">
      <c r="A1319" s="11" t="s">
        <v>1220</v>
      </c>
      <c r="B1319" s="11"/>
      <c r="C1319" s="11"/>
      <c r="D1319" s="11">
        <v>13209792</v>
      </c>
      <c r="E1319" s="11">
        <v>17625612</v>
      </c>
    </row>
    <row r="1320" spans="1:5" x14ac:dyDescent="0.25">
      <c r="A1320" s="11" t="s">
        <v>1221</v>
      </c>
      <c r="B1320" s="11"/>
      <c r="C1320" s="11"/>
      <c r="D1320" s="11">
        <v>53095</v>
      </c>
      <c r="E1320" s="11">
        <v>6655</v>
      </c>
    </row>
    <row r="1321" spans="1:5" x14ac:dyDescent="0.25">
      <c r="A1321" s="11" t="s">
        <v>1222</v>
      </c>
      <c r="B1321" s="11"/>
      <c r="C1321" s="11"/>
      <c r="D1321" s="11">
        <v>43858</v>
      </c>
      <c r="E1321" s="11">
        <v>6655</v>
      </c>
    </row>
    <row r="1322" spans="1:5" x14ac:dyDescent="0.25">
      <c r="A1322" s="11" t="s">
        <v>1970</v>
      </c>
      <c r="B1322" s="11"/>
      <c r="C1322" s="11"/>
      <c r="D1322" s="11">
        <v>4139</v>
      </c>
      <c r="E1322" s="11">
        <v>0</v>
      </c>
    </row>
    <row r="1323" spans="1:5" x14ac:dyDescent="0.25">
      <c r="A1323" s="11" t="s">
        <v>1223</v>
      </c>
      <c r="B1323" s="11"/>
      <c r="C1323" s="11"/>
      <c r="D1323" s="11">
        <v>5098</v>
      </c>
      <c r="E1323" s="11">
        <v>0</v>
      </c>
    </row>
    <row r="1324" spans="1:5" x14ac:dyDescent="0.25">
      <c r="A1324" s="11" t="s">
        <v>1224</v>
      </c>
      <c r="B1324" s="11"/>
      <c r="C1324" s="11"/>
      <c r="D1324" s="11">
        <v>23454</v>
      </c>
      <c r="E1324" s="11">
        <v>0</v>
      </c>
    </row>
    <row r="1325" spans="1:5" x14ac:dyDescent="0.25">
      <c r="A1325" s="11" t="s">
        <v>1225</v>
      </c>
      <c r="B1325" s="11"/>
      <c r="C1325" s="11"/>
      <c r="D1325" s="11">
        <v>23454</v>
      </c>
      <c r="E1325" s="11">
        <v>0</v>
      </c>
    </row>
    <row r="1326" spans="1:5" x14ac:dyDescent="0.25">
      <c r="A1326" s="11" t="s">
        <v>1226</v>
      </c>
      <c r="B1326" s="11"/>
      <c r="C1326" s="11"/>
      <c r="D1326" s="11">
        <v>29641</v>
      </c>
      <c r="E1326" s="11">
        <v>6655</v>
      </c>
    </row>
    <row r="1327" spans="1:5" x14ac:dyDescent="0.25">
      <c r="A1327" s="11" t="s">
        <v>1227</v>
      </c>
      <c r="B1327" s="11"/>
      <c r="C1327" s="11"/>
      <c r="D1327" s="11">
        <v>13617805</v>
      </c>
      <c r="E1327" s="11">
        <v>6923612</v>
      </c>
    </row>
    <row r="1328" spans="1:5" x14ac:dyDescent="0.25">
      <c r="A1328" s="11" t="s">
        <v>1228</v>
      </c>
      <c r="B1328" s="11"/>
      <c r="C1328" s="11"/>
      <c r="D1328" s="11">
        <v>48489544</v>
      </c>
      <c r="E1328" s="11">
        <v>13184506</v>
      </c>
    </row>
    <row r="1329" spans="1:5" x14ac:dyDescent="0.25">
      <c r="A1329" s="11" t="s">
        <v>1229</v>
      </c>
      <c r="B1329" s="11"/>
      <c r="C1329" s="11"/>
      <c r="D1329" s="11">
        <v>48489544</v>
      </c>
      <c r="E1329" s="11">
        <v>13184506</v>
      </c>
    </row>
    <row r="1330" spans="1:5" x14ac:dyDescent="0.25">
      <c r="A1330" s="11" t="s">
        <v>1230</v>
      </c>
      <c r="B1330" s="11"/>
      <c r="C1330" s="11"/>
      <c r="D1330" s="11">
        <v>47889966</v>
      </c>
      <c r="E1330" s="11">
        <v>13094642</v>
      </c>
    </row>
    <row r="1331" spans="1:5" x14ac:dyDescent="0.25">
      <c r="A1331" s="11" t="s">
        <v>1231</v>
      </c>
      <c r="B1331" s="11"/>
      <c r="C1331" s="11"/>
      <c r="D1331" s="11">
        <v>0</v>
      </c>
      <c r="E1331" s="11">
        <v>4980</v>
      </c>
    </row>
    <row r="1332" spans="1:5" x14ac:dyDescent="0.25">
      <c r="A1332" s="11" t="s">
        <v>1232</v>
      </c>
      <c r="B1332" s="11"/>
      <c r="C1332" s="11"/>
      <c r="D1332" s="11">
        <v>47889966</v>
      </c>
      <c r="E1332" s="11">
        <v>13089662</v>
      </c>
    </row>
    <row r="1333" spans="1:5" x14ac:dyDescent="0.25">
      <c r="A1333" s="11" t="s">
        <v>1233</v>
      </c>
      <c r="B1333" s="11"/>
      <c r="C1333" s="11"/>
      <c r="D1333" s="11">
        <v>599578</v>
      </c>
      <c r="E1333" s="11">
        <v>89864</v>
      </c>
    </row>
    <row r="1334" spans="1:5" x14ac:dyDescent="0.25">
      <c r="A1334" s="11" t="s">
        <v>1234</v>
      </c>
      <c r="B1334" s="11"/>
      <c r="C1334" s="11"/>
      <c r="D1334" s="11">
        <v>14217383</v>
      </c>
      <c r="E1334" s="11">
        <v>7013476</v>
      </c>
    </row>
    <row r="1335" spans="1:5" x14ac:dyDescent="0.25">
      <c r="A1335" s="11" t="s">
        <v>1235</v>
      </c>
      <c r="B1335" s="11"/>
      <c r="C1335" s="11"/>
      <c r="D1335" s="11">
        <v>1201324</v>
      </c>
      <c r="E1335" s="11">
        <v>733057</v>
      </c>
    </row>
    <row r="1336" spans="1:5" x14ac:dyDescent="0.25">
      <c r="A1336" s="11" t="s">
        <v>1236</v>
      </c>
      <c r="B1336" s="11"/>
      <c r="C1336" s="11"/>
      <c r="D1336" s="11">
        <v>13016059</v>
      </c>
      <c r="E1336" s="11">
        <v>6280419</v>
      </c>
    </row>
    <row r="1337" spans="1:5" x14ac:dyDescent="0.25">
      <c r="A1337" s="11" t="s">
        <v>1237</v>
      </c>
      <c r="B1337" s="11"/>
      <c r="C1337" s="11"/>
      <c r="D1337" s="11">
        <v>72048</v>
      </c>
      <c r="E1337" s="11">
        <v>12327</v>
      </c>
    </row>
    <row r="1338" spans="1:5" x14ac:dyDescent="0.25">
      <c r="A1338" s="11" t="s">
        <v>1238</v>
      </c>
      <c r="B1338" s="11"/>
      <c r="C1338" s="11"/>
      <c r="D1338" s="11">
        <v>72048</v>
      </c>
      <c r="E1338" s="11">
        <v>12327</v>
      </c>
    </row>
    <row r="1339" spans="1:5" x14ac:dyDescent="0.25">
      <c r="A1339" s="11" t="s">
        <v>1239</v>
      </c>
      <c r="B1339" s="11"/>
      <c r="C1339" s="11"/>
      <c r="D1339" s="11">
        <v>-72048</v>
      </c>
      <c r="E1339" s="11">
        <v>-12327</v>
      </c>
    </row>
    <row r="1340" spans="1:5" x14ac:dyDescent="0.25">
      <c r="A1340" s="11" t="s">
        <v>1240</v>
      </c>
      <c r="B1340" s="11"/>
      <c r="C1340" s="11"/>
      <c r="D1340" s="11">
        <v>-72048</v>
      </c>
      <c r="E1340" s="11">
        <v>-12327</v>
      </c>
    </row>
    <row r="1341" spans="1:5" x14ac:dyDescent="0.25">
      <c r="A1341" s="11" t="s">
        <v>1241</v>
      </c>
      <c r="B1341" s="11"/>
      <c r="C1341" s="11"/>
      <c r="D1341" s="11">
        <v>12944011</v>
      </c>
      <c r="E1341" s="11">
        <v>6268092</v>
      </c>
    </row>
    <row r="1342" spans="1:5" x14ac:dyDescent="0.25">
      <c r="A1342" s="11" t="s">
        <v>1242</v>
      </c>
      <c r="B1342" s="11"/>
      <c r="C1342" s="11"/>
      <c r="D1342" s="11">
        <v>94</v>
      </c>
      <c r="E1342" s="11">
        <v>54</v>
      </c>
    </row>
    <row r="1343" spans="1:5" x14ac:dyDescent="0.25">
      <c r="A1343" s="11" t="s">
        <v>1243</v>
      </c>
      <c r="B1343" s="11"/>
      <c r="C1343" s="11"/>
      <c r="D1343" s="11">
        <v>425</v>
      </c>
      <c r="E1343" s="11">
        <v>446</v>
      </c>
    </row>
    <row r="1344" spans="1:5" x14ac:dyDescent="0.25">
      <c r="A1344" s="11" t="s">
        <v>1244</v>
      </c>
      <c r="B1344" s="11"/>
      <c r="C1344" s="11"/>
      <c r="D1344" s="11">
        <v>425</v>
      </c>
      <c r="E1344" s="11">
        <v>449</v>
      </c>
    </row>
    <row r="1345" spans="1:5" x14ac:dyDescent="0.25">
      <c r="A1345" s="93" t="s">
        <v>1245</v>
      </c>
      <c r="B1345" s="93"/>
      <c r="C1345" s="93"/>
      <c r="D1345" s="93">
        <v>32589</v>
      </c>
      <c r="E1345" s="93">
        <v>28051</v>
      </c>
    </row>
    <row r="1346" spans="1:5" x14ac:dyDescent="0.25">
      <c r="A1346" s="93" t="s">
        <v>1245</v>
      </c>
      <c r="B1346" s="93"/>
      <c r="C1346" s="93"/>
      <c r="D1346" s="93">
        <v>732932689</v>
      </c>
      <c r="E1346" s="93">
        <v>798818659</v>
      </c>
    </row>
    <row r="1347" spans="1:5" x14ac:dyDescent="0.25">
      <c r="A1347" s="93" t="s">
        <v>1245</v>
      </c>
      <c r="B1347" s="93"/>
      <c r="C1347" s="93"/>
      <c r="D1347" s="93">
        <v>26784574</v>
      </c>
      <c r="E1347" s="93">
        <v>23376171</v>
      </c>
    </row>
    <row r="1348" spans="1:5" x14ac:dyDescent="0.25">
      <c r="A1348" s="93" t="s">
        <v>1246</v>
      </c>
      <c r="B1348" s="93"/>
      <c r="C1348" s="93"/>
      <c r="D1348" s="93">
        <v>3893</v>
      </c>
      <c r="E1348" s="93">
        <v>3459</v>
      </c>
    </row>
    <row r="1349" spans="1:5" x14ac:dyDescent="0.25">
      <c r="A1349" s="93" t="s">
        <v>1246</v>
      </c>
      <c r="B1349" s="93"/>
      <c r="C1349" s="93"/>
      <c r="D1349" s="93">
        <v>714818464</v>
      </c>
      <c r="E1349" s="93">
        <v>787487323</v>
      </c>
    </row>
    <row r="1350" spans="1:5" x14ac:dyDescent="0.25">
      <c r="A1350" s="93" t="s">
        <v>1246</v>
      </c>
      <c r="B1350" s="93"/>
      <c r="C1350" s="93"/>
      <c r="D1350" s="93">
        <v>12815651</v>
      </c>
      <c r="E1350" s="93">
        <v>13137144</v>
      </c>
    </row>
    <row r="1351" spans="1:5" x14ac:dyDescent="0.25">
      <c r="A1351" s="93" t="s">
        <v>1247</v>
      </c>
      <c r="B1351" s="93"/>
      <c r="C1351" s="93"/>
      <c r="D1351" s="93">
        <v>0</v>
      </c>
      <c r="E1351" s="93">
        <v>661</v>
      </c>
    </row>
    <row r="1352" spans="1:5" x14ac:dyDescent="0.25">
      <c r="A1352" s="93" t="s">
        <v>1247</v>
      </c>
      <c r="B1352" s="93"/>
      <c r="C1352" s="93"/>
      <c r="D1352" s="93">
        <v>253078628</v>
      </c>
      <c r="E1352" s="93">
        <v>263565667</v>
      </c>
    </row>
    <row r="1353" spans="1:5" x14ac:dyDescent="0.25">
      <c r="A1353" s="93" t="s">
        <v>1247</v>
      </c>
      <c r="B1353" s="93"/>
      <c r="C1353" s="93"/>
      <c r="D1353" s="93">
        <v>11776530</v>
      </c>
      <c r="E1353" s="93">
        <v>7603374</v>
      </c>
    </row>
    <row r="1354" spans="1:5" x14ac:dyDescent="0.25">
      <c r="A1354" s="93" t="s">
        <v>1248</v>
      </c>
      <c r="B1354" s="93"/>
      <c r="C1354" s="93"/>
      <c r="D1354" s="93">
        <v>10408</v>
      </c>
      <c r="E1354" s="93">
        <v>10335</v>
      </c>
    </row>
    <row r="1355" spans="1:5" x14ac:dyDescent="0.25">
      <c r="A1355" s="93" t="s">
        <v>1248</v>
      </c>
      <c r="B1355" s="93"/>
      <c r="C1355" s="93"/>
      <c r="D1355" s="93">
        <v>96844749</v>
      </c>
      <c r="E1355" s="93">
        <v>90282805</v>
      </c>
    </row>
    <row r="1356" spans="1:5" x14ac:dyDescent="0.25">
      <c r="A1356" s="93" t="s">
        <v>1248</v>
      </c>
      <c r="B1356" s="93"/>
      <c r="C1356" s="93"/>
      <c r="D1356" s="93">
        <v>2192393</v>
      </c>
      <c r="E1356" s="93">
        <v>2635653</v>
      </c>
    </row>
    <row r="1357" spans="1:5" x14ac:dyDescent="0.25">
      <c r="A1357" s="93" t="s">
        <v>2265</v>
      </c>
      <c r="B1357" s="93"/>
      <c r="C1357" s="93"/>
      <c r="D1357" s="93">
        <v>364895087</v>
      </c>
      <c r="E1357" s="93">
        <v>433638851</v>
      </c>
    </row>
    <row r="1358" spans="1:5" x14ac:dyDescent="0.25">
      <c r="A1358" s="93" t="s">
        <v>2265</v>
      </c>
      <c r="B1358" s="93"/>
      <c r="C1358" s="93"/>
      <c r="D1358" s="93">
        <v>5213637</v>
      </c>
      <c r="E1358" s="93">
        <v>4649914</v>
      </c>
    </row>
    <row r="1359" spans="1:5" x14ac:dyDescent="0.25">
      <c r="A1359" s="93" t="s">
        <v>1249</v>
      </c>
      <c r="B1359" s="93"/>
      <c r="C1359" s="93"/>
      <c r="D1359" s="93">
        <v>4144</v>
      </c>
      <c r="E1359" s="93">
        <v>0</v>
      </c>
    </row>
    <row r="1360" spans="1:5" x14ac:dyDescent="0.25">
      <c r="A1360" s="93" t="s">
        <v>1249</v>
      </c>
      <c r="B1360" s="93"/>
      <c r="C1360" s="93"/>
      <c r="D1360" s="93">
        <v>20537</v>
      </c>
      <c r="E1360" s="93">
        <v>2444</v>
      </c>
    </row>
    <row r="1361" spans="1:5" x14ac:dyDescent="0.25">
      <c r="A1361" s="93" t="s">
        <v>1249</v>
      </c>
      <c r="B1361" s="93"/>
      <c r="C1361" s="93"/>
      <c r="D1361" s="93">
        <v>1108546</v>
      </c>
      <c r="E1361" s="93">
        <v>1021196</v>
      </c>
    </row>
    <row r="1362" spans="1:5" x14ac:dyDescent="0.25">
      <c r="A1362" s="93" t="s">
        <v>1249</v>
      </c>
      <c r="B1362" s="93"/>
      <c r="C1362" s="93"/>
      <c r="D1362" s="93">
        <v>72048</v>
      </c>
      <c r="E1362" s="93">
        <v>12327</v>
      </c>
    </row>
    <row r="1363" spans="1:5" x14ac:dyDescent="0.25">
      <c r="A1363" s="93" t="s">
        <v>2266</v>
      </c>
      <c r="B1363" s="93"/>
      <c r="C1363" s="93"/>
      <c r="D1363" s="93">
        <v>17734</v>
      </c>
      <c r="E1363" s="93">
        <v>146</v>
      </c>
    </row>
    <row r="1364" spans="1:5" x14ac:dyDescent="0.25">
      <c r="A1364" s="93" t="s">
        <v>2266</v>
      </c>
      <c r="B1364" s="93"/>
      <c r="C1364" s="93"/>
      <c r="D1364" s="93">
        <v>1232136</v>
      </c>
      <c r="E1364" s="93">
        <v>819838</v>
      </c>
    </row>
    <row r="1365" spans="1:5" x14ac:dyDescent="0.25">
      <c r="A1365" s="93" t="s">
        <v>2266</v>
      </c>
      <c r="B1365" s="93"/>
      <c r="C1365" s="93"/>
      <c r="D1365" s="93">
        <v>72048</v>
      </c>
      <c r="E1365" s="93">
        <v>12327</v>
      </c>
    </row>
    <row r="1366" spans="1:5" x14ac:dyDescent="0.25">
      <c r="A1366" s="93" t="s">
        <v>1250</v>
      </c>
      <c r="B1366" s="93"/>
      <c r="C1366" s="93"/>
      <c r="D1366" s="93">
        <v>-5915</v>
      </c>
      <c r="E1366" s="93">
        <v>5897</v>
      </c>
    </row>
    <row r="1367" spans="1:5" x14ac:dyDescent="0.25">
      <c r="A1367" s="93" t="s">
        <v>1250</v>
      </c>
      <c r="B1367" s="93"/>
      <c r="C1367" s="93"/>
      <c r="D1367" s="93">
        <v>2803</v>
      </c>
      <c r="E1367" s="93">
        <v>2298</v>
      </c>
    </row>
    <row r="1368" spans="1:5" x14ac:dyDescent="0.25">
      <c r="A1368" s="93" t="s">
        <v>1250</v>
      </c>
      <c r="B1368" s="93"/>
      <c r="C1368" s="93"/>
      <c r="D1368" s="93">
        <v>2872955</v>
      </c>
      <c r="E1368" s="93">
        <v>2808880</v>
      </c>
    </row>
    <row r="1369" spans="1:5" x14ac:dyDescent="0.25">
      <c r="A1369" s="93" t="s">
        <v>2271</v>
      </c>
      <c r="B1369" s="93"/>
      <c r="C1369" s="93"/>
      <c r="D1369" s="93">
        <v>21570937</v>
      </c>
      <c r="E1369" s="93">
        <v>18726257</v>
      </c>
    </row>
    <row r="1370" spans="1:5" x14ac:dyDescent="0.25">
      <c r="A1370" s="93" t="s">
        <v>1251</v>
      </c>
      <c r="B1370" s="93"/>
      <c r="C1370" s="93"/>
      <c r="D1370" s="93">
        <v>-61029</v>
      </c>
      <c r="E1370" s="93">
        <v>-8999</v>
      </c>
    </row>
    <row r="1371" spans="1:5" x14ac:dyDescent="0.25">
      <c r="A1371" s="93" t="s">
        <v>1252</v>
      </c>
      <c r="B1371" s="93"/>
      <c r="C1371" s="93"/>
      <c r="D1371" s="93">
        <v>1171</v>
      </c>
      <c r="E1371" s="93">
        <v>1378</v>
      </c>
    </row>
    <row r="1372" spans="1:5" x14ac:dyDescent="0.25">
      <c r="A1372" s="93" t="s">
        <v>1252</v>
      </c>
      <c r="B1372" s="93"/>
      <c r="C1372" s="93"/>
      <c r="D1372" s="93">
        <v>2210712</v>
      </c>
      <c r="E1372" s="93">
        <v>2714133</v>
      </c>
    </row>
    <row r="1373" spans="1:5" x14ac:dyDescent="0.25">
      <c r="A1373" s="93" t="s">
        <v>1252</v>
      </c>
      <c r="B1373" s="93"/>
      <c r="C1373" s="93"/>
      <c r="D1373" s="93">
        <v>5855854</v>
      </c>
      <c r="E1373" s="93">
        <v>6277341</v>
      </c>
    </row>
    <row r="1374" spans="1:5" x14ac:dyDescent="0.25">
      <c r="A1374" s="93" t="s">
        <v>1253</v>
      </c>
      <c r="B1374" s="93"/>
      <c r="C1374" s="93"/>
      <c r="D1374" s="93">
        <v>-45683</v>
      </c>
      <c r="E1374" s="93">
        <v>10438</v>
      </c>
    </row>
    <row r="1375" spans="1:5" x14ac:dyDescent="0.25">
      <c r="A1375" s="93" t="s">
        <v>1253</v>
      </c>
      <c r="B1375" s="93"/>
      <c r="C1375" s="93"/>
      <c r="D1375" s="93">
        <v>1738660</v>
      </c>
      <c r="E1375" s="93">
        <v>2311847</v>
      </c>
    </row>
    <row r="1376" spans="1:5" x14ac:dyDescent="0.25">
      <c r="A1376" s="93" t="s">
        <v>1253</v>
      </c>
      <c r="B1376" s="93"/>
      <c r="C1376" s="93"/>
      <c r="D1376" s="93">
        <v>2946465</v>
      </c>
      <c r="E1376" s="93">
        <v>3121010</v>
      </c>
    </row>
    <row r="1377" spans="1:5" x14ac:dyDescent="0.25">
      <c r="A1377" s="93" t="s">
        <v>1253</v>
      </c>
      <c r="B1377" s="93"/>
      <c r="C1377" s="93"/>
      <c r="D1377" s="93">
        <v>-72048</v>
      </c>
      <c r="E1377" s="93">
        <v>-12327</v>
      </c>
    </row>
    <row r="1378" spans="1:5" x14ac:dyDescent="0.25">
      <c r="A1378" s="93" t="s">
        <v>2246</v>
      </c>
      <c r="B1378" s="93"/>
      <c r="C1378" s="93"/>
      <c r="D1378" s="93">
        <v>472052</v>
      </c>
      <c r="E1378" s="93">
        <v>402286</v>
      </c>
    </row>
    <row r="1379" spans="1:5" x14ac:dyDescent="0.25">
      <c r="A1379" s="93" t="s">
        <v>2246</v>
      </c>
      <c r="B1379" s="93"/>
      <c r="C1379" s="93"/>
      <c r="D1379" s="93">
        <v>18093688</v>
      </c>
      <c r="E1379" s="93">
        <v>11328892</v>
      </c>
    </row>
    <row r="1380" spans="1:5" x14ac:dyDescent="0.25">
      <c r="A1380" s="93" t="s">
        <v>2246</v>
      </c>
      <c r="B1380" s="93"/>
      <c r="C1380" s="93"/>
      <c r="D1380" s="93">
        <v>508912</v>
      </c>
      <c r="E1380" s="93">
        <v>2937049</v>
      </c>
    </row>
    <row r="1381" spans="1:5" x14ac:dyDescent="0.25">
      <c r="A1381" s="93" t="s">
        <v>2247</v>
      </c>
      <c r="B1381" s="93"/>
      <c r="C1381" s="93"/>
      <c r="D1381" s="93">
        <v>643968396</v>
      </c>
      <c r="E1381" s="93">
        <v>626820532</v>
      </c>
    </row>
    <row r="1382" spans="1:5" x14ac:dyDescent="0.25">
      <c r="A1382" s="93" t="s">
        <v>2247</v>
      </c>
      <c r="B1382" s="93"/>
      <c r="C1382" s="93"/>
      <c r="D1382" s="93">
        <v>583253</v>
      </c>
      <c r="E1382" s="93">
        <v>0</v>
      </c>
    </row>
    <row r="1383" spans="1:5" x14ac:dyDescent="0.25">
      <c r="A1383" s="93" t="s">
        <v>2247</v>
      </c>
      <c r="B1383" s="93"/>
      <c r="C1383" s="93"/>
      <c r="D1383" s="93">
        <v>2400477</v>
      </c>
      <c r="E1383" s="93">
        <v>219282</v>
      </c>
    </row>
    <row r="1384" spans="1:5" x14ac:dyDescent="0.25">
      <c r="A1384" s="93" t="s">
        <v>2247</v>
      </c>
      <c r="B1384" s="93"/>
      <c r="C1384" s="93"/>
      <c r="D1384" s="93">
        <v>-72048</v>
      </c>
      <c r="E1384" s="93">
        <v>-12327</v>
      </c>
    </row>
    <row r="1385" spans="1:5" x14ac:dyDescent="0.25">
      <c r="A1385" s="93" t="s">
        <v>2248</v>
      </c>
      <c r="B1385" s="93"/>
      <c r="C1385" s="93"/>
      <c r="D1385" s="93">
        <v>188796277</v>
      </c>
      <c r="E1385" s="93">
        <v>197708141</v>
      </c>
    </row>
    <row r="1386" spans="1:5" x14ac:dyDescent="0.25">
      <c r="A1386" s="93" t="s">
        <v>2248</v>
      </c>
      <c r="B1386" s="93"/>
      <c r="C1386" s="93"/>
      <c r="D1386" s="93">
        <v>4571063</v>
      </c>
      <c r="E1386" s="93">
        <v>4712880</v>
      </c>
    </row>
    <row r="1387" spans="1:5" x14ac:dyDescent="0.25">
      <c r="A1387" s="93" t="s">
        <v>2248</v>
      </c>
      <c r="B1387" s="93"/>
      <c r="C1387" s="93"/>
      <c r="D1387" s="93">
        <v>628835</v>
      </c>
      <c r="E1387" s="93">
        <v>461029</v>
      </c>
    </row>
    <row r="1388" spans="1:5" x14ac:dyDescent="0.25">
      <c r="A1388" s="93" t="s">
        <v>2248</v>
      </c>
      <c r="B1388" s="93"/>
      <c r="C1388" s="93"/>
      <c r="D1388" s="93">
        <v>12944011</v>
      </c>
      <c r="E1388" s="93">
        <v>6268092</v>
      </c>
    </row>
    <row r="1389" spans="1:5" x14ac:dyDescent="0.25">
      <c r="A1389" s="93" t="s">
        <v>1254</v>
      </c>
      <c r="B1389" s="93"/>
      <c r="C1389" s="93"/>
      <c r="D1389" s="93">
        <v>38809</v>
      </c>
      <c r="E1389" s="93">
        <v>369</v>
      </c>
    </row>
    <row r="1390" spans="1:5" x14ac:dyDescent="0.25">
      <c r="A1390" s="93" t="s">
        <v>1254</v>
      </c>
      <c r="B1390" s="93"/>
      <c r="C1390" s="93"/>
      <c r="D1390" s="93">
        <v>309200034</v>
      </c>
      <c r="E1390" s="93">
        <v>290969750</v>
      </c>
    </row>
    <row r="1391" spans="1:5" x14ac:dyDescent="0.25">
      <c r="A1391" s="93" t="s">
        <v>1254</v>
      </c>
      <c r="B1391" s="93"/>
      <c r="C1391" s="93"/>
      <c r="D1391" s="93">
        <v>642911</v>
      </c>
      <c r="E1391" s="93">
        <v>237903</v>
      </c>
    </row>
    <row r="1392" spans="1:5" x14ac:dyDescent="0.25">
      <c r="A1392" s="93" t="s">
        <v>1254</v>
      </c>
      <c r="B1392" s="93"/>
      <c r="C1392" s="93"/>
      <c r="D1392" s="93">
        <v>95155</v>
      </c>
      <c r="E1392" s="93">
        <v>98605</v>
      </c>
    </row>
    <row r="1393" spans="1:5" x14ac:dyDescent="0.25">
      <c r="A1393" s="93" t="s">
        <v>1255</v>
      </c>
      <c r="B1393" s="93"/>
      <c r="C1393" s="93"/>
      <c r="D1393" s="93">
        <v>18873</v>
      </c>
      <c r="E1393" s="93">
        <v>330</v>
      </c>
    </row>
    <row r="1394" spans="1:5" x14ac:dyDescent="0.25">
      <c r="A1394" s="93" t="s">
        <v>1255</v>
      </c>
      <c r="B1394" s="93"/>
      <c r="C1394" s="93"/>
      <c r="D1394" s="93">
        <v>145972085</v>
      </c>
      <c r="E1394" s="93">
        <v>138142641</v>
      </c>
    </row>
    <row r="1395" spans="1:5" x14ac:dyDescent="0.25">
      <c r="A1395" s="93" t="s">
        <v>1255</v>
      </c>
      <c r="B1395" s="93"/>
      <c r="C1395" s="93"/>
      <c r="D1395" s="93">
        <v>383992</v>
      </c>
      <c r="E1395" s="93">
        <v>353528</v>
      </c>
    </row>
    <row r="1396" spans="1:5" x14ac:dyDescent="0.25">
      <c r="A1396" s="93" t="s">
        <v>1255</v>
      </c>
      <c r="B1396" s="93"/>
      <c r="C1396" s="93"/>
      <c r="D1396" s="93">
        <v>34980</v>
      </c>
      <c r="E1396" s="93">
        <v>34012</v>
      </c>
    </row>
    <row r="1397" spans="1:5" x14ac:dyDescent="0.25">
      <c r="A1397" s="93" t="s">
        <v>1256</v>
      </c>
      <c r="B1397" s="93"/>
      <c r="C1397" s="93"/>
      <c r="D1397" s="93">
        <v>-461</v>
      </c>
      <c r="E1397" s="93">
        <v>-633</v>
      </c>
    </row>
    <row r="1398" spans="1:5" x14ac:dyDescent="0.25">
      <c r="A1398" s="93" t="s">
        <v>1256</v>
      </c>
      <c r="B1398" s="93"/>
      <c r="C1398" s="93"/>
      <c r="D1398" s="93">
        <v>78695514</v>
      </c>
      <c r="E1398" s="93">
        <v>55897223</v>
      </c>
    </row>
    <row r="1399" spans="1:5" x14ac:dyDescent="0.25">
      <c r="A1399" s="93" t="s">
        <v>1256</v>
      </c>
      <c r="B1399" s="93"/>
      <c r="C1399" s="93"/>
      <c r="D1399" s="93">
        <v>243873</v>
      </c>
      <c r="E1399" s="93">
        <v>243873</v>
      </c>
    </row>
    <row r="1400" spans="1:5" x14ac:dyDescent="0.25">
      <c r="A1400" s="93" t="s">
        <v>1256</v>
      </c>
      <c r="B1400" s="93"/>
      <c r="C1400" s="93"/>
      <c r="D1400" s="93">
        <v>498700</v>
      </c>
      <c r="E1400" s="93">
        <v>328412</v>
      </c>
    </row>
    <row r="1401" spans="1:5" x14ac:dyDescent="0.25">
      <c r="A1401" s="93" t="s">
        <v>1257</v>
      </c>
      <c r="B1401" s="93"/>
      <c r="C1401" s="93"/>
      <c r="D1401" s="93">
        <v>-296</v>
      </c>
      <c r="E1401" s="93">
        <v>-232</v>
      </c>
    </row>
    <row r="1402" spans="1:5" x14ac:dyDescent="0.25">
      <c r="A1402" s="93" t="s">
        <v>1257</v>
      </c>
      <c r="B1402" s="93"/>
      <c r="C1402" s="93"/>
      <c r="D1402" s="93">
        <v>57957094</v>
      </c>
      <c r="E1402" s="93">
        <v>50952021</v>
      </c>
    </row>
    <row r="1403" spans="1:5" x14ac:dyDescent="0.25">
      <c r="A1403" s="93" t="s">
        <v>1257</v>
      </c>
      <c r="B1403" s="93"/>
      <c r="C1403" s="93"/>
      <c r="D1403" s="93">
        <v>3614914</v>
      </c>
      <c r="E1403" s="93">
        <v>2763279</v>
      </c>
    </row>
    <row r="1404" spans="1:5" x14ac:dyDescent="0.25">
      <c r="A1404" s="93" t="s">
        <v>1257</v>
      </c>
      <c r="B1404" s="93"/>
      <c r="C1404" s="93"/>
      <c r="D1404" s="93">
        <v>5227019</v>
      </c>
      <c r="E1404" s="93">
        <v>5816312</v>
      </c>
    </row>
    <row r="1405" spans="1:5" x14ac:dyDescent="0.25">
      <c r="A1405" s="93" t="s">
        <v>1257</v>
      </c>
      <c r="B1405" s="93"/>
      <c r="C1405" s="93"/>
      <c r="D1405" s="93">
        <v>94</v>
      </c>
      <c r="E1405" s="93">
        <v>54</v>
      </c>
    </row>
    <row r="1406" spans="1:5" x14ac:dyDescent="0.25">
      <c r="A1406" s="93" t="s">
        <v>2249</v>
      </c>
      <c r="B1406" s="93"/>
      <c r="C1406" s="93"/>
      <c r="D1406" s="93">
        <v>20738420</v>
      </c>
      <c r="E1406" s="93">
        <v>4945202</v>
      </c>
    </row>
    <row r="1407" spans="1:5" x14ac:dyDescent="0.25">
      <c r="A1407" s="93" t="s">
        <v>2249</v>
      </c>
      <c r="B1407" s="93"/>
      <c r="C1407" s="93"/>
      <c r="D1407" s="93">
        <v>1058765</v>
      </c>
      <c r="E1407" s="93">
        <v>632646</v>
      </c>
    </row>
    <row r="1408" spans="1:5" x14ac:dyDescent="0.25">
      <c r="A1408" s="93" t="s">
        <v>2292</v>
      </c>
      <c r="B1408" s="93"/>
      <c r="C1408" s="93"/>
      <c r="D1408" s="93">
        <v>425</v>
      </c>
      <c r="E1408" s="93">
        <v>446</v>
      </c>
    </row>
    <row r="1409" spans="1:5" x14ac:dyDescent="0.25">
      <c r="A1409" s="93" t="s">
        <v>2250</v>
      </c>
      <c r="B1409" s="93"/>
      <c r="C1409" s="93"/>
      <c r="D1409" s="93">
        <v>39731828</v>
      </c>
      <c r="E1409" s="93">
        <v>39908671</v>
      </c>
    </row>
    <row r="1410" spans="1:5" x14ac:dyDescent="0.25">
      <c r="A1410" s="93" t="s">
        <v>2250</v>
      </c>
      <c r="B1410" s="93"/>
      <c r="C1410" s="93"/>
      <c r="D1410" s="93">
        <v>3836371</v>
      </c>
      <c r="E1410" s="93">
        <v>83658</v>
      </c>
    </row>
    <row r="1411" spans="1:5" x14ac:dyDescent="0.25">
      <c r="A1411" s="93" t="s">
        <v>2250</v>
      </c>
      <c r="B1411" s="93"/>
      <c r="C1411" s="93"/>
      <c r="D1411" s="93">
        <v>425</v>
      </c>
      <c r="E1411" s="93">
        <v>449</v>
      </c>
    </row>
    <row r="1412" spans="1:5" x14ac:dyDescent="0.25">
      <c r="A1412" s="93" t="s">
        <v>1258</v>
      </c>
      <c r="B1412" s="93"/>
      <c r="C1412" s="93"/>
      <c r="D1412" s="93">
        <v>72081</v>
      </c>
      <c r="E1412" s="93">
        <v>72081</v>
      </c>
    </row>
    <row r="1413" spans="1:5" x14ac:dyDescent="0.25">
      <c r="A1413" s="93" t="s">
        <v>1258</v>
      </c>
      <c r="B1413" s="93"/>
      <c r="C1413" s="93"/>
      <c r="D1413" s="93">
        <v>3158546</v>
      </c>
      <c r="E1413" s="93">
        <v>2301125</v>
      </c>
    </row>
    <row r="1414" spans="1:5" x14ac:dyDescent="0.25">
      <c r="A1414" s="93" t="s">
        <v>2251</v>
      </c>
      <c r="B1414" s="93"/>
      <c r="C1414" s="93"/>
      <c r="D1414" s="93">
        <v>30368633</v>
      </c>
      <c r="E1414" s="93">
        <v>32357544</v>
      </c>
    </row>
    <row r="1415" spans="1:5" x14ac:dyDescent="0.25">
      <c r="A1415" s="93" t="s">
        <v>2251</v>
      </c>
      <c r="B1415" s="93"/>
      <c r="C1415" s="93"/>
      <c r="D1415" s="93">
        <v>140783601</v>
      </c>
      <c r="E1415" s="93">
        <v>112839290</v>
      </c>
    </row>
    <row r="1416" spans="1:5" x14ac:dyDescent="0.25">
      <c r="A1416" s="93" t="s">
        <v>2252</v>
      </c>
      <c r="B1416" s="93"/>
      <c r="C1416" s="93"/>
      <c r="D1416" s="93">
        <v>754705</v>
      </c>
      <c r="E1416" s="93">
        <v>548925</v>
      </c>
    </row>
    <row r="1417" spans="1:5" x14ac:dyDescent="0.25">
      <c r="A1417" s="93" t="s">
        <v>2252</v>
      </c>
      <c r="B1417" s="93"/>
      <c r="C1417" s="93"/>
      <c r="D1417" s="93">
        <v>97427649</v>
      </c>
      <c r="E1417" s="93">
        <v>82427349</v>
      </c>
    </row>
    <row r="1418" spans="1:5" x14ac:dyDescent="0.25">
      <c r="A1418" s="93" t="s">
        <v>1259</v>
      </c>
      <c r="B1418" s="93"/>
      <c r="C1418" s="93"/>
      <c r="D1418" s="93">
        <v>-20693</v>
      </c>
      <c r="E1418" s="93">
        <v>-904</v>
      </c>
    </row>
    <row r="1419" spans="1:5" x14ac:dyDescent="0.25">
      <c r="A1419" s="93" t="s">
        <v>1259</v>
      </c>
      <c r="B1419" s="93"/>
      <c r="C1419" s="93"/>
      <c r="D1419" s="93">
        <v>19760</v>
      </c>
      <c r="E1419" s="93">
        <v>19760</v>
      </c>
    </row>
    <row r="1420" spans="1:5" x14ac:dyDescent="0.25">
      <c r="A1420" s="93" t="s">
        <v>1259</v>
      </c>
      <c r="B1420" s="93"/>
      <c r="C1420" s="93"/>
      <c r="D1420" s="93">
        <v>97055000</v>
      </c>
      <c r="E1420" s="93">
        <v>82054700</v>
      </c>
    </row>
    <row r="1421" spans="1:5" x14ac:dyDescent="0.25">
      <c r="A1421" s="93" t="s">
        <v>2253</v>
      </c>
      <c r="B1421" s="93"/>
      <c r="C1421" s="93"/>
      <c r="D1421" s="93">
        <v>8413333</v>
      </c>
      <c r="E1421" s="93">
        <v>6895308</v>
      </c>
    </row>
    <row r="1422" spans="1:5" x14ac:dyDescent="0.25">
      <c r="A1422" s="93" t="s">
        <v>2254</v>
      </c>
      <c r="B1422" s="93"/>
      <c r="C1422" s="93"/>
      <c r="D1422" s="93">
        <v>103316</v>
      </c>
      <c r="E1422" s="93">
        <v>15053</v>
      </c>
    </row>
    <row r="1423" spans="1:5" x14ac:dyDescent="0.25">
      <c r="A1423" s="93" t="s">
        <v>2254</v>
      </c>
      <c r="B1423" s="93"/>
      <c r="C1423" s="93"/>
      <c r="D1423" s="93">
        <v>372649</v>
      </c>
      <c r="E1423" s="93">
        <v>372649</v>
      </c>
    </row>
    <row r="1424" spans="1:5" x14ac:dyDescent="0.25">
      <c r="A1424" s="93" t="s">
        <v>2255</v>
      </c>
      <c r="B1424" s="93"/>
      <c r="C1424" s="93"/>
      <c r="D1424" s="93">
        <v>17115</v>
      </c>
      <c r="E1424" s="93">
        <v>23113</v>
      </c>
    </row>
    <row r="1425" spans="1:5" x14ac:dyDescent="0.25">
      <c r="A1425" s="93" t="s">
        <v>1260</v>
      </c>
      <c r="B1425" s="93"/>
      <c r="C1425" s="93"/>
      <c r="D1425" s="93">
        <v>1110</v>
      </c>
      <c r="E1425" s="93">
        <v>1035</v>
      </c>
    </row>
    <row r="1426" spans="1:5" x14ac:dyDescent="0.25">
      <c r="A1426" s="93" t="s">
        <v>1261</v>
      </c>
      <c r="B1426" s="93"/>
      <c r="C1426" s="93"/>
      <c r="D1426" s="93">
        <v>7296</v>
      </c>
      <c r="E1426" s="93">
        <v>13179</v>
      </c>
    </row>
    <row r="1427" spans="1:5" x14ac:dyDescent="0.25">
      <c r="A1427" s="93" t="s">
        <v>1261</v>
      </c>
      <c r="B1427" s="93"/>
      <c r="C1427" s="93"/>
      <c r="D1427" s="93">
        <v>17861001</v>
      </c>
      <c r="E1427" s="93">
        <v>14449123</v>
      </c>
    </row>
    <row r="1428" spans="1:5" x14ac:dyDescent="0.25">
      <c r="A1428" s="93" t="s">
        <v>1262</v>
      </c>
      <c r="B1428" s="93"/>
      <c r="C1428" s="93"/>
      <c r="D1428" s="93">
        <v>3960</v>
      </c>
      <c r="E1428" s="93">
        <v>2490</v>
      </c>
    </row>
    <row r="1429" spans="1:5" x14ac:dyDescent="0.25">
      <c r="A1429" s="93" t="s">
        <v>1262</v>
      </c>
      <c r="B1429" s="93"/>
      <c r="C1429" s="93"/>
      <c r="D1429" s="93">
        <v>5854000</v>
      </c>
      <c r="E1429" s="93">
        <v>5161123</v>
      </c>
    </row>
    <row r="1430" spans="1:5" x14ac:dyDescent="0.25">
      <c r="A1430" s="93" t="s">
        <v>1262</v>
      </c>
      <c r="B1430" s="93"/>
      <c r="C1430" s="93"/>
      <c r="D1430" s="93">
        <v>26797956</v>
      </c>
      <c r="E1430" s="93">
        <v>24542569</v>
      </c>
    </row>
    <row r="1431" spans="1:5" x14ac:dyDescent="0.25">
      <c r="A1431" s="93" t="s">
        <v>2256</v>
      </c>
      <c r="B1431" s="93"/>
      <c r="C1431" s="93"/>
      <c r="D1431" s="93">
        <v>21061965</v>
      </c>
      <c r="E1431" s="93">
        <v>22515735</v>
      </c>
    </row>
    <row r="1432" spans="1:5" x14ac:dyDescent="0.25">
      <c r="A1432" s="93" t="s">
        <v>2256</v>
      </c>
      <c r="B1432" s="93"/>
      <c r="C1432" s="93"/>
      <c r="D1432" s="93">
        <v>12007001</v>
      </c>
      <c r="E1432" s="93">
        <v>9288000</v>
      </c>
    </row>
    <row r="1433" spans="1:5" x14ac:dyDescent="0.25">
      <c r="A1433" s="93" t="s">
        <v>2256</v>
      </c>
      <c r="B1433" s="93"/>
      <c r="C1433" s="93"/>
      <c r="D1433" s="93">
        <v>15722473</v>
      </c>
      <c r="E1433" s="93">
        <v>2909236</v>
      </c>
    </row>
    <row r="1434" spans="1:5" x14ac:dyDescent="0.25">
      <c r="A1434" s="93" t="s">
        <v>2257</v>
      </c>
      <c r="B1434" s="93"/>
      <c r="C1434" s="93"/>
      <c r="D1434" s="93">
        <v>17023778</v>
      </c>
      <c r="E1434" s="93">
        <v>17839243</v>
      </c>
    </row>
    <row r="1435" spans="1:5" x14ac:dyDescent="0.25">
      <c r="A1435" s="93" t="s">
        <v>2257</v>
      </c>
      <c r="B1435" s="93"/>
      <c r="C1435" s="93"/>
      <c r="D1435" s="93">
        <v>14977498</v>
      </c>
      <c r="E1435" s="93">
        <v>2728928</v>
      </c>
    </row>
    <row r="1436" spans="1:5" x14ac:dyDescent="0.25">
      <c r="A1436" s="93" t="s">
        <v>1263</v>
      </c>
      <c r="B1436" s="93"/>
      <c r="C1436" s="93"/>
      <c r="D1436" s="93">
        <v>2226</v>
      </c>
      <c r="E1436" s="93">
        <v>9654</v>
      </c>
    </row>
    <row r="1437" spans="1:5" x14ac:dyDescent="0.25">
      <c r="A1437" s="93" t="s">
        <v>1263</v>
      </c>
      <c r="B1437" s="93"/>
      <c r="C1437" s="93"/>
      <c r="D1437" s="93">
        <v>16959145</v>
      </c>
      <c r="E1437" s="93">
        <v>17386045</v>
      </c>
    </row>
    <row r="1438" spans="1:5" x14ac:dyDescent="0.25">
      <c r="A1438" s="93" t="s">
        <v>1263</v>
      </c>
      <c r="B1438" s="93"/>
      <c r="C1438" s="93"/>
      <c r="D1438" s="93">
        <v>744975</v>
      </c>
      <c r="E1438" s="93">
        <v>180308</v>
      </c>
    </row>
    <row r="1439" spans="1:5" x14ac:dyDescent="0.25">
      <c r="A1439" s="93" t="s">
        <v>1264</v>
      </c>
      <c r="B1439" s="93"/>
      <c r="C1439" s="93"/>
      <c r="D1439" s="93">
        <v>-64150</v>
      </c>
      <c r="E1439" s="93">
        <v>19188</v>
      </c>
    </row>
    <row r="1440" spans="1:5" x14ac:dyDescent="0.25">
      <c r="A1440" s="93" t="s">
        <v>1264</v>
      </c>
      <c r="B1440" s="93"/>
      <c r="C1440" s="93"/>
      <c r="D1440" s="93">
        <v>0</v>
      </c>
      <c r="E1440" s="93">
        <v>22943</v>
      </c>
    </row>
    <row r="1441" spans="1:5" x14ac:dyDescent="0.25">
      <c r="A1441" s="93" t="s">
        <v>1264</v>
      </c>
      <c r="B1441" s="93"/>
      <c r="C1441" s="93"/>
      <c r="D1441" s="93">
        <v>-143587</v>
      </c>
      <c r="E1441" s="93">
        <v>-71539</v>
      </c>
    </row>
    <row r="1442" spans="1:5" x14ac:dyDescent="0.25">
      <c r="A1442" s="93" t="s">
        <v>1265</v>
      </c>
      <c r="B1442" s="93"/>
      <c r="C1442" s="93"/>
      <c r="D1442" s="93">
        <v>217033</v>
      </c>
      <c r="E1442" s="93">
        <v>92399</v>
      </c>
    </row>
    <row r="1443" spans="1:5" x14ac:dyDescent="0.25">
      <c r="A1443" s="93" t="s">
        <v>1266</v>
      </c>
      <c r="B1443" s="93"/>
      <c r="C1443" s="93"/>
      <c r="D1443" s="93">
        <v>516</v>
      </c>
      <c r="E1443" s="93">
        <v>1869</v>
      </c>
    </row>
    <row r="1444" spans="1:5" x14ac:dyDescent="0.25">
      <c r="A1444" s="93" t="s">
        <v>1266</v>
      </c>
      <c r="B1444" s="93"/>
      <c r="C1444" s="93"/>
      <c r="D1444" s="93">
        <v>64633</v>
      </c>
      <c r="E1444" s="93">
        <v>430255</v>
      </c>
    </row>
    <row r="1445" spans="1:5" x14ac:dyDescent="0.25">
      <c r="A1445" s="93" t="s">
        <v>1266</v>
      </c>
      <c r="B1445" s="93"/>
      <c r="C1445" s="93"/>
      <c r="D1445" s="93">
        <v>-143587</v>
      </c>
      <c r="E1445" s="93">
        <v>-71539</v>
      </c>
    </row>
    <row r="1446" spans="1:5" x14ac:dyDescent="0.25">
      <c r="A1446" s="93" t="s">
        <v>1267</v>
      </c>
      <c r="B1446" s="93"/>
      <c r="C1446" s="93"/>
      <c r="D1446" s="93">
        <v>153399</v>
      </c>
      <c r="E1446" s="93">
        <v>113456</v>
      </c>
    </row>
    <row r="1447" spans="1:5" x14ac:dyDescent="0.25">
      <c r="A1447" s="93" t="s">
        <v>1267</v>
      </c>
      <c r="B1447" s="93"/>
      <c r="C1447" s="93"/>
      <c r="D1447" s="93">
        <v>4015028</v>
      </c>
      <c r="E1447" s="93">
        <v>4657507</v>
      </c>
    </row>
    <row r="1448" spans="1:5" x14ac:dyDescent="0.25">
      <c r="A1448" s="93" t="s">
        <v>1267</v>
      </c>
      <c r="B1448" s="93"/>
      <c r="C1448" s="93"/>
      <c r="D1448" s="93">
        <v>28932265</v>
      </c>
      <c r="E1448" s="93">
        <v>20534848</v>
      </c>
    </row>
    <row r="1449" spans="1:5" x14ac:dyDescent="0.25">
      <c r="A1449" s="93" t="s">
        <v>2267</v>
      </c>
      <c r="B1449" s="93"/>
      <c r="C1449" s="93"/>
      <c r="D1449" s="93">
        <v>25638538</v>
      </c>
      <c r="E1449" s="93">
        <v>16034357</v>
      </c>
    </row>
    <row r="1450" spans="1:5" x14ac:dyDescent="0.25">
      <c r="A1450" s="93" t="s">
        <v>2267</v>
      </c>
      <c r="B1450" s="93"/>
      <c r="C1450" s="93"/>
      <c r="D1450" s="93">
        <v>13956403</v>
      </c>
      <c r="E1450" s="93">
        <v>5707172</v>
      </c>
    </row>
    <row r="1451" spans="1:5" x14ac:dyDescent="0.25">
      <c r="A1451" s="93" t="s">
        <v>2258</v>
      </c>
      <c r="B1451" s="93"/>
      <c r="C1451" s="93"/>
      <c r="D1451" s="93">
        <v>0</v>
      </c>
      <c r="E1451" s="93">
        <v>3873980</v>
      </c>
    </row>
    <row r="1452" spans="1:5" x14ac:dyDescent="0.25">
      <c r="A1452" s="93" t="s">
        <v>2258</v>
      </c>
      <c r="B1452" s="93"/>
      <c r="C1452" s="93"/>
      <c r="D1452" s="93">
        <v>13016059</v>
      </c>
      <c r="E1452" s="93">
        <v>13839502</v>
      </c>
    </row>
    <row r="1453" spans="1:5" x14ac:dyDescent="0.25">
      <c r="A1453" s="93" t="s">
        <v>2258</v>
      </c>
      <c r="B1453" s="93"/>
      <c r="C1453" s="93"/>
      <c r="D1453" s="93">
        <v>742759</v>
      </c>
      <c r="E1453" s="93">
        <v>355110</v>
      </c>
    </row>
    <row r="1454" spans="1:5" x14ac:dyDescent="0.25">
      <c r="A1454" s="93" t="s">
        <v>2259</v>
      </c>
      <c r="B1454" s="93"/>
      <c r="C1454" s="93"/>
      <c r="D1454" s="93">
        <v>3124080</v>
      </c>
      <c r="E1454" s="93">
        <v>0</v>
      </c>
    </row>
    <row r="1455" spans="1:5" x14ac:dyDescent="0.25">
      <c r="A1455" s="93" t="s">
        <v>2259</v>
      </c>
      <c r="B1455" s="93"/>
      <c r="C1455" s="93"/>
      <c r="D1455" s="93">
        <v>56813</v>
      </c>
      <c r="E1455" s="93">
        <v>224704</v>
      </c>
    </row>
    <row r="1456" spans="1:5" x14ac:dyDescent="0.25">
      <c r="A1456" s="93" t="s">
        <v>2260</v>
      </c>
      <c r="B1456" s="93"/>
      <c r="C1456" s="93"/>
      <c r="D1456" s="93">
        <v>890948</v>
      </c>
      <c r="E1456" s="93">
        <v>783527</v>
      </c>
    </row>
    <row r="1457" spans="1:5" x14ac:dyDescent="0.25">
      <c r="A1457" s="93" t="s">
        <v>2260</v>
      </c>
      <c r="B1457" s="93"/>
      <c r="C1457" s="93"/>
      <c r="D1457" s="93">
        <v>5976291</v>
      </c>
      <c r="E1457" s="93">
        <v>6687243</v>
      </c>
    </row>
    <row r="1458" spans="1:5" x14ac:dyDescent="0.25">
      <c r="A1458" s="93" t="s">
        <v>2261</v>
      </c>
      <c r="B1458" s="93"/>
      <c r="C1458" s="93"/>
      <c r="D1458" s="93">
        <v>23159</v>
      </c>
      <c r="E1458" s="93">
        <v>18985</v>
      </c>
    </row>
    <row r="1459" spans="1:5" x14ac:dyDescent="0.25">
      <c r="A1459" s="93" t="s">
        <v>2261</v>
      </c>
      <c r="B1459" s="93"/>
      <c r="C1459" s="93"/>
      <c r="D1459" s="93">
        <v>12622479</v>
      </c>
      <c r="E1459" s="93">
        <v>2194855</v>
      </c>
    </row>
    <row r="1460" spans="1:5" x14ac:dyDescent="0.25">
      <c r="A1460" s="93" t="s">
        <v>2261</v>
      </c>
      <c r="B1460" s="93"/>
      <c r="C1460" s="93"/>
      <c r="D1460" s="93">
        <v>22670</v>
      </c>
      <c r="E1460" s="93">
        <v>0</v>
      </c>
    </row>
    <row r="1461" spans="1:5" x14ac:dyDescent="0.25">
      <c r="A1461" s="93" t="s">
        <v>2262</v>
      </c>
      <c r="B1461" s="93"/>
      <c r="C1461" s="93"/>
      <c r="D1461" s="93">
        <v>873716290</v>
      </c>
      <c r="E1461" s="93">
        <v>911657949</v>
      </c>
    </row>
    <row r="1462" spans="1:5" x14ac:dyDescent="0.25">
      <c r="A1462" s="93" t="s">
        <v>2262</v>
      </c>
      <c r="B1462" s="93"/>
      <c r="C1462" s="93"/>
      <c r="D1462" s="93">
        <v>383661</v>
      </c>
      <c r="E1462" s="93">
        <v>8261</v>
      </c>
    </row>
    <row r="1463" spans="1:5" x14ac:dyDescent="0.25">
      <c r="A1463" s="93" t="s">
        <v>2263</v>
      </c>
      <c r="B1463" s="93"/>
      <c r="C1463" s="93"/>
      <c r="D1463" s="93">
        <v>126227508</v>
      </c>
      <c r="E1463" s="93">
        <v>126638761</v>
      </c>
    </row>
    <row r="1464" spans="1:5" x14ac:dyDescent="0.25">
      <c r="A1464" s="93" t="s">
        <v>2263</v>
      </c>
      <c r="B1464" s="93"/>
      <c r="C1464" s="93"/>
      <c r="D1464" s="93">
        <v>455547</v>
      </c>
      <c r="E1464" s="93">
        <v>500948</v>
      </c>
    </row>
    <row r="1465" spans="1:5" x14ac:dyDescent="0.25">
      <c r="A1465" s="93" t="s">
        <v>2264</v>
      </c>
      <c r="B1465" s="93"/>
      <c r="C1465" s="93"/>
      <c r="D1465" s="93">
        <v>999943798</v>
      </c>
      <c r="E1465" s="93">
        <v>1038296710</v>
      </c>
    </row>
    <row r="1466" spans="1:5" x14ac:dyDescent="0.25">
      <c r="A1466" s="93" t="s">
        <v>2264</v>
      </c>
      <c r="B1466" s="93"/>
      <c r="C1466" s="93"/>
      <c r="D1466" s="93">
        <v>1266505</v>
      </c>
      <c r="E1466" s="93">
        <v>1346622</v>
      </c>
    </row>
    <row r="1467" spans="1:5" x14ac:dyDescent="0.25">
      <c r="A1467" s="93" t="s">
        <v>2268</v>
      </c>
      <c r="B1467" s="93"/>
      <c r="C1467" s="93"/>
      <c r="D1467" s="93">
        <v>873716290</v>
      </c>
      <c r="E1467" s="93">
        <v>911657949</v>
      </c>
    </row>
    <row r="1468" spans="1:5" x14ac:dyDescent="0.25">
      <c r="A1468" s="93" t="s">
        <v>2268</v>
      </c>
      <c r="B1468" s="93"/>
      <c r="C1468" s="93"/>
      <c r="D1468" s="93">
        <v>2214701</v>
      </c>
      <c r="E1468" s="93">
        <v>2115629</v>
      </c>
    </row>
    <row r="1469" spans="1:5" x14ac:dyDescent="0.25">
      <c r="A1469" s="93" t="s">
        <v>2269</v>
      </c>
      <c r="B1469" s="93"/>
      <c r="C1469" s="93"/>
      <c r="D1469" s="93">
        <v>126227508</v>
      </c>
      <c r="E1469" s="93">
        <v>126638761</v>
      </c>
    </row>
    <row r="1470" spans="1:5" x14ac:dyDescent="0.25">
      <c r="A1470" s="93" t="s">
        <v>2270</v>
      </c>
      <c r="B1470" s="93"/>
      <c r="C1470" s="93"/>
      <c r="D1470" s="93">
        <v>999943798</v>
      </c>
      <c r="E1470" s="93">
        <v>1038296710</v>
      </c>
    </row>
    <row r="1471" spans="1:5" x14ac:dyDescent="0.25">
      <c r="A1471" s="93" t="s">
        <v>2270</v>
      </c>
      <c r="B1471" s="93"/>
      <c r="C1471" s="93"/>
      <c r="D1471" s="93">
        <v>3474637</v>
      </c>
      <c r="E1471" s="93">
        <v>3211884</v>
      </c>
    </row>
    <row r="1472" spans="1:5" x14ac:dyDescent="0.25">
      <c r="A1472" s="93" t="s">
        <v>2272</v>
      </c>
      <c r="B1472" s="93"/>
      <c r="C1472" s="93"/>
      <c r="D1472" s="93">
        <v>379843</v>
      </c>
      <c r="E1472" s="93">
        <v>343542</v>
      </c>
    </row>
    <row r="1473" spans="1:5" x14ac:dyDescent="0.25">
      <c r="A1473" s="93" t="s">
        <v>2273</v>
      </c>
      <c r="B1473" s="93"/>
      <c r="C1473" s="93"/>
      <c r="D1473" s="93">
        <v>2435</v>
      </c>
      <c r="E1473" s="93">
        <v>33733</v>
      </c>
    </row>
    <row r="1474" spans="1:5" x14ac:dyDescent="0.25">
      <c r="A1474" s="93" t="s">
        <v>2274</v>
      </c>
      <c r="B1474" s="93"/>
      <c r="C1474" s="93"/>
      <c r="D1474" s="93">
        <v>13209792</v>
      </c>
      <c r="E1474" s="93">
        <v>17625612</v>
      </c>
    </row>
    <row r="1475" spans="1:5" x14ac:dyDescent="0.25">
      <c r="A1475" s="93" t="s">
        <v>2275</v>
      </c>
      <c r="B1475" s="93"/>
      <c r="C1475" s="93"/>
      <c r="D1475" s="93">
        <v>53095</v>
      </c>
      <c r="E1475" s="93">
        <v>6655</v>
      </c>
    </row>
    <row r="1476" spans="1:5" x14ac:dyDescent="0.25">
      <c r="A1476" s="93" t="s">
        <v>2276</v>
      </c>
      <c r="B1476" s="93"/>
      <c r="C1476" s="93"/>
      <c r="D1476" s="93">
        <v>43858</v>
      </c>
      <c r="E1476" s="93">
        <v>6655</v>
      </c>
    </row>
    <row r="1477" spans="1:5" x14ac:dyDescent="0.25">
      <c r="A1477" s="93" t="s">
        <v>2277</v>
      </c>
      <c r="B1477" s="93"/>
      <c r="C1477" s="93"/>
      <c r="D1477" s="93">
        <v>4139</v>
      </c>
      <c r="E1477" s="93">
        <v>0</v>
      </c>
    </row>
    <row r="1478" spans="1:5" x14ac:dyDescent="0.25">
      <c r="A1478" s="93" t="s">
        <v>2278</v>
      </c>
      <c r="B1478" s="93"/>
      <c r="C1478" s="93"/>
      <c r="D1478" s="93">
        <v>5098</v>
      </c>
      <c r="E1478" s="93">
        <v>0</v>
      </c>
    </row>
    <row r="1479" spans="1:5" x14ac:dyDescent="0.25">
      <c r="A1479" s="93" t="s">
        <v>2279</v>
      </c>
      <c r="B1479" s="93"/>
      <c r="C1479" s="93"/>
      <c r="D1479" s="93">
        <v>23454</v>
      </c>
      <c r="E1479" s="93">
        <v>0</v>
      </c>
    </row>
    <row r="1480" spans="1:5" x14ac:dyDescent="0.25">
      <c r="A1480" s="93" t="s">
        <v>2280</v>
      </c>
      <c r="B1480" s="93"/>
      <c r="C1480" s="93"/>
      <c r="D1480" s="93">
        <v>23454</v>
      </c>
      <c r="E1480" s="93">
        <v>0</v>
      </c>
    </row>
    <row r="1481" spans="1:5" x14ac:dyDescent="0.25">
      <c r="A1481" s="93" t="s">
        <v>2281</v>
      </c>
      <c r="B1481" s="93"/>
      <c r="C1481" s="93"/>
      <c r="D1481" s="93">
        <v>29641</v>
      </c>
      <c r="E1481" s="93">
        <v>6655</v>
      </c>
    </row>
    <row r="1482" spans="1:5" x14ac:dyDescent="0.25">
      <c r="A1482" s="93" t="s">
        <v>2282</v>
      </c>
      <c r="B1482" s="93"/>
      <c r="C1482" s="93"/>
      <c r="D1482" s="93">
        <v>13617805</v>
      </c>
      <c r="E1482" s="93">
        <v>6923612</v>
      </c>
    </row>
    <row r="1483" spans="1:5" x14ac:dyDescent="0.25">
      <c r="A1483" s="93" t="s">
        <v>2283</v>
      </c>
      <c r="B1483" s="93"/>
      <c r="C1483" s="93"/>
      <c r="D1483" s="93">
        <v>48489544</v>
      </c>
      <c r="E1483" s="93">
        <v>13184506</v>
      </c>
    </row>
    <row r="1484" spans="1:5" x14ac:dyDescent="0.25">
      <c r="A1484" s="93" t="s">
        <v>2284</v>
      </c>
      <c r="B1484" s="93"/>
      <c r="C1484" s="93"/>
      <c r="D1484" s="93">
        <v>48489544</v>
      </c>
      <c r="E1484" s="93">
        <v>13184506</v>
      </c>
    </row>
    <row r="1485" spans="1:5" x14ac:dyDescent="0.25">
      <c r="A1485" s="93" t="s">
        <v>2285</v>
      </c>
      <c r="B1485" s="93"/>
      <c r="C1485" s="93"/>
      <c r="D1485" s="93">
        <v>47889966</v>
      </c>
      <c r="E1485" s="93">
        <v>13094642</v>
      </c>
    </row>
    <row r="1486" spans="1:5" x14ac:dyDescent="0.25">
      <c r="A1486" s="93" t="s">
        <v>2286</v>
      </c>
      <c r="B1486" s="93"/>
      <c r="C1486" s="93"/>
      <c r="D1486" s="93">
        <v>0</v>
      </c>
      <c r="E1486" s="93">
        <v>4980</v>
      </c>
    </row>
    <row r="1487" spans="1:5" x14ac:dyDescent="0.25">
      <c r="A1487" s="93" t="s">
        <v>2287</v>
      </c>
      <c r="B1487" s="93"/>
      <c r="C1487" s="93"/>
      <c r="D1487" s="93">
        <v>47889966</v>
      </c>
      <c r="E1487" s="93">
        <v>13089662</v>
      </c>
    </row>
    <row r="1488" spans="1:5" x14ac:dyDescent="0.25">
      <c r="A1488" s="93" t="s">
        <v>2288</v>
      </c>
      <c r="B1488" s="93"/>
      <c r="C1488" s="93"/>
      <c r="D1488" s="93">
        <v>599578</v>
      </c>
      <c r="E1488" s="93">
        <v>89864</v>
      </c>
    </row>
    <row r="1489" spans="1:5" x14ac:dyDescent="0.25">
      <c r="A1489" s="93" t="s">
        <v>2289</v>
      </c>
      <c r="B1489" s="93"/>
      <c r="C1489" s="93"/>
      <c r="D1489" s="93">
        <v>14217383</v>
      </c>
      <c r="E1489" s="93">
        <v>7013476</v>
      </c>
    </row>
    <row r="1490" spans="1:5" x14ac:dyDescent="0.25">
      <c r="A1490" s="93" t="s">
        <v>2290</v>
      </c>
      <c r="B1490" s="93"/>
      <c r="C1490" s="93"/>
      <c r="D1490" s="93">
        <v>1201324</v>
      </c>
      <c r="E1490" s="93">
        <v>733057</v>
      </c>
    </row>
    <row r="1491" spans="1:5" x14ac:dyDescent="0.25">
      <c r="A1491" s="93" t="s">
        <v>2291</v>
      </c>
      <c r="B1491" s="93"/>
      <c r="C1491" s="93"/>
      <c r="D1491" s="93">
        <v>13016059</v>
      </c>
      <c r="E1491" s="93">
        <v>6280419</v>
      </c>
    </row>
    <row r="1492" spans="1:5" x14ac:dyDescent="0.25">
      <c r="A1492" s="11" t="s">
        <v>1268</v>
      </c>
      <c r="B1492" s="11">
        <v>1348957643</v>
      </c>
      <c r="C1492" s="11">
        <v>47185126</v>
      </c>
      <c r="D1492" s="11">
        <v>1301772517</v>
      </c>
      <c r="E1492" s="11">
        <v>1179212386</v>
      </c>
    </row>
    <row r="1493" spans="1:5" x14ac:dyDescent="0.25">
      <c r="A1493" s="11" t="s">
        <v>1269</v>
      </c>
      <c r="B1493" s="11">
        <v>132469190</v>
      </c>
      <c r="C1493" s="11">
        <v>1047287</v>
      </c>
      <c r="D1493" s="11">
        <v>131421903</v>
      </c>
      <c r="E1493" s="11">
        <v>90279094</v>
      </c>
    </row>
    <row r="1494" spans="1:5" x14ac:dyDescent="0.25">
      <c r="A1494" s="11" t="s">
        <v>1270</v>
      </c>
      <c r="B1494" s="11">
        <v>11729513</v>
      </c>
      <c r="C1494" s="11">
        <v>0</v>
      </c>
      <c r="D1494" s="11">
        <v>11729513</v>
      </c>
      <c r="E1494" s="11">
        <v>9550532</v>
      </c>
    </row>
    <row r="1495" spans="1:5" x14ac:dyDescent="0.25">
      <c r="A1495" s="11" t="s">
        <v>1271</v>
      </c>
      <c r="B1495" s="11">
        <v>28441987</v>
      </c>
      <c r="C1495" s="11">
        <v>1047287</v>
      </c>
      <c r="D1495" s="11">
        <v>27394700</v>
      </c>
      <c r="E1495" s="11">
        <v>8362408</v>
      </c>
    </row>
    <row r="1496" spans="1:5" x14ac:dyDescent="0.25">
      <c r="A1496" s="11" t="s">
        <v>1272</v>
      </c>
      <c r="B1496" s="11">
        <v>89460942</v>
      </c>
      <c r="C1496" s="11">
        <v>0</v>
      </c>
      <c r="D1496" s="11">
        <v>89460942</v>
      </c>
      <c r="E1496" s="11">
        <v>68734983</v>
      </c>
    </row>
    <row r="1497" spans="1:5" x14ac:dyDescent="0.25">
      <c r="A1497" s="11" t="s">
        <v>1273</v>
      </c>
      <c r="B1497" s="11">
        <v>2836748</v>
      </c>
      <c r="C1497" s="11">
        <v>0</v>
      </c>
      <c r="D1497" s="11">
        <v>2836748</v>
      </c>
      <c r="E1497" s="11">
        <v>3631171</v>
      </c>
    </row>
    <row r="1498" spans="1:5" x14ac:dyDescent="0.25">
      <c r="A1498" s="11" t="s">
        <v>1274</v>
      </c>
      <c r="B1498" s="11">
        <v>108391381</v>
      </c>
      <c r="C1498" s="11">
        <v>0</v>
      </c>
      <c r="D1498" s="11">
        <v>108391381</v>
      </c>
      <c r="E1498" s="11">
        <v>143624860</v>
      </c>
    </row>
    <row r="1499" spans="1:5" x14ac:dyDescent="0.25">
      <c r="A1499" s="11" t="s">
        <v>1275</v>
      </c>
      <c r="B1499" s="11">
        <v>108391381</v>
      </c>
      <c r="C1499" s="11">
        <v>0</v>
      </c>
      <c r="D1499" s="11">
        <v>108391381</v>
      </c>
      <c r="E1499" s="11">
        <v>143624860</v>
      </c>
    </row>
    <row r="1500" spans="1:5" x14ac:dyDescent="0.25">
      <c r="A1500" s="11" t="s">
        <v>1276</v>
      </c>
      <c r="B1500" s="11">
        <v>10517240</v>
      </c>
      <c r="C1500" s="11">
        <v>2218477</v>
      </c>
      <c r="D1500" s="11">
        <v>8298763</v>
      </c>
      <c r="E1500" s="11">
        <v>5485129</v>
      </c>
    </row>
    <row r="1501" spans="1:5" x14ac:dyDescent="0.25">
      <c r="A1501" s="11" t="s">
        <v>1277</v>
      </c>
      <c r="B1501" s="11">
        <v>10143876</v>
      </c>
      <c r="C1501" s="11">
        <v>2036096</v>
      </c>
      <c r="D1501" s="11">
        <v>8107780</v>
      </c>
      <c r="E1501" s="11">
        <v>5257286</v>
      </c>
    </row>
    <row r="1502" spans="1:5" x14ac:dyDescent="0.25">
      <c r="A1502" s="11" t="s">
        <v>1278</v>
      </c>
      <c r="B1502" s="11">
        <v>373364</v>
      </c>
      <c r="C1502" s="11">
        <v>182381</v>
      </c>
      <c r="D1502" s="11">
        <v>190983</v>
      </c>
      <c r="E1502" s="11">
        <v>227843</v>
      </c>
    </row>
    <row r="1503" spans="1:5" x14ac:dyDescent="0.25">
      <c r="A1503" s="11" t="s">
        <v>1279</v>
      </c>
      <c r="B1503" s="11">
        <v>947098162</v>
      </c>
      <c r="C1503" s="11">
        <v>23838934</v>
      </c>
      <c r="D1503" s="11">
        <v>923259228</v>
      </c>
      <c r="E1503" s="11">
        <v>848464903</v>
      </c>
    </row>
    <row r="1504" spans="1:5" x14ac:dyDescent="0.25">
      <c r="A1504" s="11" t="s">
        <v>1280</v>
      </c>
      <c r="B1504" s="11">
        <v>54850165</v>
      </c>
      <c r="C1504" s="11">
        <v>5138111</v>
      </c>
      <c r="D1504" s="11">
        <v>49712054</v>
      </c>
      <c r="E1504" s="11">
        <v>37540549</v>
      </c>
    </row>
    <row r="1505" spans="1:5" x14ac:dyDescent="0.25">
      <c r="A1505" s="11" t="s">
        <v>1281</v>
      </c>
      <c r="B1505" s="11">
        <v>885912384</v>
      </c>
      <c r="C1505" s="11">
        <v>18271387</v>
      </c>
      <c r="D1505" s="11">
        <v>867640997</v>
      </c>
      <c r="E1505" s="11">
        <v>803290173</v>
      </c>
    </row>
    <row r="1506" spans="1:5" x14ac:dyDescent="0.25">
      <c r="A1506" s="11" t="s">
        <v>1282</v>
      </c>
      <c r="B1506" s="11">
        <v>6335613</v>
      </c>
      <c r="C1506" s="11">
        <v>429436</v>
      </c>
      <c r="D1506" s="11">
        <v>5906177</v>
      </c>
      <c r="E1506" s="11">
        <v>7634181</v>
      </c>
    </row>
    <row r="1507" spans="1:5" x14ac:dyDescent="0.25">
      <c r="A1507" s="11" t="s">
        <v>1283</v>
      </c>
      <c r="B1507" s="11">
        <v>55906761</v>
      </c>
      <c r="C1507" s="11">
        <v>-14984</v>
      </c>
      <c r="D1507" s="11">
        <v>55921745</v>
      </c>
      <c r="E1507" s="11">
        <v>35720753</v>
      </c>
    </row>
    <row r="1508" spans="1:5" x14ac:dyDescent="0.25">
      <c r="A1508" s="11" t="s">
        <v>1284</v>
      </c>
      <c r="B1508" s="11">
        <v>54124304</v>
      </c>
      <c r="C1508" s="11">
        <v>-14984</v>
      </c>
      <c r="D1508" s="11">
        <v>54139288</v>
      </c>
      <c r="E1508" s="11">
        <v>34208638</v>
      </c>
    </row>
    <row r="1509" spans="1:5" x14ac:dyDescent="0.25">
      <c r="A1509" s="11" t="s">
        <v>1285</v>
      </c>
      <c r="B1509" s="11">
        <v>1782457</v>
      </c>
      <c r="C1509" s="11">
        <v>0</v>
      </c>
      <c r="D1509" s="11">
        <v>1782457</v>
      </c>
      <c r="E1509" s="11">
        <v>1512115</v>
      </c>
    </row>
    <row r="1510" spans="1:5" x14ac:dyDescent="0.25">
      <c r="A1510" s="11" t="s">
        <v>1286</v>
      </c>
      <c r="B1510" s="11">
        <v>88583756</v>
      </c>
      <c r="C1510" s="11">
        <v>19092898</v>
      </c>
      <c r="D1510" s="11">
        <v>69490858</v>
      </c>
      <c r="E1510" s="11">
        <v>49389038</v>
      </c>
    </row>
    <row r="1511" spans="1:5" x14ac:dyDescent="0.25">
      <c r="A1511" s="11" t="s">
        <v>1287</v>
      </c>
      <c r="B1511" s="11">
        <v>24541183</v>
      </c>
      <c r="C1511" s="11">
        <v>902893</v>
      </c>
      <c r="D1511" s="11">
        <v>23638290</v>
      </c>
      <c r="E1511" s="11">
        <v>13145904</v>
      </c>
    </row>
    <row r="1512" spans="1:5" x14ac:dyDescent="0.25">
      <c r="A1512" s="11" t="s">
        <v>1288</v>
      </c>
      <c r="B1512" s="11">
        <v>48315577</v>
      </c>
      <c r="C1512" s="11">
        <v>16760975</v>
      </c>
      <c r="D1512" s="11">
        <v>31554602</v>
      </c>
      <c r="E1512" s="11">
        <v>26041649</v>
      </c>
    </row>
    <row r="1513" spans="1:5" x14ac:dyDescent="0.25">
      <c r="A1513" s="11" t="s">
        <v>1289</v>
      </c>
      <c r="B1513" s="11">
        <v>8952293</v>
      </c>
      <c r="C1513" s="11">
        <v>35329</v>
      </c>
      <c r="D1513" s="11">
        <v>8916964</v>
      </c>
      <c r="E1513" s="11">
        <v>5353336</v>
      </c>
    </row>
    <row r="1514" spans="1:5" x14ac:dyDescent="0.25">
      <c r="A1514" s="11" t="s">
        <v>1290</v>
      </c>
      <c r="B1514" s="11">
        <v>121282</v>
      </c>
      <c r="C1514" s="11">
        <v>0</v>
      </c>
      <c r="D1514" s="11">
        <v>121282</v>
      </c>
      <c r="E1514" s="11">
        <v>112141</v>
      </c>
    </row>
    <row r="1515" spans="1:5" x14ac:dyDescent="0.25">
      <c r="A1515" s="11" t="s">
        <v>1291</v>
      </c>
      <c r="B1515" s="11">
        <v>2605222</v>
      </c>
      <c r="C1515" s="11">
        <v>1393701</v>
      </c>
      <c r="D1515" s="11">
        <v>1211521</v>
      </c>
      <c r="E1515" s="11">
        <v>1768535</v>
      </c>
    </row>
    <row r="1516" spans="1:5" x14ac:dyDescent="0.25">
      <c r="A1516" s="11" t="s">
        <v>1971</v>
      </c>
      <c r="B1516" s="11">
        <v>4048199</v>
      </c>
      <c r="C1516" s="11">
        <v>0</v>
      </c>
      <c r="D1516" s="11">
        <v>4048199</v>
      </c>
      <c r="E1516" s="11">
        <v>2967473</v>
      </c>
    </row>
    <row r="1517" spans="1:5" x14ac:dyDescent="0.25">
      <c r="A1517" s="11" t="s">
        <v>1292</v>
      </c>
      <c r="B1517" s="11">
        <v>5991153</v>
      </c>
      <c r="C1517" s="11">
        <v>1002514</v>
      </c>
      <c r="D1517" s="11">
        <v>4988639</v>
      </c>
      <c r="E1517" s="11">
        <v>6248609</v>
      </c>
    </row>
    <row r="1518" spans="1:5" x14ac:dyDescent="0.25">
      <c r="A1518" s="11" t="s">
        <v>1293</v>
      </c>
      <c r="B1518" s="11">
        <v>60156303</v>
      </c>
      <c r="C1518" s="11">
        <v>27127949</v>
      </c>
      <c r="D1518" s="11">
        <v>33028354</v>
      </c>
      <c r="E1518" s="11">
        <v>31648601</v>
      </c>
    </row>
    <row r="1519" spans="1:5" x14ac:dyDescent="0.25">
      <c r="A1519" s="11" t="s">
        <v>1294</v>
      </c>
      <c r="B1519" s="11">
        <v>48740803</v>
      </c>
      <c r="C1519" s="11">
        <v>21158094</v>
      </c>
      <c r="D1519" s="11">
        <v>27582709</v>
      </c>
      <c r="E1519" s="11">
        <v>23440610</v>
      </c>
    </row>
    <row r="1520" spans="1:5" x14ac:dyDescent="0.25">
      <c r="A1520" s="11" t="s">
        <v>1295</v>
      </c>
      <c r="B1520" s="11">
        <v>41019644</v>
      </c>
      <c r="C1520" s="11">
        <v>18543525</v>
      </c>
      <c r="D1520" s="11">
        <v>22476119</v>
      </c>
      <c r="E1520" s="11">
        <v>22328222</v>
      </c>
    </row>
    <row r="1521" spans="1:5" x14ac:dyDescent="0.25">
      <c r="A1521" s="11" t="s">
        <v>1972</v>
      </c>
      <c r="B1521" s="11">
        <v>6237870</v>
      </c>
      <c r="C1521" s="11">
        <v>2614569</v>
      </c>
      <c r="D1521" s="11">
        <v>3623301</v>
      </c>
      <c r="E1521" s="11">
        <v>0</v>
      </c>
    </row>
    <row r="1522" spans="1:5" x14ac:dyDescent="0.25">
      <c r="A1522" s="11" t="s">
        <v>1296</v>
      </c>
      <c r="B1522" s="11">
        <v>1483289</v>
      </c>
      <c r="C1522" s="11">
        <v>0</v>
      </c>
      <c r="D1522" s="11">
        <v>1483289</v>
      </c>
      <c r="E1522" s="11">
        <v>1112388</v>
      </c>
    </row>
    <row r="1523" spans="1:5" x14ac:dyDescent="0.25">
      <c r="A1523" s="11" t="s">
        <v>1297</v>
      </c>
      <c r="B1523" s="11">
        <v>11415500</v>
      </c>
      <c r="C1523" s="11">
        <v>5969855</v>
      </c>
      <c r="D1523" s="11">
        <v>5445645</v>
      </c>
      <c r="E1523" s="11">
        <v>8207991</v>
      </c>
    </row>
    <row r="1524" spans="1:5" x14ac:dyDescent="0.25">
      <c r="A1524" s="11" t="s">
        <v>1298</v>
      </c>
      <c r="B1524" s="11">
        <v>636727</v>
      </c>
      <c r="C1524" s="11">
        <v>0</v>
      </c>
      <c r="D1524" s="11">
        <v>636727</v>
      </c>
      <c r="E1524" s="11">
        <v>636727</v>
      </c>
    </row>
    <row r="1525" spans="1:5" x14ac:dyDescent="0.25">
      <c r="A1525" s="11" t="s">
        <v>1299</v>
      </c>
      <c r="B1525" s="11">
        <v>7701547</v>
      </c>
      <c r="C1525" s="11">
        <v>5969855</v>
      </c>
      <c r="D1525" s="11">
        <v>1731692</v>
      </c>
      <c r="E1525" s="11">
        <v>5128148</v>
      </c>
    </row>
    <row r="1526" spans="1:5" x14ac:dyDescent="0.25">
      <c r="A1526" s="11" t="s">
        <v>1300</v>
      </c>
      <c r="B1526" s="11">
        <v>3077226</v>
      </c>
      <c r="C1526" s="11">
        <v>0</v>
      </c>
      <c r="D1526" s="11">
        <v>3077226</v>
      </c>
      <c r="E1526" s="11">
        <v>2443116</v>
      </c>
    </row>
    <row r="1527" spans="1:5" x14ac:dyDescent="0.25">
      <c r="A1527" s="11" t="s">
        <v>1301</v>
      </c>
      <c r="B1527" s="11">
        <v>1409113946</v>
      </c>
      <c r="C1527" s="11">
        <v>74313075</v>
      </c>
      <c r="D1527" s="11">
        <v>1334800871</v>
      </c>
      <c r="E1527" s="11">
        <v>1210860987</v>
      </c>
    </row>
    <row r="1528" spans="1:5" x14ac:dyDescent="0.25">
      <c r="A1528" s="11" t="s">
        <v>1302</v>
      </c>
      <c r="B1528" s="11">
        <v>336068821</v>
      </c>
      <c r="C1528" s="11">
        <v>0</v>
      </c>
      <c r="D1528" s="11">
        <v>336068821</v>
      </c>
      <c r="E1528" s="11">
        <v>278464729</v>
      </c>
    </row>
    <row r="1529" spans="1:5" x14ac:dyDescent="0.25">
      <c r="A1529" s="11" t="s">
        <v>1303</v>
      </c>
      <c r="B1529" s="11">
        <v>1745182767</v>
      </c>
      <c r="C1529" s="11">
        <v>74313075</v>
      </c>
      <c r="D1529" s="11">
        <v>1670869692</v>
      </c>
      <c r="E1529" s="11">
        <v>1489325716</v>
      </c>
    </row>
    <row r="1530" spans="1:5" x14ac:dyDescent="0.25">
      <c r="A1530" s="93" t="s">
        <v>2293</v>
      </c>
      <c r="B1530" s="93"/>
      <c r="C1530" s="93"/>
      <c r="D1530" s="93">
        <v>1301772517</v>
      </c>
      <c r="E1530" s="93">
        <v>1179212386</v>
      </c>
    </row>
    <row r="1531" spans="1:5" x14ac:dyDescent="0.25">
      <c r="A1531" s="93" t="s">
        <v>2294</v>
      </c>
      <c r="B1531" s="93"/>
      <c r="C1531" s="93"/>
      <c r="D1531" s="93">
        <v>131421903</v>
      </c>
      <c r="E1531" s="93">
        <v>90279094</v>
      </c>
    </row>
    <row r="1532" spans="1:5" x14ac:dyDescent="0.25">
      <c r="A1532" s="93" t="s">
        <v>2295</v>
      </c>
      <c r="B1532" s="93"/>
      <c r="C1532" s="93"/>
      <c r="D1532" s="93">
        <v>11729513</v>
      </c>
      <c r="E1532" s="93">
        <v>9550532</v>
      </c>
    </row>
    <row r="1533" spans="1:5" x14ac:dyDescent="0.25">
      <c r="A1533" s="93" t="s">
        <v>2296</v>
      </c>
      <c r="B1533" s="93"/>
      <c r="C1533" s="93"/>
      <c r="D1533" s="93">
        <v>27394700</v>
      </c>
      <c r="E1533" s="93">
        <v>8362408</v>
      </c>
    </row>
    <row r="1534" spans="1:5" x14ac:dyDescent="0.25">
      <c r="A1534" s="93" t="s">
        <v>2297</v>
      </c>
      <c r="B1534" s="93"/>
      <c r="C1534" s="93"/>
      <c r="D1534" s="93">
        <v>89460942</v>
      </c>
      <c r="E1534" s="93">
        <v>68734983</v>
      </c>
    </row>
    <row r="1535" spans="1:5" x14ac:dyDescent="0.25">
      <c r="A1535" s="93" t="s">
        <v>2298</v>
      </c>
      <c r="B1535" s="93"/>
      <c r="C1535" s="93"/>
      <c r="D1535" s="93">
        <v>2836748</v>
      </c>
      <c r="E1535" s="93">
        <v>3631171</v>
      </c>
    </row>
    <row r="1536" spans="1:5" x14ac:dyDescent="0.25">
      <c r="A1536" s="93" t="s">
        <v>2299</v>
      </c>
      <c r="B1536" s="93"/>
      <c r="C1536" s="93"/>
      <c r="D1536" s="93">
        <v>108391381</v>
      </c>
      <c r="E1536" s="93">
        <v>143624860</v>
      </c>
    </row>
    <row r="1537" spans="1:5" x14ac:dyDescent="0.25">
      <c r="A1537" s="93" t="s">
        <v>2300</v>
      </c>
      <c r="B1537" s="93"/>
      <c r="C1537" s="93"/>
      <c r="D1537" s="93">
        <v>108391381</v>
      </c>
      <c r="E1537" s="93">
        <v>143624860</v>
      </c>
    </row>
    <row r="1538" spans="1:5" x14ac:dyDescent="0.25">
      <c r="A1538" s="11" t="s">
        <v>1304</v>
      </c>
      <c r="B1538" s="11"/>
      <c r="C1538" s="11"/>
      <c r="D1538" s="11">
        <v>1224299308</v>
      </c>
      <c r="E1538" s="11">
        <v>1105334948</v>
      </c>
    </row>
    <row r="1539" spans="1:5" x14ac:dyDescent="0.25">
      <c r="A1539" s="11" t="s">
        <v>1305</v>
      </c>
      <c r="B1539" s="11"/>
      <c r="C1539" s="11"/>
      <c r="D1539" s="11">
        <v>1162278448</v>
      </c>
      <c r="E1539" s="11">
        <v>1059202786</v>
      </c>
    </row>
    <row r="1540" spans="1:5" x14ac:dyDescent="0.25">
      <c r="A1540" s="11" t="s">
        <v>1306</v>
      </c>
      <c r="B1540" s="11"/>
      <c r="C1540" s="11"/>
      <c r="D1540" s="11">
        <v>447486904</v>
      </c>
      <c r="E1540" s="11">
        <v>628472908</v>
      </c>
    </row>
    <row r="1541" spans="1:5" x14ac:dyDescent="0.25">
      <c r="A1541" s="11" t="s">
        <v>1307</v>
      </c>
      <c r="B1541" s="11"/>
      <c r="C1541" s="11"/>
      <c r="D1541" s="11">
        <v>363578194</v>
      </c>
      <c r="E1541" s="11">
        <v>132253431</v>
      </c>
    </row>
    <row r="1542" spans="1:5" x14ac:dyDescent="0.25">
      <c r="A1542" s="11" t="s">
        <v>1308</v>
      </c>
      <c r="B1542" s="11"/>
      <c r="C1542" s="11"/>
      <c r="D1542" s="11">
        <v>351213350</v>
      </c>
      <c r="E1542" s="11">
        <v>298476447</v>
      </c>
    </row>
    <row r="1543" spans="1:5" x14ac:dyDescent="0.25">
      <c r="A1543" s="11" t="s">
        <v>1309</v>
      </c>
      <c r="B1543" s="11"/>
      <c r="C1543" s="11"/>
      <c r="D1543" s="11">
        <v>233413</v>
      </c>
      <c r="E1543" s="11">
        <v>94553</v>
      </c>
    </row>
    <row r="1544" spans="1:5" x14ac:dyDescent="0.25">
      <c r="A1544" s="11" t="s">
        <v>1310</v>
      </c>
      <c r="B1544" s="11"/>
      <c r="C1544" s="11"/>
      <c r="D1544" s="11">
        <v>199371</v>
      </c>
      <c r="E1544" s="11">
        <v>94553</v>
      </c>
    </row>
    <row r="1545" spans="1:5" x14ac:dyDescent="0.25">
      <c r="A1545" s="11" t="s">
        <v>1311</v>
      </c>
      <c r="B1545" s="11"/>
      <c r="C1545" s="11"/>
      <c r="D1545" s="11">
        <v>34042</v>
      </c>
      <c r="E1545" s="11">
        <v>0</v>
      </c>
    </row>
    <row r="1546" spans="1:5" x14ac:dyDescent="0.25">
      <c r="A1546" s="11" t="s">
        <v>1312</v>
      </c>
      <c r="B1546" s="11"/>
      <c r="C1546" s="11"/>
      <c r="D1546" s="11">
        <v>61787447</v>
      </c>
      <c r="E1546" s="11">
        <v>46037609</v>
      </c>
    </row>
    <row r="1547" spans="1:5" x14ac:dyDescent="0.25">
      <c r="A1547" s="11" t="s">
        <v>1313</v>
      </c>
      <c r="B1547" s="11"/>
      <c r="C1547" s="11"/>
      <c r="D1547" s="11">
        <v>824757</v>
      </c>
      <c r="E1547" s="11">
        <v>195577</v>
      </c>
    </row>
    <row r="1548" spans="1:5" x14ac:dyDescent="0.25">
      <c r="A1548" s="11" t="s">
        <v>1314</v>
      </c>
      <c r="B1548" s="11"/>
      <c r="C1548" s="11"/>
      <c r="D1548" s="11">
        <v>2282848</v>
      </c>
      <c r="E1548" s="11">
        <v>1524912</v>
      </c>
    </row>
    <row r="1549" spans="1:5" x14ac:dyDescent="0.25">
      <c r="A1549" s="11" t="s">
        <v>1315</v>
      </c>
      <c r="B1549" s="11"/>
      <c r="C1549" s="11"/>
      <c r="D1549" s="11">
        <v>740848</v>
      </c>
      <c r="E1549" s="11">
        <v>210083</v>
      </c>
    </row>
    <row r="1550" spans="1:5" x14ac:dyDescent="0.25">
      <c r="A1550" s="11" t="s">
        <v>1316</v>
      </c>
      <c r="B1550" s="11"/>
      <c r="C1550" s="11"/>
      <c r="D1550" s="11">
        <v>102133</v>
      </c>
      <c r="E1550" s="11">
        <v>484191</v>
      </c>
    </row>
    <row r="1551" spans="1:5" x14ac:dyDescent="0.25">
      <c r="A1551" s="11" t="s">
        <v>1317</v>
      </c>
      <c r="B1551" s="11"/>
      <c r="C1551" s="11"/>
      <c r="D1551" s="11">
        <v>82041</v>
      </c>
      <c r="E1551" s="11">
        <v>82041</v>
      </c>
    </row>
    <row r="1552" spans="1:5" x14ac:dyDescent="0.25">
      <c r="A1552" s="11" t="s">
        <v>1318</v>
      </c>
      <c r="B1552" s="11"/>
      <c r="C1552" s="11"/>
      <c r="D1552" s="11">
        <v>2085420</v>
      </c>
      <c r="E1552" s="11">
        <v>2988229</v>
      </c>
    </row>
    <row r="1553" spans="1:5" x14ac:dyDescent="0.25">
      <c r="A1553" s="11" t="s">
        <v>1319</v>
      </c>
      <c r="B1553" s="11"/>
      <c r="C1553" s="11"/>
      <c r="D1553" s="11">
        <v>21387029</v>
      </c>
      <c r="E1553" s="11">
        <v>11957852</v>
      </c>
    </row>
    <row r="1554" spans="1:5" x14ac:dyDescent="0.25">
      <c r="A1554" s="11" t="s">
        <v>1320</v>
      </c>
      <c r="B1554" s="11"/>
      <c r="C1554" s="11"/>
      <c r="D1554" s="11">
        <v>28617803</v>
      </c>
      <c r="E1554" s="11">
        <v>18017285</v>
      </c>
    </row>
    <row r="1555" spans="1:5" x14ac:dyDescent="0.25">
      <c r="A1555" s="11" t="s">
        <v>1321</v>
      </c>
      <c r="B1555" s="11"/>
      <c r="C1555" s="11"/>
      <c r="D1555" s="11">
        <v>958105</v>
      </c>
      <c r="E1555" s="11">
        <v>6536687</v>
      </c>
    </row>
    <row r="1556" spans="1:5" x14ac:dyDescent="0.25">
      <c r="A1556" s="11" t="s">
        <v>1322</v>
      </c>
      <c r="B1556" s="11"/>
      <c r="C1556" s="11"/>
      <c r="D1556" s="11">
        <v>4030957</v>
      </c>
      <c r="E1556" s="11">
        <v>3300912</v>
      </c>
    </row>
    <row r="1557" spans="1:5" x14ac:dyDescent="0.25">
      <c r="A1557" s="11" t="s">
        <v>1323</v>
      </c>
      <c r="B1557" s="11"/>
      <c r="C1557" s="11"/>
      <c r="D1557" s="11">
        <v>675506</v>
      </c>
      <c r="E1557" s="11">
        <v>739840</v>
      </c>
    </row>
    <row r="1558" spans="1:5" x14ac:dyDescent="0.25">
      <c r="A1558" s="11" t="s">
        <v>1324</v>
      </c>
      <c r="B1558" s="11"/>
      <c r="C1558" s="11"/>
      <c r="D1558" s="11">
        <v>110501563</v>
      </c>
      <c r="E1558" s="11">
        <v>105526039</v>
      </c>
    </row>
    <row r="1559" spans="1:5" x14ac:dyDescent="0.25">
      <c r="A1559" s="11" t="s">
        <v>1325</v>
      </c>
      <c r="B1559" s="11"/>
      <c r="C1559" s="11"/>
      <c r="D1559" s="11">
        <v>78932994</v>
      </c>
      <c r="E1559" s="11">
        <v>78932994</v>
      </c>
    </row>
    <row r="1560" spans="1:5" x14ac:dyDescent="0.25">
      <c r="A1560" s="11" t="s">
        <v>1326</v>
      </c>
      <c r="B1560" s="11"/>
      <c r="C1560" s="11"/>
      <c r="D1560" s="11">
        <v>70863294</v>
      </c>
      <c r="E1560" s="11">
        <v>70863294</v>
      </c>
    </row>
    <row r="1561" spans="1:5" x14ac:dyDescent="0.25">
      <c r="A1561" s="11" t="s">
        <v>1327</v>
      </c>
      <c r="B1561" s="11"/>
      <c r="C1561" s="11"/>
      <c r="D1561" s="11">
        <v>8069700</v>
      </c>
      <c r="E1561" s="11">
        <v>8069700</v>
      </c>
    </row>
    <row r="1562" spans="1:5" x14ac:dyDescent="0.25">
      <c r="A1562" s="11" t="s">
        <v>1328</v>
      </c>
      <c r="B1562" s="11"/>
      <c r="C1562" s="11"/>
      <c r="D1562" s="11">
        <v>10012596</v>
      </c>
      <c r="E1562" s="11">
        <v>8659142</v>
      </c>
    </row>
    <row r="1563" spans="1:5" x14ac:dyDescent="0.25">
      <c r="A1563" s="11" t="s">
        <v>1329</v>
      </c>
      <c r="B1563" s="11"/>
      <c r="C1563" s="11"/>
      <c r="D1563" s="11">
        <v>3795943</v>
      </c>
      <c r="E1563" s="11">
        <v>3338065</v>
      </c>
    </row>
    <row r="1564" spans="1:5" x14ac:dyDescent="0.25">
      <c r="A1564" s="11" t="s">
        <v>1330</v>
      </c>
      <c r="B1564" s="11"/>
      <c r="C1564" s="11"/>
      <c r="D1564" s="11">
        <v>6216653</v>
      </c>
      <c r="E1564" s="11">
        <v>5321077</v>
      </c>
    </row>
    <row r="1565" spans="1:5" x14ac:dyDescent="0.25">
      <c r="A1565" s="11" t="s">
        <v>1973</v>
      </c>
      <c r="B1565" s="11"/>
      <c r="C1565" s="11"/>
      <c r="D1565" s="11">
        <v>-80000</v>
      </c>
      <c r="E1565" s="11">
        <v>0</v>
      </c>
    </row>
    <row r="1566" spans="1:5" x14ac:dyDescent="0.25">
      <c r="A1566" s="11" t="s">
        <v>1974</v>
      </c>
      <c r="B1566" s="11"/>
      <c r="C1566" s="11"/>
      <c r="D1566" s="11">
        <v>-80000</v>
      </c>
      <c r="E1566" s="11">
        <v>0</v>
      </c>
    </row>
    <row r="1567" spans="1:5" x14ac:dyDescent="0.25">
      <c r="A1567" s="11" t="s">
        <v>1331</v>
      </c>
      <c r="B1567" s="11"/>
      <c r="C1567" s="11"/>
      <c r="D1567" s="11">
        <v>21635973</v>
      </c>
      <c r="E1567" s="11">
        <v>17933903</v>
      </c>
    </row>
    <row r="1568" spans="1:5" x14ac:dyDescent="0.25">
      <c r="A1568" s="11" t="s">
        <v>1332</v>
      </c>
      <c r="B1568" s="11"/>
      <c r="C1568" s="11"/>
      <c r="D1568" s="11">
        <v>5055524</v>
      </c>
      <c r="E1568" s="11">
        <v>10053148</v>
      </c>
    </row>
    <row r="1569" spans="1:5" x14ac:dyDescent="0.25">
      <c r="A1569" s="11" t="s">
        <v>1333</v>
      </c>
      <c r="B1569" s="11"/>
      <c r="C1569" s="11"/>
      <c r="D1569" s="11">
        <v>16580449</v>
      </c>
      <c r="E1569" s="11">
        <v>7880755</v>
      </c>
    </row>
    <row r="1570" spans="1:5" x14ac:dyDescent="0.25">
      <c r="A1570" s="11" t="s">
        <v>1334</v>
      </c>
      <c r="B1570" s="11"/>
      <c r="C1570" s="11"/>
      <c r="D1570" s="11">
        <v>1334800871</v>
      </c>
      <c r="E1570" s="11">
        <v>1210860987</v>
      </c>
    </row>
    <row r="1571" spans="1:5" x14ac:dyDescent="0.25">
      <c r="A1571" s="11" t="s">
        <v>1335</v>
      </c>
      <c r="B1571" s="11"/>
      <c r="C1571" s="11"/>
      <c r="D1571" s="11">
        <v>336068821</v>
      </c>
      <c r="E1571" s="11">
        <v>278464729</v>
      </c>
    </row>
    <row r="1572" spans="1:5" x14ac:dyDescent="0.25">
      <c r="A1572" s="11" t="s">
        <v>1336</v>
      </c>
      <c r="B1572" s="11"/>
      <c r="C1572" s="11"/>
      <c r="D1572" s="11">
        <v>1670869692</v>
      </c>
      <c r="E1572" s="11">
        <v>1489325716</v>
      </c>
    </row>
    <row r="1573" spans="1:5" x14ac:dyDescent="0.25">
      <c r="A1573" s="11" t="s">
        <v>1337</v>
      </c>
      <c r="B1573" s="11"/>
      <c r="C1573" s="11"/>
      <c r="D1573" s="11">
        <v>35263523</v>
      </c>
      <c r="E1573" s="11">
        <v>31033775</v>
      </c>
    </row>
    <row r="1574" spans="1:5" x14ac:dyDescent="0.25">
      <c r="A1574" s="11" t="s">
        <v>1338</v>
      </c>
      <c r="B1574" s="11"/>
      <c r="C1574" s="11"/>
      <c r="D1574" s="11">
        <v>2423531</v>
      </c>
      <c r="E1574" s="11">
        <v>2217184</v>
      </c>
    </row>
    <row r="1575" spans="1:5" x14ac:dyDescent="0.25">
      <c r="A1575" s="11" t="s">
        <v>1339</v>
      </c>
      <c r="B1575" s="11"/>
      <c r="C1575" s="11"/>
      <c r="D1575" s="11">
        <v>32601238</v>
      </c>
      <c r="E1575" s="11">
        <v>28333623</v>
      </c>
    </row>
    <row r="1576" spans="1:5" x14ac:dyDescent="0.25">
      <c r="A1576" s="11" t="s">
        <v>1340</v>
      </c>
      <c r="B1576" s="11"/>
      <c r="C1576" s="11"/>
      <c r="D1576" s="11">
        <v>238754</v>
      </c>
      <c r="E1576" s="11">
        <v>482968</v>
      </c>
    </row>
    <row r="1577" spans="1:5" x14ac:dyDescent="0.25">
      <c r="A1577" s="11" t="s">
        <v>1341</v>
      </c>
      <c r="B1577" s="11"/>
      <c r="C1577" s="11"/>
      <c r="D1577" s="11">
        <v>17939185</v>
      </c>
      <c r="E1577" s="11">
        <v>12741972</v>
      </c>
    </row>
    <row r="1578" spans="1:5" x14ac:dyDescent="0.25">
      <c r="A1578" s="11" t="s">
        <v>1342</v>
      </c>
      <c r="B1578" s="11"/>
      <c r="C1578" s="11"/>
      <c r="D1578" s="11">
        <v>7810705</v>
      </c>
      <c r="E1578" s="11">
        <v>6986849</v>
      </c>
    </row>
    <row r="1579" spans="1:5" x14ac:dyDescent="0.25">
      <c r="A1579" s="11" t="s">
        <v>1343</v>
      </c>
      <c r="B1579" s="11"/>
      <c r="C1579" s="11"/>
      <c r="D1579" s="11">
        <v>3331062</v>
      </c>
      <c r="E1579" s="11">
        <v>525186</v>
      </c>
    </row>
    <row r="1580" spans="1:5" x14ac:dyDescent="0.25">
      <c r="A1580" s="11" t="s">
        <v>1344</v>
      </c>
      <c r="B1580" s="11"/>
      <c r="C1580" s="11"/>
      <c r="D1580" s="11">
        <v>6797418</v>
      </c>
      <c r="E1580" s="11">
        <v>5229937</v>
      </c>
    </row>
    <row r="1581" spans="1:5" x14ac:dyDescent="0.25">
      <c r="A1581" s="11" t="s">
        <v>1345</v>
      </c>
      <c r="B1581" s="11"/>
      <c r="C1581" s="11"/>
      <c r="D1581" s="11">
        <v>17324338</v>
      </c>
      <c r="E1581" s="11">
        <v>18291803</v>
      </c>
    </row>
    <row r="1582" spans="1:5" x14ac:dyDescent="0.25">
      <c r="A1582" s="11" t="s">
        <v>1346</v>
      </c>
      <c r="B1582" s="11"/>
      <c r="C1582" s="11"/>
      <c r="D1582" s="11">
        <v>13242628</v>
      </c>
      <c r="E1582" s="11">
        <v>9200745</v>
      </c>
    </row>
    <row r="1583" spans="1:5" x14ac:dyDescent="0.25">
      <c r="A1583" s="11" t="s">
        <v>1347</v>
      </c>
      <c r="B1583" s="11"/>
      <c r="C1583" s="11"/>
      <c r="D1583" s="11">
        <v>4086504</v>
      </c>
      <c r="E1583" s="11">
        <v>3667029</v>
      </c>
    </row>
    <row r="1584" spans="1:5" x14ac:dyDescent="0.25">
      <c r="A1584" s="11" t="s">
        <v>1348</v>
      </c>
      <c r="B1584" s="11"/>
      <c r="C1584" s="11"/>
      <c r="D1584" s="11">
        <v>5895449</v>
      </c>
      <c r="E1584" s="11">
        <v>3375758</v>
      </c>
    </row>
    <row r="1585" spans="1:5" x14ac:dyDescent="0.25">
      <c r="A1585" s="11" t="s">
        <v>1349</v>
      </c>
      <c r="B1585" s="11"/>
      <c r="C1585" s="11"/>
      <c r="D1585" s="11">
        <v>3260675</v>
      </c>
      <c r="E1585" s="11">
        <v>2157958</v>
      </c>
    </row>
    <row r="1586" spans="1:5" x14ac:dyDescent="0.25">
      <c r="A1586" s="11" t="s">
        <v>1350</v>
      </c>
      <c r="B1586" s="11"/>
      <c r="C1586" s="11"/>
      <c r="D1586" s="11">
        <v>1908441</v>
      </c>
      <c r="E1586" s="11">
        <v>1673983</v>
      </c>
    </row>
    <row r="1587" spans="1:5" x14ac:dyDescent="0.25">
      <c r="A1587" s="11" t="s">
        <v>1351</v>
      </c>
      <c r="B1587" s="11"/>
      <c r="C1587" s="11"/>
      <c r="D1587" s="11">
        <v>235048</v>
      </c>
      <c r="E1587" s="11">
        <v>226889</v>
      </c>
    </row>
    <row r="1588" spans="1:5" x14ac:dyDescent="0.25">
      <c r="A1588" s="11" t="s">
        <v>1352</v>
      </c>
      <c r="B1588" s="11"/>
      <c r="C1588" s="11"/>
      <c r="D1588" s="11">
        <v>34260</v>
      </c>
      <c r="E1588" s="11">
        <v>61256</v>
      </c>
    </row>
    <row r="1589" spans="1:5" x14ac:dyDescent="0.25">
      <c r="A1589" s="11" t="s">
        <v>1353</v>
      </c>
      <c r="B1589" s="11"/>
      <c r="C1589" s="11"/>
      <c r="D1589" s="11">
        <v>1639133</v>
      </c>
      <c r="E1589" s="11">
        <v>1385838</v>
      </c>
    </row>
    <row r="1590" spans="1:5" x14ac:dyDescent="0.25">
      <c r="A1590" s="11" t="s">
        <v>1354</v>
      </c>
      <c r="B1590" s="11"/>
      <c r="C1590" s="11"/>
      <c r="D1590" s="11">
        <v>11334187</v>
      </c>
      <c r="E1590" s="11">
        <v>7526762</v>
      </c>
    </row>
    <row r="1591" spans="1:5" x14ac:dyDescent="0.25">
      <c r="A1591" s="11" t="s">
        <v>1355</v>
      </c>
      <c r="B1591" s="11"/>
      <c r="C1591" s="11"/>
      <c r="D1591" s="11">
        <v>28658525</v>
      </c>
      <c r="E1591" s="11">
        <v>25818565</v>
      </c>
    </row>
    <row r="1592" spans="1:5" x14ac:dyDescent="0.25">
      <c r="A1592" s="11" t="s">
        <v>1356</v>
      </c>
      <c r="B1592" s="11"/>
      <c r="C1592" s="11"/>
      <c r="D1592" s="11">
        <v>20588125</v>
      </c>
      <c r="E1592" s="11">
        <v>14495449</v>
      </c>
    </row>
    <row r="1593" spans="1:5" x14ac:dyDescent="0.25">
      <c r="A1593" s="11" t="s">
        <v>1357</v>
      </c>
      <c r="B1593" s="11"/>
      <c r="C1593" s="11"/>
      <c r="D1593" s="11">
        <v>16829605</v>
      </c>
      <c r="E1593" s="11">
        <v>11703048</v>
      </c>
    </row>
    <row r="1594" spans="1:5" x14ac:dyDescent="0.25">
      <c r="A1594" s="11" t="s">
        <v>1358</v>
      </c>
      <c r="B1594" s="11"/>
      <c r="C1594" s="11"/>
      <c r="D1594" s="11">
        <v>2961914</v>
      </c>
      <c r="E1594" s="11">
        <v>1287772</v>
      </c>
    </row>
    <row r="1595" spans="1:5" x14ac:dyDescent="0.25">
      <c r="A1595" s="11" t="s">
        <v>1932</v>
      </c>
      <c r="B1595" s="11"/>
      <c r="C1595" s="11"/>
      <c r="D1595" s="11">
        <v>0</v>
      </c>
      <c r="E1595" s="11">
        <v>105200</v>
      </c>
    </row>
    <row r="1596" spans="1:5" x14ac:dyDescent="0.25">
      <c r="A1596" s="11" t="s">
        <v>1975</v>
      </c>
      <c r="B1596" s="11"/>
      <c r="C1596" s="11"/>
      <c r="D1596" s="11">
        <v>23400</v>
      </c>
      <c r="E1596" s="11">
        <v>0</v>
      </c>
    </row>
    <row r="1597" spans="1:5" x14ac:dyDescent="0.25">
      <c r="A1597" s="11" t="s">
        <v>1359</v>
      </c>
      <c r="B1597" s="11"/>
      <c r="C1597" s="11"/>
      <c r="D1597" s="11">
        <v>773206</v>
      </c>
      <c r="E1597" s="11">
        <v>1399429</v>
      </c>
    </row>
    <row r="1598" spans="1:5" x14ac:dyDescent="0.25">
      <c r="A1598" s="11" t="s">
        <v>1360</v>
      </c>
      <c r="B1598" s="11"/>
      <c r="C1598" s="11"/>
      <c r="D1598" s="11">
        <v>45101424</v>
      </c>
      <c r="E1598" s="11">
        <v>35651092</v>
      </c>
    </row>
    <row r="1599" spans="1:5" x14ac:dyDescent="0.25">
      <c r="A1599" s="11" t="s">
        <v>1361</v>
      </c>
      <c r="B1599" s="11"/>
      <c r="C1599" s="11"/>
      <c r="D1599" s="11">
        <v>21528848</v>
      </c>
      <c r="E1599" s="11">
        <v>15520674</v>
      </c>
    </row>
    <row r="1600" spans="1:5" x14ac:dyDescent="0.25">
      <c r="A1600" s="11" t="s">
        <v>1362</v>
      </c>
      <c r="B1600" s="11"/>
      <c r="C1600" s="11"/>
      <c r="D1600" s="11">
        <v>2086598</v>
      </c>
      <c r="E1600" s="11">
        <v>1754195</v>
      </c>
    </row>
    <row r="1601" spans="1:5" x14ac:dyDescent="0.25">
      <c r="A1601" s="11" t="s">
        <v>1363</v>
      </c>
      <c r="B1601" s="11"/>
      <c r="C1601" s="11"/>
      <c r="D1601" s="11">
        <v>5228</v>
      </c>
      <c r="E1601" s="11">
        <v>148825</v>
      </c>
    </row>
    <row r="1602" spans="1:5" x14ac:dyDescent="0.25">
      <c r="A1602" s="11" t="s">
        <v>1364</v>
      </c>
      <c r="B1602" s="11"/>
      <c r="C1602" s="11"/>
      <c r="D1602" s="11">
        <v>8552473</v>
      </c>
      <c r="E1602" s="11">
        <v>7676468</v>
      </c>
    </row>
    <row r="1603" spans="1:5" x14ac:dyDescent="0.25">
      <c r="A1603" s="11" t="s">
        <v>1365</v>
      </c>
      <c r="B1603" s="11"/>
      <c r="C1603" s="11"/>
      <c r="D1603" s="11">
        <v>285916</v>
      </c>
      <c r="E1603" s="11">
        <v>179233</v>
      </c>
    </row>
    <row r="1604" spans="1:5" x14ac:dyDescent="0.25">
      <c r="A1604" s="11" t="s">
        <v>1366</v>
      </c>
      <c r="B1604" s="11"/>
      <c r="C1604" s="11"/>
      <c r="D1604" s="11">
        <v>180488</v>
      </c>
      <c r="E1604" s="11">
        <v>134098</v>
      </c>
    </row>
    <row r="1605" spans="1:5" x14ac:dyDescent="0.25">
      <c r="A1605" s="11" t="s">
        <v>1367</v>
      </c>
      <c r="B1605" s="11"/>
      <c r="C1605" s="11"/>
      <c r="D1605" s="11">
        <v>796398</v>
      </c>
      <c r="E1605" s="11">
        <v>647276</v>
      </c>
    </row>
    <row r="1606" spans="1:5" x14ac:dyDescent="0.25">
      <c r="A1606" s="11" t="s">
        <v>1368</v>
      </c>
      <c r="B1606" s="11"/>
      <c r="C1606" s="11"/>
      <c r="D1606" s="11">
        <v>5159028</v>
      </c>
      <c r="E1606" s="11">
        <v>3952385</v>
      </c>
    </row>
    <row r="1607" spans="1:5" x14ac:dyDescent="0.25">
      <c r="A1607" s="11" t="s">
        <v>1369</v>
      </c>
      <c r="B1607" s="11"/>
      <c r="C1607" s="11"/>
      <c r="D1607" s="11">
        <v>2018126</v>
      </c>
      <c r="E1607" s="11">
        <v>2017886</v>
      </c>
    </row>
    <row r="1608" spans="1:5" x14ac:dyDescent="0.25">
      <c r="A1608" s="11" t="s">
        <v>1976</v>
      </c>
      <c r="B1608" s="11"/>
      <c r="C1608" s="11"/>
      <c r="D1608" s="11">
        <v>4082</v>
      </c>
      <c r="E1608" s="11">
        <v>0</v>
      </c>
    </row>
    <row r="1609" spans="1:5" x14ac:dyDescent="0.25">
      <c r="A1609" s="11" t="s">
        <v>1370</v>
      </c>
      <c r="B1609" s="11"/>
      <c r="C1609" s="11"/>
      <c r="D1609" s="11">
        <v>3988004</v>
      </c>
      <c r="E1609" s="11">
        <v>3283406</v>
      </c>
    </row>
    <row r="1610" spans="1:5" x14ac:dyDescent="0.25">
      <c r="A1610" s="11" t="s">
        <v>1371</v>
      </c>
      <c r="B1610" s="11"/>
      <c r="C1610" s="11"/>
      <c r="D1610" s="11">
        <v>229667</v>
      </c>
      <c r="E1610" s="11">
        <v>175269</v>
      </c>
    </row>
    <row r="1611" spans="1:5" x14ac:dyDescent="0.25">
      <c r="A1611" s="11" t="s">
        <v>1372</v>
      </c>
      <c r="B1611" s="11"/>
      <c r="C1611" s="11"/>
      <c r="D1611" s="11">
        <v>266568</v>
      </c>
      <c r="E1611" s="11">
        <v>161377</v>
      </c>
    </row>
    <row r="1612" spans="1:5" x14ac:dyDescent="0.25">
      <c r="A1612" s="11" t="s">
        <v>1373</v>
      </c>
      <c r="B1612" s="11"/>
      <c r="C1612" s="11"/>
      <c r="D1612" s="11">
        <v>24513299</v>
      </c>
      <c r="E1612" s="11">
        <v>21155643</v>
      </c>
    </row>
    <row r="1613" spans="1:5" x14ac:dyDescent="0.25">
      <c r="A1613" s="11" t="s">
        <v>1374</v>
      </c>
      <c r="B1613" s="11"/>
      <c r="C1613" s="11"/>
      <c r="D1613" s="11">
        <v>704922</v>
      </c>
      <c r="E1613" s="11">
        <v>965289</v>
      </c>
    </row>
    <row r="1614" spans="1:5" x14ac:dyDescent="0.25">
      <c r="A1614" s="11" t="s">
        <v>1375</v>
      </c>
      <c r="B1614" s="11"/>
      <c r="C1614" s="11"/>
      <c r="D1614" s="11">
        <v>402687</v>
      </c>
      <c r="E1614" s="11">
        <v>582158</v>
      </c>
    </row>
    <row r="1615" spans="1:5" x14ac:dyDescent="0.25">
      <c r="A1615" s="11" t="s">
        <v>1376</v>
      </c>
      <c r="B1615" s="11"/>
      <c r="C1615" s="11"/>
      <c r="D1615" s="11">
        <v>14440</v>
      </c>
      <c r="E1615" s="11">
        <v>39045</v>
      </c>
    </row>
    <row r="1616" spans="1:5" x14ac:dyDescent="0.25">
      <c r="A1616" s="11" t="s">
        <v>1377</v>
      </c>
      <c r="B1616" s="11"/>
      <c r="C1616" s="11"/>
      <c r="D1616" s="11">
        <v>22260</v>
      </c>
      <c r="E1616" s="11">
        <v>194525</v>
      </c>
    </row>
    <row r="1617" spans="1:5" x14ac:dyDescent="0.25">
      <c r="A1617" s="11" t="s">
        <v>1378</v>
      </c>
      <c r="B1617" s="11"/>
      <c r="C1617" s="11"/>
      <c r="D1617" s="11">
        <v>29702</v>
      </c>
      <c r="E1617" s="11">
        <v>580</v>
      </c>
    </row>
    <row r="1618" spans="1:5" x14ac:dyDescent="0.25">
      <c r="A1618" s="11" t="s">
        <v>1379</v>
      </c>
      <c r="B1618" s="11"/>
      <c r="C1618" s="11"/>
      <c r="D1618" s="11">
        <v>0</v>
      </c>
      <c r="E1618" s="11">
        <v>46</v>
      </c>
    </row>
    <row r="1619" spans="1:5" x14ac:dyDescent="0.25">
      <c r="A1619" s="11" t="s">
        <v>1380</v>
      </c>
      <c r="B1619" s="11"/>
      <c r="C1619" s="11"/>
      <c r="D1619" s="11">
        <v>235833</v>
      </c>
      <c r="E1619" s="11">
        <v>148935</v>
      </c>
    </row>
    <row r="1620" spans="1:5" x14ac:dyDescent="0.25">
      <c r="A1620" s="11" t="s">
        <v>1381</v>
      </c>
      <c r="B1620" s="11"/>
      <c r="C1620" s="11"/>
      <c r="D1620" s="11">
        <v>864548</v>
      </c>
      <c r="E1620" s="11">
        <v>871272</v>
      </c>
    </row>
    <row r="1621" spans="1:5" x14ac:dyDescent="0.25">
      <c r="A1621" s="11" t="s">
        <v>1382</v>
      </c>
      <c r="B1621" s="11"/>
      <c r="C1621" s="11"/>
      <c r="D1621" s="11">
        <v>235467</v>
      </c>
      <c r="E1621" s="11">
        <v>187390</v>
      </c>
    </row>
    <row r="1622" spans="1:5" x14ac:dyDescent="0.25">
      <c r="A1622" s="11" t="s">
        <v>1383</v>
      </c>
      <c r="B1622" s="11"/>
      <c r="C1622" s="11"/>
      <c r="D1622" s="11">
        <v>96375</v>
      </c>
      <c r="E1622" s="11">
        <v>23952</v>
      </c>
    </row>
    <row r="1623" spans="1:5" x14ac:dyDescent="0.25">
      <c r="A1623" s="11" t="s">
        <v>1384</v>
      </c>
      <c r="B1623" s="11"/>
      <c r="C1623" s="11"/>
      <c r="D1623" s="11">
        <v>56384</v>
      </c>
      <c r="E1623" s="11">
        <v>257397</v>
      </c>
    </row>
    <row r="1624" spans="1:5" x14ac:dyDescent="0.25">
      <c r="A1624" s="11" t="s">
        <v>1385</v>
      </c>
      <c r="B1624" s="11"/>
      <c r="C1624" s="11"/>
      <c r="D1624" s="11">
        <v>691</v>
      </c>
      <c r="E1624" s="11">
        <v>0</v>
      </c>
    </row>
    <row r="1625" spans="1:5" x14ac:dyDescent="0.25">
      <c r="A1625" s="11" t="s">
        <v>1977</v>
      </c>
      <c r="B1625" s="11"/>
      <c r="C1625" s="11"/>
      <c r="D1625" s="11">
        <v>68</v>
      </c>
      <c r="E1625" s="11">
        <v>0</v>
      </c>
    </row>
    <row r="1626" spans="1:5" x14ac:dyDescent="0.25">
      <c r="A1626" s="11" t="s">
        <v>1386</v>
      </c>
      <c r="B1626" s="11"/>
      <c r="C1626" s="11"/>
      <c r="D1626" s="11">
        <v>475563</v>
      </c>
      <c r="E1626" s="11">
        <v>402533</v>
      </c>
    </row>
    <row r="1627" spans="1:5" x14ac:dyDescent="0.25">
      <c r="A1627" s="11" t="s">
        <v>1387</v>
      </c>
      <c r="B1627" s="11"/>
      <c r="C1627" s="11"/>
      <c r="D1627" s="11">
        <v>0</v>
      </c>
      <c r="E1627" s="11">
        <v>94017</v>
      </c>
    </row>
    <row r="1628" spans="1:5" x14ac:dyDescent="0.25">
      <c r="A1628" s="11" t="s">
        <v>1388</v>
      </c>
      <c r="B1628" s="11"/>
      <c r="C1628" s="11"/>
      <c r="D1628" s="11">
        <v>159626</v>
      </c>
      <c r="E1628" s="11">
        <v>0</v>
      </c>
    </row>
    <row r="1629" spans="1:5" x14ac:dyDescent="0.25">
      <c r="A1629" s="11" t="s">
        <v>1389</v>
      </c>
      <c r="B1629" s="11"/>
      <c r="C1629" s="11"/>
      <c r="D1629" s="11">
        <v>3985600</v>
      </c>
      <c r="E1629" s="11">
        <v>4756939</v>
      </c>
    </row>
    <row r="1630" spans="1:5" x14ac:dyDescent="0.25">
      <c r="A1630" s="11" t="s">
        <v>1390</v>
      </c>
      <c r="B1630" s="11"/>
      <c r="C1630" s="11"/>
      <c r="D1630" s="11">
        <v>6074487</v>
      </c>
      <c r="E1630" s="11">
        <v>6027836</v>
      </c>
    </row>
    <row r="1631" spans="1:5" x14ac:dyDescent="0.25">
      <c r="A1631" s="11" t="s">
        <v>1391</v>
      </c>
      <c r="B1631" s="11"/>
      <c r="C1631" s="11"/>
      <c r="D1631" s="11">
        <v>793049</v>
      </c>
      <c r="E1631" s="11">
        <v>390972</v>
      </c>
    </row>
    <row r="1632" spans="1:5" x14ac:dyDescent="0.25">
      <c r="A1632" s="11" t="s">
        <v>1392</v>
      </c>
      <c r="B1632" s="11"/>
      <c r="C1632" s="11"/>
      <c r="D1632" s="11">
        <v>5281438</v>
      </c>
      <c r="E1632" s="11">
        <v>5636864</v>
      </c>
    </row>
    <row r="1633" spans="1:5" x14ac:dyDescent="0.25">
      <c r="A1633" s="11" t="s">
        <v>1393</v>
      </c>
      <c r="B1633" s="11"/>
      <c r="C1633" s="11"/>
      <c r="D1633" s="11">
        <v>4179869</v>
      </c>
      <c r="E1633" s="11">
        <v>4061574</v>
      </c>
    </row>
    <row r="1634" spans="1:5" x14ac:dyDescent="0.25">
      <c r="A1634" s="11" t="s">
        <v>1394</v>
      </c>
      <c r="B1634" s="11"/>
      <c r="C1634" s="11"/>
      <c r="D1634" s="11">
        <v>31084</v>
      </c>
      <c r="E1634" s="11">
        <v>231095</v>
      </c>
    </row>
    <row r="1635" spans="1:5" x14ac:dyDescent="0.25">
      <c r="A1635" s="11" t="s">
        <v>1395</v>
      </c>
      <c r="B1635" s="11"/>
      <c r="C1635" s="11"/>
      <c r="D1635" s="11">
        <v>4148785</v>
      </c>
      <c r="E1635" s="11">
        <v>3830479</v>
      </c>
    </row>
    <row r="1636" spans="1:5" x14ac:dyDescent="0.25">
      <c r="A1636" s="11" t="s">
        <v>1396</v>
      </c>
      <c r="B1636" s="11"/>
      <c r="C1636" s="11"/>
      <c r="D1636" s="11">
        <v>1894618</v>
      </c>
      <c r="E1636" s="11">
        <v>1966262</v>
      </c>
    </row>
    <row r="1637" spans="1:5" x14ac:dyDescent="0.25">
      <c r="A1637" s="11" t="s">
        <v>1397</v>
      </c>
      <c r="B1637" s="11"/>
      <c r="C1637" s="11"/>
      <c r="D1637" s="11">
        <v>5880218</v>
      </c>
      <c r="E1637" s="11">
        <v>6723201</v>
      </c>
    </row>
    <row r="1638" spans="1:5" x14ac:dyDescent="0.25">
      <c r="A1638" s="11" t="s">
        <v>1398</v>
      </c>
      <c r="B1638" s="11"/>
      <c r="C1638" s="11"/>
      <c r="D1638" s="11">
        <v>824694</v>
      </c>
      <c r="E1638" s="11">
        <v>656207</v>
      </c>
    </row>
    <row r="1639" spans="1:5" x14ac:dyDescent="0.25">
      <c r="A1639" s="11" t="s">
        <v>1399</v>
      </c>
      <c r="B1639" s="11"/>
      <c r="C1639" s="11"/>
      <c r="D1639" s="11">
        <v>5055524</v>
      </c>
      <c r="E1639" s="11">
        <v>6066994</v>
      </c>
    </row>
    <row r="1640" spans="1:5" x14ac:dyDescent="0.25">
      <c r="A1640" s="11" t="s">
        <v>1400</v>
      </c>
      <c r="B1640" s="11"/>
      <c r="C1640" s="11"/>
      <c r="D1640" s="11">
        <v>5055524</v>
      </c>
      <c r="E1640" s="11">
        <v>6066994</v>
      </c>
    </row>
    <row r="1641" spans="1:5" x14ac:dyDescent="0.25">
      <c r="A1641" s="11" t="s">
        <v>1401</v>
      </c>
      <c r="B1641" s="11"/>
      <c r="C1641" s="11"/>
      <c r="D1641" s="11">
        <v>483</v>
      </c>
      <c r="E1641" s="11">
        <v>416</v>
      </c>
    </row>
    <row r="1642" spans="1:5" x14ac:dyDescent="0.25">
      <c r="A1642" s="11" t="s">
        <v>1402</v>
      </c>
      <c r="B1642" s="11"/>
      <c r="C1642" s="11"/>
      <c r="D1642" s="11">
        <v>587</v>
      </c>
      <c r="E1642" s="11">
        <v>509</v>
      </c>
    </row>
    <row r="1643" spans="1:5" x14ac:dyDescent="0.25">
      <c r="A1643" s="93" t="s">
        <v>1403</v>
      </c>
      <c r="B1643" s="93"/>
      <c r="C1643" s="93"/>
      <c r="D1643" s="93">
        <v>49567</v>
      </c>
      <c r="E1643" s="93">
        <v>38711</v>
      </c>
    </row>
    <row r="1644" spans="1:5" x14ac:dyDescent="0.25">
      <c r="A1644" s="93" t="s">
        <v>1403</v>
      </c>
      <c r="B1644" s="93"/>
      <c r="C1644" s="93"/>
      <c r="D1644" s="93">
        <v>1224299308</v>
      </c>
      <c r="E1644" s="93">
        <v>1105334948</v>
      </c>
    </row>
    <row r="1645" spans="1:5" x14ac:dyDescent="0.25">
      <c r="A1645" s="93" t="s">
        <v>1403</v>
      </c>
      <c r="B1645" s="93"/>
      <c r="C1645" s="93"/>
      <c r="D1645" s="93">
        <v>35263523</v>
      </c>
      <c r="E1645" s="93">
        <v>31033775</v>
      </c>
    </row>
    <row r="1646" spans="1:5" x14ac:dyDescent="0.25">
      <c r="A1646" s="93" t="s">
        <v>1404</v>
      </c>
      <c r="B1646" s="93"/>
      <c r="C1646" s="93"/>
      <c r="D1646" s="93">
        <v>15161</v>
      </c>
      <c r="E1646" s="93">
        <v>12969</v>
      </c>
    </row>
    <row r="1647" spans="1:5" x14ac:dyDescent="0.25">
      <c r="A1647" s="93" t="s">
        <v>1404</v>
      </c>
      <c r="B1647" s="93"/>
      <c r="C1647" s="93"/>
      <c r="D1647" s="93">
        <v>1162278448</v>
      </c>
      <c r="E1647" s="93">
        <v>1059202786</v>
      </c>
    </row>
    <row r="1648" spans="1:5" x14ac:dyDescent="0.25">
      <c r="A1648" s="93" t="s">
        <v>1404</v>
      </c>
      <c r="B1648" s="93"/>
      <c r="C1648" s="93"/>
      <c r="D1648" s="93">
        <v>2423531</v>
      </c>
      <c r="E1648" s="93">
        <v>2217184</v>
      </c>
    </row>
    <row r="1649" spans="1:5" x14ac:dyDescent="0.25">
      <c r="A1649" s="93" t="s">
        <v>1405</v>
      </c>
      <c r="B1649" s="93"/>
      <c r="C1649" s="93"/>
      <c r="D1649" s="93">
        <v>403</v>
      </c>
      <c r="E1649" s="93">
        <v>583</v>
      </c>
    </row>
    <row r="1650" spans="1:5" x14ac:dyDescent="0.25">
      <c r="A1650" s="93" t="s">
        <v>1405</v>
      </c>
      <c r="B1650" s="93"/>
      <c r="C1650" s="93"/>
      <c r="D1650" s="93">
        <v>447486904</v>
      </c>
      <c r="E1650" s="93">
        <v>628472908</v>
      </c>
    </row>
    <row r="1651" spans="1:5" x14ac:dyDescent="0.25">
      <c r="A1651" s="93" t="s">
        <v>1405</v>
      </c>
      <c r="B1651" s="93"/>
      <c r="C1651" s="93"/>
      <c r="D1651" s="93">
        <v>32601238</v>
      </c>
      <c r="E1651" s="93">
        <v>28333623</v>
      </c>
    </row>
    <row r="1652" spans="1:5" x14ac:dyDescent="0.25">
      <c r="A1652" s="93" t="s">
        <v>1406</v>
      </c>
      <c r="B1652" s="93"/>
      <c r="C1652" s="93"/>
      <c r="D1652" s="93">
        <v>20199</v>
      </c>
      <c r="E1652" s="93">
        <v>17222</v>
      </c>
    </row>
    <row r="1653" spans="1:5" x14ac:dyDescent="0.25">
      <c r="A1653" s="93" t="s">
        <v>1406</v>
      </c>
      <c r="B1653" s="93"/>
      <c r="C1653" s="93"/>
      <c r="D1653" s="93">
        <v>363578194</v>
      </c>
      <c r="E1653" s="93">
        <v>132253431</v>
      </c>
    </row>
    <row r="1654" spans="1:5" x14ac:dyDescent="0.25">
      <c r="A1654" s="93" t="s">
        <v>1406</v>
      </c>
      <c r="B1654" s="93"/>
      <c r="C1654" s="93"/>
      <c r="D1654" s="93">
        <v>238754</v>
      </c>
      <c r="E1654" s="93">
        <v>482968</v>
      </c>
    </row>
    <row r="1655" spans="1:5" x14ac:dyDescent="0.25">
      <c r="A1655" s="93" t="s">
        <v>1407</v>
      </c>
      <c r="B1655" s="93"/>
      <c r="C1655" s="93"/>
      <c r="D1655" s="93">
        <v>19939</v>
      </c>
      <c r="E1655" s="93">
        <v>0</v>
      </c>
    </row>
    <row r="1656" spans="1:5" x14ac:dyDescent="0.25">
      <c r="A1656" s="93" t="s">
        <v>1407</v>
      </c>
      <c r="B1656" s="93"/>
      <c r="C1656" s="93"/>
      <c r="D1656" s="93">
        <v>351213350</v>
      </c>
      <c r="E1656" s="93">
        <v>298476447</v>
      </c>
    </row>
    <row r="1657" spans="1:5" x14ac:dyDescent="0.25">
      <c r="A1657" s="93" t="s">
        <v>1407</v>
      </c>
      <c r="B1657" s="93"/>
      <c r="C1657" s="93"/>
      <c r="D1657" s="93">
        <v>17939185</v>
      </c>
      <c r="E1657" s="93">
        <v>12741972</v>
      </c>
    </row>
    <row r="1658" spans="1:5" x14ac:dyDescent="0.25">
      <c r="A1658" s="93" t="s">
        <v>2319</v>
      </c>
      <c r="B1658" s="93"/>
      <c r="C1658" s="93"/>
      <c r="D1658" s="93">
        <v>233413</v>
      </c>
      <c r="E1658" s="93">
        <v>94553</v>
      </c>
    </row>
    <row r="1659" spans="1:5" x14ac:dyDescent="0.25">
      <c r="A1659" s="93" t="s">
        <v>2319</v>
      </c>
      <c r="B1659" s="93"/>
      <c r="C1659" s="93"/>
      <c r="D1659" s="93">
        <v>7810705</v>
      </c>
      <c r="E1659" s="93">
        <v>6986849</v>
      </c>
    </row>
    <row r="1660" spans="1:5" x14ac:dyDescent="0.25">
      <c r="A1660" s="93" t="s">
        <v>2320</v>
      </c>
      <c r="B1660" s="93"/>
      <c r="C1660" s="93"/>
      <c r="D1660" s="93">
        <v>199371</v>
      </c>
      <c r="E1660" s="93">
        <v>94553</v>
      </c>
    </row>
    <row r="1661" spans="1:5" x14ac:dyDescent="0.25">
      <c r="A1661" s="93" t="s">
        <v>2320</v>
      </c>
      <c r="B1661" s="93"/>
      <c r="C1661" s="93"/>
      <c r="D1661" s="93">
        <v>3331062</v>
      </c>
      <c r="E1661" s="93">
        <v>525186</v>
      </c>
    </row>
    <row r="1662" spans="1:5" x14ac:dyDescent="0.25">
      <c r="A1662" s="93" t="s">
        <v>1408</v>
      </c>
      <c r="B1662" s="93"/>
      <c r="C1662" s="93"/>
      <c r="D1662" s="93">
        <v>-97457</v>
      </c>
      <c r="E1662" s="93">
        <v>-103593</v>
      </c>
    </row>
    <row r="1663" spans="1:5" x14ac:dyDescent="0.25">
      <c r="A1663" s="93" t="s">
        <v>1408</v>
      </c>
      <c r="B1663" s="93"/>
      <c r="C1663" s="93"/>
      <c r="D1663" s="93">
        <v>34042</v>
      </c>
      <c r="E1663" s="93">
        <v>0</v>
      </c>
    </row>
    <row r="1664" spans="1:5" x14ac:dyDescent="0.25">
      <c r="A1664" s="93" t="s">
        <v>1408</v>
      </c>
      <c r="B1664" s="93"/>
      <c r="C1664" s="93"/>
      <c r="D1664" s="93">
        <v>6797418</v>
      </c>
      <c r="E1664" s="93">
        <v>5229937</v>
      </c>
    </row>
    <row r="1665" spans="1:5" x14ac:dyDescent="0.25">
      <c r="A1665" s="93" t="s">
        <v>2329</v>
      </c>
      <c r="B1665" s="93"/>
      <c r="C1665" s="93"/>
      <c r="D1665" s="93">
        <v>17324338</v>
      </c>
      <c r="E1665" s="93">
        <v>18291803</v>
      </c>
    </row>
    <row r="1666" spans="1:5" x14ac:dyDescent="0.25">
      <c r="A1666" s="93" t="s">
        <v>1409</v>
      </c>
      <c r="B1666" s="93"/>
      <c r="C1666" s="93"/>
      <c r="D1666" s="93">
        <v>102123</v>
      </c>
      <c r="E1666" s="93">
        <v>103975</v>
      </c>
    </row>
    <row r="1667" spans="1:5" x14ac:dyDescent="0.25">
      <c r="A1667" s="93" t="s">
        <v>1410</v>
      </c>
      <c r="B1667" s="93"/>
      <c r="C1667" s="93"/>
      <c r="D1667" s="93">
        <v>1133</v>
      </c>
      <c r="E1667" s="93">
        <v>574</v>
      </c>
    </row>
    <row r="1668" spans="1:5" x14ac:dyDescent="0.25">
      <c r="A1668" s="93" t="s">
        <v>1410</v>
      </c>
      <c r="B1668" s="93"/>
      <c r="C1668" s="93"/>
      <c r="D1668" s="93">
        <v>8298763</v>
      </c>
      <c r="E1668" s="93">
        <v>5485129</v>
      </c>
    </row>
    <row r="1669" spans="1:5" x14ac:dyDescent="0.25">
      <c r="A1669" s="93" t="s">
        <v>1410</v>
      </c>
      <c r="B1669" s="93"/>
      <c r="C1669" s="93"/>
      <c r="D1669" s="93">
        <v>13242628</v>
      </c>
      <c r="E1669" s="93">
        <v>9200745</v>
      </c>
    </row>
    <row r="1670" spans="1:5" x14ac:dyDescent="0.25">
      <c r="A1670" s="93" t="s">
        <v>1411</v>
      </c>
      <c r="B1670" s="93"/>
      <c r="C1670" s="93"/>
      <c r="D1670" s="93">
        <v>-1796</v>
      </c>
      <c r="E1670" s="93">
        <v>8911</v>
      </c>
    </row>
    <row r="1671" spans="1:5" x14ac:dyDescent="0.25">
      <c r="A1671" s="93" t="s">
        <v>1411</v>
      </c>
      <c r="B1671" s="93"/>
      <c r="C1671" s="93"/>
      <c r="D1671" s="93">
        <v>8107780</v>
      </c>
      <c r="E1671" s="93">
        <v>5257286</v>
      </c>
    </row>
    <row r="1672" spans="1:5" x14ac:dyDescent="0.25">
      <c r="A1672" s="93" t="s">
        <v>1411</v>
      </c>
      <c r="B1672" s="93"/>
      <c r="C1672" s="93"/>
      <c r="D1672" s="93">
        <v>4086504</v>
      </c>
      <c r="E1672" s="93">
        <v>3667029</v>
      </c>
    </row>
    <row r="1673" spans="1:5" x14ac:dyDescent="0.25">
      <c r="A1673" s="93" t="s">
        <v>1412</v>
      </c>
      <c r="B1673" s="93"/>
      <c r="C1673" s="93"/>
      <c r="D1673" s="93">
        <v>708</v>
      </c>
      <c r="E1673" s="93">
        <v>-91</v>
      </c>
    </row>
    <row r="1674" spans="1:5" x14ac:dyDescent="0.25">
      <c r="A1674" s="93" t="s">
        <v>1412</v>
      </c>
      <c r="B1674" s="93"/>
      <c r="C1674" s="93"/>
      <c r="D1674" s="93">
        <v>190983</v>
      </c>
      <c r="E1674" s="93">
        <v>227843</v>
      </c>
    </row>
    <row r="1675" spans="1:5" x14ac:dyDescent="0.25">
      <c r="A1675" s="93" t="s">
        <v>1412</v>
      </c>
      <c r="B1675" s="93"/>
      <c r="C1675" s="93"/>
      <c r="D1675" s="93">
        <v>61787447</v>
      </c>
      <c r="E1675" s="93">
        <v>46037609</v>
      </c>
    </row>
    <row r="1676" spans="1:5" x14ac:dyDescent="0.25">
      <c r="A1676" s="93" t="s">
        <v>1412</v>
      </c>
      <c r="B1676" s="93"/>
      <c r="C1676" s="93"/>
      <c r="D1676" s="93">
        <v>5895449</v>
      </c>
      <c r="E1676" s="93">
        <v>3375758</v>
      </c>
    </row>
    <row r="1677" spans="1:5" x14ac:dyDescent="0.25">
      <c r="A1677" s="93" t="s">
        <v>2301</v>
      </c>
      <c r="B1677" s="93"/>
      <c r="C1677" s="93"/>
      <c r="D1677" s="93">
        <v>923259228</v>
      </c>
      <c r="E1677" s="93">
        <v>848464903</v>
      </c>
    </row>
    <row r="1678" spans="1:5" x14ac:dyDescent="0.25">
      <c r="A1678" s="93" t="s">
        <v>2301</v>
      </c>
      <c r="B1678" s="93"/>
      <c r="C1678" s="93"/>
      <c r="D1678" s="93">
        <v>824757</v>
      </c>
      <c r="E1678" s="93">
        <v>195577</v>
      </c>
    </row>
    <row r="1679" spans="1:5" x14ac:dyDescent="0.25">
      <c r="A1679" s="93" t="s">
        <v>2301</v>
      </c>
      <c r="B1679" s="93"/>
      <c r="C1679" s="93"/>
      <c r="D1679" s="93">
        <v>3260675</v>
      </c>
      <c r="E1679" s="93">
        <v>2157958</v>
      </c>
    </row>
    <row r="1680" spans="1:5" x14ac:dyDescent="0.25">
      <c r="A1680" s="93" t="s">
        <v>2004</v>
      </c>
      <c r="B1680" s="93"/>
      <c r="C1680" s="93"/>
      <c r="D1680" s="93">
        <v>30</v>
      </c>
      <c r="E1680" s="93">
        <v>0</v>
      </c>
    </row>
    <row r="1681" spans="1:5" x14ac:dyDescent="0.25">
      <c r="A1681" s="93" t="s">
        <v>2004</v>
      </c>
      <c r="B1681" s="93"/>
      <c r="C1681" s="93"/>
      <c r="D1681" s="93">
        <v>49712054</v>
      </c>
      <c r="E1681" s="93">
        <v>37540549</v>
      </c>
    </row>
    <row r="1682" spans="1:5" x14ac:dyDescent="0.25">
      <c r="A1682" s="93" t="s">
        <v>2004</v>
      </c>
      <c r="B1682" s="93"/>
      <c r="C1682" s="93"/>
      <c r="D1682" s="93">
        <v>2282848</v>
      </c>
      <c r="E1682" s="93">
        <v>1524912</v>
      </c>
    </row>
    <row r="1683" spans="1:5" x14ac:dyDescent="0.25">
      <c r="A1683" s="93" t="s">
        <v>2004</v>
      </c>
      <c r="B1683" s="93"/>
      <c r="C1683" s="93"/>
      <c r="D1683" s="93">
        <v>1908441</v>
      </c>
      <c r="E1683" s="93">
        <v>1673983</v>
      </c>
    </row>
    <row r="1684" spans="1:5" x14ac:dyDescent="0.25">
      <c r="A1684" s="93" t="s">
        <v>2004</v>
      </c>
      <c r="B1684" s="93"/>
      <c r="C1684" s="93"/>
      <c r="D1684" s="93">
        <v>5055524</v>
      </c>
      <c r="E1684" s="93">
        <v>6066994</v>
      </c>
    </row>
    <row r="1685" spans="1:5" x14ac:dyDescent="0.25">
      <c r="A1685" s="93" t="s">
        <v>2302</v>
      </c>
      <c r="B1685" s="93"/>
      <c r="C1685" s="93"/>
      <c r="D1685" s="93">
        <v>867640997</v>
      </c>
      <c r="E1685" s="93">
        <v>803290173</v>
      </c>
    </row>
    <row r="1686" spans="1:5" x14ac:dyDescent="0.25">
      <c r="A1686" s="93" t="s">
        <v>2302</v>
      </c>
      <c r="B1686" s="93"/>
      <c r="C1686" s="93"/>
      <c r="D1686" s="93">
        <v>740848</v>
      </c>
      <c r="E1686" s="93">
        <v>210083</v>
      </c>
    </row>
    <row r="1687" spans="1:5" x14ac:dyDescent="0.25">
      <c r="A1687" s="93" t="s">
        <v>2302</v>
      </c>
      <c r="B1687" s="93"/>
      <c r="C1687" s="93"/>
      <c r="D1687" s="93">
        <v>235048</v>
      </c>
      <c r="E1687" s="93">
        <v>226889</v>
      </c>
    </row>
    <row r="1688" spans="1:5" x14ac:dyDescent="0.25">
      <c r="A1688" s="93" t="s">
        <v>1413</v>
      </c>
      <c r="B1688" s="93"/>
      <c r="C1688" s="93"/>
      <c r="D1688" s="93">
        <v>14</v>
      </c>
      <c r="E1688" s="93">
        <v>14</v>
      </c>
    </row>
    <row r="1689" spans="1:5" x14ac:dyDescent="0.25">
      <c r="A1689" s="93" t="s">
        <v>1413</v>
      </c>
      <c r="B1689" s="93"/>
      <c r="C1689" s="93"/>
      <c r="D1689" s="93">
        <v>5906177</v>
      </c>
      <c r="E1689" s="93">
        <v>7634181</v>
      </c>
    </row>
    <row r="1690" spans="1:5" x14ac:dyDescent="0.25">
      <c r="A1690" s="93" t="s">
        <v>1413</v>
      </c>
      <c r="B1690" s="93"/>
      <c r="C1690" s="93"/>
      <c r="D1690" s="93">
        <v>102133</v>
      </c>
      <c r="E1690" s="93">
        <v>484191</v>
      </c>
    </row>
    <row r="1691" spans="1:5" x14ac:dyDescent="0.25">
      <c r="A1691" s="93" t="s">
        <v>1413</v>
      </c>
      <c r="B1691" s="93"/>
      <c r="C1691" s="93"/>
      <c r="D1691" s="93">
        <v>34260</v>
      </c>
      <c r="E1691" s="93">
        <v>61256</v>
      </c>
    </row>
    <row r="1692" spans="1:5" x14ac:dyDescent="0.25">
      <c r="A1692" s="93" t="s">
        <v>1414</v>
      </c>
      <c r="B1692" s="93"/>
      <c r="C1692" s="93"/>
      <c r="D1692" s="93">
        <v>-611</v>
      </c>
      <c r="E1692" s="93">
        <v>-2454</v>
      </c>
    </row>
    <row r="1693" spans="1:5" x14ac:dyDescent="0.25">
      <c r="A1693" s="93" t="s">
        <v>1414</v>
      </c>
      <c r="B1693" s="93"/>
      <c r="C1693" s="93"/>
      <c r="D1693" s="93">
        <v>55921745</v>
      </c>
      <c r="E1693" s="93">
        <v>35720753</v>
      </c>
    </row>
    <row r="1694" spans="1:5" x14ac:dyDescent="0.25">
      <c r="A1694" s="93" t="s">
        <v>1414</v>
      </c>
      <c r="B1694" s="93"/>
      <c r="C1694" s="93"/>
      <c r="D1694" s="93">
        <v>82041</v>
      </c>
      <c r="E1694" s="93">
        <v>82041</v>
      </c>
    </row>
    <row r="1695" spans="1:5" x14ac:dyDescent="0.25">
      <c r="A1695" s="93" t="s">
        <v>1414</v>
      </c>
      <c r="B1695" s="93"/>
      <c r="C1695" s="93"/>
      <c r="D1695" s="93">
        <v>1639133</v>
      </c>
      <c r="E1695" s="93">
        <v>1385838</v>
      </c>
    </row>
    <row r="1696" spans="1:5" x14ac:dyDescent="0.25">
      <c r="A1696" s="93" t="s">
        <v>1415</v>
      </c>
      <c r="B1696" s="93"/>
      <c r="C1696" s="93"/>
      <c r="D1696" s="93">
        <v>-3245</v>
      </c>
      <c r="E1696" s="93">
        <v>-990</v>
      </c>
    </row>
    <row r="1697" spans="1:5" x14ac:dyDescent="0.25">
      <c r="A1697" s="93" t="s">
        <v>1415</v>
      </c>
      <c r="B1697" s="93"/>
      <c r="C1697" s="93"/>
      <c r="D1697" s="93">
        <v>54139288</v>
      </c>
      <c r="E1697" s="93">
        <v>34208638</v>
      </c>
    </row>
    <row r="1698" spans="1:5" x14ac:dyDescent="0.25">
      <c r="A1698" s="93" t="s">
        <v>1415</v>
      </c>
      <c r="B1698" s="93"/>
      <c r="C1698" s="93"/>
      <c r="D1698" s="93">
        <v>2085420</v>
      </c>
      <c r="E1698" s="93">
        <v>2988229</v>
      </c>
    </row>
    <row r="1699" spans="1:5" x14ac:dyDescent="0.25">
      <c r="A1699" s="93" t="s">
        <v>1415</v>
      </c>
      <c r="B1699" s="93"/>
      <c r="C1699" s="93"/>
      <c r="D1699" s="93">
        <v>11334187</v>
      </c>
      <c r="E1699" s="93">
        <v>7526762</v>
      </c>
    </row>
    <row r="1700" spans="1:5" x14ac:dyDescent="0.25">
      <c r="A1700" s="93" t="s">
        <v>2321</v>
      </c>
      <c r="B1700" s="93"/>
      <c r="C1700" s="93"/>
      <c r="D1700" s="93">
        <v>21387029</v>
      </c>
      <c r="E1700" s="93">
        <v>11957852</v>
      </c>
    </row>
    <row r="1701" spans="1:5" x14ac:dyDescent="0.25">
      <c r="A1701" s="93" t="s">
        <v>2303</v>
      </c>
      <c r="B1701" s="93"/>
      <c r="C1701" s="93"/>
      <c r="D1701" s="93">
        <v>1782457</v>
      </c>
      <c r="E1701" s="93">
        <v>1512115</v>
      </c>
    </row>
    <row r="1702" spans="1:5" x14ac:dyDescent="0.25">
      <c r="A1702" s="93" t="s">
        <v>2303</v>
      </c>
      <c r="B1702" s="93"/>
      <c r="C1702" s="93"/>
      <c r="D1702" s="93">
        <v>28617803</v>
      </c>
      <c r="E1702" s="93">
        <v>18017285</v>
      </c>
    </row>
    <row r="1703" spans="1:5" x14ac:dyDescent="0.25">
      <c r="A1703" s="93" t="s">
        <v>2303</v>
      </c>
      <c r="B1703" s="93"/>
      <c r="C1703" s="93"/>
      <c r="D1703" s="93">
        <v>483</v>
      </c>
      <c r="E1703" s="93">
        <v>416</v>
      </c>
    </row>
    <row r="1704" spans="1:5" x14ac:dyDescent="0.25">
      <c r="A1704" s="93" t="s">
        <v>2304</v>
      </c>
      <c r="B1704" s="93"/>
      <c r="C1704" s="93"/>
      <c r="D1704" s="93">
        <v>69490858</v>
      </c>
      <c r="E1704" s="93">
        <v>49389038</v>
      </c>
    </row>
    <row r="1705" spans="1:5" x14ac:dyDescent="0.25">
      <c r="A1705" s="93" t="s">
        <v>2304</v>
      </c>
      <c r="B1705" s="93"/>
      <c r="C1705" s="93"/>
      <c r="D1705" s="93">
        <v>958105</v>
      </c>
      <c r="E1705" s="93">
        <v>6536687</v>
      </c>
    </row>
    <row r="1706" spans="1:5" x14ac:dyDescent="0.25">
      <c r="A1706" s="93" t="s">
        <v>2304</v>
      </c>
      <c r="B1706" s="93"/>
      <c r="C1706" s="93"/>
      <c r="D1706" s="93">
        <v>587</v>
      </c>
      <c r="E1706" s="93">
        <v>509</v>
      </c>
    </row>
    <row r="1707" spans="1:5" x14ac:dyDescent="0.25">
      <c r="A1707" s="93" t="s">
        <v>1416</v>
      </c>
      <c r="B1707" s="93"/>
      <c r="C1707" s="93"/>
      <c r="D1707" s="93">
        <v>11502</v>
      </c>
      <c r="E1707" s="93">
        <v>14404</v>
      </c>
    </row>
    <row r="1708" spans="1:5" x14ac:dyDescent="0.25">
      <c r="A1708" s="93" t="s">
        <v>1416</v>
      </c>
      <c r="B1708" s="93"/>
      <c r="C1708" s="93"/>
      <c r="D1708" s="93">
        <v>23638290</v>
      </c>
      <c r="E1708" s="93">
        <v>13145904</v>
      </c>
    </row>
    <row r="1709" spans="1:5" x14ac:dyDescent="0.25">
      <c r="A1709" s="93" t="s">
        <v>1416</v>
      </c>
      <c r="B1709" s="93"/>
      <c r="C1709" s="93"/>
      <c r="D1709" s="93">
        <v>4030957</v>
      </c>
      <c r="E1709" s="93">
        <v>3300912</v>
      </c>
    </row>
    <row r="1710" spans="1:5" x14ac:dyDescent="0.25">
      <c r="A1710" s="93" t="s">
        <v>1417</v>
      </c>
      <c r="B1710" s="93"/>
      <c r="C1710" s="93"/>
      <c r="D1710" s="93">
        <v>-19525</v>
      </c>
      <c r="E1710" s="93">
        <v>-4000</v>
      </c>
    </row>
    <row r="1711" spans="1:5" x14ac:dyDescent="0.25">
      <c r="A1711" s="93" t="s">
        <v>1417</v>
      </c>
      <c r="B1711" s="93"/>
      <c r="C1711" s="93"/>
      <c r="D1711" s="93">
        <v>675506</v>
      </c>
      <c r="E1711" s="93">
        <v>739840</v>
      </c>
    </row>
    <row r="1712" spans="1:5" x14ac:dyDescent="0.25">
      <c r="A1712" s="93" t="s">
        <v>2305</v>
      </c>
      <c r="B1712" s="93"/>
      <c r="C1712" s="93"/>
      <c r="D1712" s="93">
        <v>31554602</v>
      </c>
      <c r="E1712" s="93">
        <v>26041649</v>
      </c>
    </row>
    <row r="1713" spans="1:5" x14ac:dyDescent="0.25">
      <c r="A1713" s="93" t="s">
        <v>2305</v>
      </c>
      <c r="B1713" s="93"/>
      <c r="C1713" s="93"/>
      <c r="D1713" s="93">
        <v>110501563</v>
      </c>
      <c r="E1713" s="93">
        <v>105526039</v>
      </c>
    </row>
    <row r="1714" spans="1:5" x14ac:dyDescent="0.25">
      <c r="A1714" s="93" t="s">
        <v>2306</v>
      </c>
      <c r="B1714" s="93"/>
      <c r="C1714" s="93"/>
      <c r="D1714" s="93">
        <v>8916964</v>
      </c>
      <c r="E1714" s="93">
        <v>5353336</v>
      </c>
    </row>
    <row r="1715" spans="1:5" x14ac:dyDescent="0.25">
      <c r="A1715" s="93" t="s">
        <v>2306</v>
      </c>
      <c r="B1715" s="93"/>
      <c r="C1715" s="93"/>
      <c r="D1715" s="93">
        <v>78932994</v>
      </c>
      <c r="E1715" s="93">
        <v>78932994</v>
      </c>
    </row>
    <row r="1716" spans="1:5" x14ac:dyDescent="0.25">
      <c r="A1716" s="93" t="s">
        <v>1418</v>
      </c>
      <c r="B1716" s="93"/>
      <c r="C1716" s="93"/>
      <c r="D1716" s="93">
        <v>-11127</v>
      </c>
      <c r="E1716" s="93">
        <v>6883</v>
      </c>
    </row>
    <row r="1717" spans="1:5" x14ac:dyDescent="0.25">
      <c r="A1717" s="93" t="s">
        <v>1418</v>
      </c>
      <c r="B1717" s="93"/>
      <c r="C1717" s="93"/>
      <c r="D1717" s="93">
        <v>121282</v>
      </c>
      <c r="E1717" s="93">
        <v>112141</v>
      </c>
    </row>
    <row r="1718" spans="1:5" x14ac:dyDescent="0.25">
      <c r="A1718" s="93" t="s">
        <v>1418</v>
      </c>
      <c r="B1718" s="93"/>
      <c r="C1718" s="93"/>
      <c r="D1718" s="93">
        <v>70863294</v>
      </c>
      <c r="E1718" s="93">
        <v>70863294</v>
      </c>
    </row>
    <row r="1719" spans="1:5" x14ac:dyDescent="0.25">
      <c r="A1719" s="93" t="s">
        <v>2307</v>
      </c>
      <c r="B1719" s="93"/>
      <c r="C1719" s="93"/>
      <c r="D1719" s="93">
        <v>1211521</v>
      </c>
      <c r="E1719" s="93">
        <v>1768535</v>
      </c>
    </row>
    <row r="1720" spans="1:5" x14ac:dyDescent="0.25">
      <c r="A1720" s="93" t="s">
        <v>2308</v>
      </c>
      <c r="B1720" s="93"/>
      <c r="C1720" s="93"/>
      <c r="D1720" s="93">
        <v>4048199</v>
      </c>
      <c r="E1720" s="93">
        <v>2967473</v>
      </c>
    </row>
    <row r="1721" spans="1:5" x14ac:dyDescent="0.25">
      <c r="A1721" s="93" t="s">
        <v>2308</v>
      </c>
      <c r="B1721" s="93"/>
      <c r="C1721" s="93"/>
      <c r="D1721" s="93">
        <v>8069700</v>
      </c>
      <c r="E1721" s="93">
        <v>8069700</v>
      </c>
    </row>
    <row r="1722" spans="1:5" x14ac:dyDescent="0.25">
      <c r="A1722" s="93" t="s">
        <v>2309</v>
      </c>
      <c r="B1722" s="93"/>
      <c r="C1722" s="93"/>
      <c r="D1722" s="93">
        <v>4988639</v>
      </c>
      <c r="E1722" s="93">
        <v>6248609</v>
      </c>
    </row>
    <row r="1723" spans="1:5" x14ac:dyDescent="0.25">
      <c r="A1723" s="93" t="s">
        <v>2322</v>
      </c>
      <c r="B1723" s="93"/>
      <c r="C1723" s="93"/>
      <c r="D1723" s="93">
        <v>10012596</v>
      </c>
      <c r="E1723" s="93">
        <v>8659142</v>
      </c>
    </row>
    <row r="1724" spans="1:5" x14ac:dyDescent="0.25">
      <c r="A1724" s="93" t="s">
        <v>2323</v>
      </c>
      <c r="B1724" s="93"/>
      <c r="C1724" s="93"/>
      <c r="D1724" s="93">
        <v>3795943</v>
      </c>
      <c r="E1724" s="93">
        <v>3338065</v>
      </c>
    </row>
    <row r="1725" spans="1:5" x14ac:dyDescent="0.25">
      <c r="A1725" s="93" t="s">
        <v>2323</v>
      </c>
      <c r="B1725" s="93"/>
      <c r="C1725" s="93"/>
      <c r="D1725" s="93">
        <v>28658525</v>
      </c>
      <c r="E1725" s="93">
        <v>25818565</v>
      </c>
    </row>
    <row r="1726" spans="1:5" x14ac:dyDescent="0.25">
      <c r="A1726" s="93" t="s">
        <v>2310</v>
      </c>
      <c r="B1726" s="93"/>
      <c r="C1726" s="93"/>
      <c r="D1726" s="93">
        <v>33028354</v>
      </c>
      <c r="E1726" s="93">
        <v>31648601</v>
      </c>
    </row>
    <row r="1727" spans="1:5" x14ac:dyDescent="0.25">
      <c r="A1727" s="93" t="s">
        <v>2310</v>
      </c>
      <c r="B1727" s="93"/>
      <c r="C1727" s="93"/>
      <c r="D1727" s="93">
        <v>6216653</v>
      </c>
      <c r="E1727" s="93">
        <v>5321077</v>
      </c>
    </row>
    <row r="1728" spans="1:5" x14ac:dyDescent="0.25">
      <c r="A1728" s="93" t="s">
        <v>2310</v>
      </c>
      <c r="B1728" s="93"/>
      <c r="C1728" s="93"/>
      <c r="D1728" s="93">
        <v>20588125</v>
      </c>
      <c r="E1728" s="93">
        <v>14495449</v>
      </c>
    </row>
    <row r="1729" spans="1:5" x14ac:dyDescent="0.25">
      <c r="A1729" s="93" t="s">
        <v>2311</v>
      </c>
      <c r="B1729" s="93"/>
      <c r="C1729" s="93"/>
      <c r="D1729" s="93">
        <v>27582709</v>
      </c>
      <c r="E1729" s="93">
        <v>23440610</v>
      </c>
    </row>
    <row r="1730" spans="1:5" x14ac:dyDescent="0.25">
      <c r="A1730" s="93" t="s">
        <v>2311</v>
      </c>
      <c r="B1730" s="93"/>
      <c r="C1730" s="93"/>
      <c r="D1730" s="93">
        <v>16829605</v>
      </c>
      <c r="E1730" s="93">
        <v>11703048</v>
      </c>
    </row>
    <row r="1731" spans="1:5" x14ac:dyDescent="0.25">
      <c r="A1731" s="93" t="s">
        <v>2312</v>
      </c>
      <c r="B1731" s="93"/>
      <c r="C1731" s="93"/>
      <c r="D1731" s="93">
        <v>22476119</v>
      </c>
      <c r="E1731" s="93">
        <v>22328222</v>
      </c>
    </row>
    <row r="1732" spans="1:5" x14ac:dyDescent="0.25">
      <c r="A1732" s="93" t="s">
        <v>2312</v>
      </c>
      <c r="B1732" s="93"/>
      <c r="C1732" s="93"/>
      <c r="D1732" s="93">
        <v>2961914</v>
      </c>
      <c r="E1732" s="93">
        <v>1287772</v>
      </c>
    </row>
    <row r="1733" spans="1:5" x14ac:dyDescent="0.25">
      <c r="A1733" s="93" t="s">
        <v>1419</v>
      </c>
      <c r="B1733" s="93"/>
      <c r="C1733" s="93"/>
      <c r="D1733" s="93">
        <v>-12923</v>
      </c>
      <c r="E1733" s="93">
        <v>15794</v>
      </c>
    </row>
    <row r="1734" spans="1:5" x14ac:dyDescent="0.25">
      <c r="A1734" s="93" t="s">
        <v>1419</v>
      </c>
      <c r="B1734" s="93"/>
      <c r="C1734" s="93"/>
      <c r="D1734" s="93">
        <v>3623301</v>
      </c>
      <c r="E1734" s="93">
        <v>0</v>
      </c>
    </row>
    <row r="1735" spans="1:5" x14ac:dyDescent="0.25">
      <c r="A1735" s="93" t="s">
        <v>1419</v>
      </c>
      <c r="B1735" s="93"/>
      <c r="C1735" s="93"/>
      <c r="D1735" s="93">
        <v>-80000</v>
      </c>
      <c r="E1735" s="93">
        <v>0</v>
      </c>
    </row>
    <row r="1736" spans="1:5" x14ac:dyDescent="0.25">
      <c r="A1736" s="93" t="s">
        <v>1419</v>
      </c>
      <c r="B1736" s="93"/>
      <c r="C1736" s="93"/>
      <c r="D1736" s="93">
        <v>0</v>
      </c>
      <c r="E1736" s="93">
        <v>105200</v>
      </c>
    </row>
    <row r="1737" spans="1:5" x14ac:dyDescent="0.25">
      <c r="A1737" s="93" t="s">
        <v>1420</v>
      </c>
      <c r="B1737" s="93"/>
      <c r="C1737" s="93"/>
      <c r="D1737" s="93">
        <v>220242</v>
      </c>
      <c r="E1737" s="93">
        <v>169193</v>
      </c>
    </row>
    <row r="1738" spans="1:5" x14ac:dyDescent="0.25">
      <c r="A1738" s="93" t="s">
        <v>1420</v>
      </c>
      <c r="B1738" s="93"/>
      <c r="C1738" s="93"/>
      <c r="D1738" s="93">
        <v>23400</v>
      </c>
      <c r="E1738" s="93">
        <v>0</v>
      </c>
    </row>
    <row r="1739" spans="1:5" x14ac:dyDescent="0.25">
      <c r="A1739" s="93" t="s">
        <v>1421</v>
      </c>
      <c r="B1739" s="93"/>
      <c r="C1739" s="93"/>
      <c r="D1739" s="93">
        <v>1133</v>
      </c>
      <c r="E1739" s="93">
        <v>1806</v>
      </c>
    </row>
    <row r="1740" spans="1:5" x14ac:dyDescent="0.25">
      <c r="A1740" s="93" t="s">
        <v>1421</v>
      </c>
      <c r="B1740" s="93"/>
      <c r="C1740" s="93"/>
      <c r="D1740" s="93">
        <v>1483289</v>
      </c>
      <c r="E1740" s="93">
        <v>1112388</v>
      </c>
    </row>
    <row r="1741" spans="1:5" x14ac:dyDescent="0.25">
      <c r="A1741" s="93" t="s">
        <v>1421</v>
      </c>
      <c r="B1741" s="93"/>
      <c r="C1741" s="93"/>
      <c r="D1741" s="93">
        <v>-80000</v>
      </c>
      <c r="E1741" s="93">
        <v>0</v>
      </c>
    </row>
    <row r="1742" spans="1:5" x14ac:dyDescent="0.25">
      <c r="A1742" s="93" t="s">
        <v>1421</v>
      </c>
      <c r="B1742" s="93"/>
      <c r="C1742" s="93"/>
      <c r="D1742" s="93">
        <v>773206</v>
      </c>
      <c r="E1742" s="93">
        <v>1399429</v>
      </c>
    </row>
    <row r="1743" spans="1:5" x14ac:dyDescent="0.25">
      <c r="A1743" s="93" t="s">
        <v>1422</v>
      </c>
      <c r="B1743" s="93"/>
      <c r="C1743" s="93"/>
      <c r="D1743" s="93">
        <v>208452</v>
      </c>
      <c r="E1743" s="93">
        <v>186793</v>
      </c>
    </row>
    <row r="1744" spans="1:5" x14ac:dyDescent="0.25">
      <c r="A1744" s="93" t="s">
        <v>1422</v>
      </c>
      <c r="B1744" s="93"/>
      <c r="C1744" s="93"/>
      <c r="D1744" s="93">
        <v>5445645</v>
      </c>
      <c r="E1744" s="93">
        <v>8207991</v>
      </c>
    </row>
    <row r="1745" spans="1:5" x14ac:dyDescent="0.25">
      <c r="A1745" s="93" t="s">
        <v>1422</v>
      </c>
      <c r="B1745" s="93"/>
      <c r="C1745" s="93"/>
      <c r="D1745" s="93">
        <v>45101424</v>
      </c>
      <c r="E1745" s="93">
        <v>35651092</v>
      </c>
    </row>
    <row r="1746" spans="1:5" x14ac:dyDescent="0.25">
      <c r="A1746" s="93" t="s">
        <v>2324</v>
      </c>
      <c r="B1746" s="93"/>
      <c r="C1746" s="93"/>
      <c r="D1746" s="93">
        <v>21635973</v>
      </c>
      <c r="E1746" s="93">
        <v>17933903</v>
      </c>
    </row>
    <row r="1747" spans="1:5" x14ac:dyDescent="0.25">
      <c r="A1747" s="93" t="s">
        <v>2324</v>
      </c>
      <c r="B1747" s="93"/>
      <c r="C1747" s="93"/>
      <c r="D1747" s="93">
        <v>21528848</v>
      </c>
      <c r="E1747" s="93">
        <v>15520674</v>
      </c>
    </row>
    <row r="1748" spans="1:5" x14ac:dyDescent="0.25">
      <c r="A1748" s="93" t="s">
        <v>2313</v>
      </c>
      <c r="B1748" s="93"/>
      <c r="C1748" s="93"/>
      <c r="D1748" s="93">
        <v>636727</v>
      </c>
      <c r="E1748" s="93">
        <v>636727</v>
      </c>
    </row>
    <row r="1749" spans="1:5" x14ac:dyDescent="0.25">
      <c r="A1749" s="93" t="s">
        <v>2313</v>
      </c>
      <c r="B1749" s="93"/>
      <c r="C1749" s="93"/>
      <c r="D1749" s="93">
        <v>5055524</v>
      </c>
      <c r="E1749" s="93">
        <v>10053148</v>
      </c>
    </row>
    <row r="1750" spans="1:5" x14ac:dyDescent="0.25">
      <c r="A1750" s="93" t="s">
        <v>2313</v>
      </c>
      <c r="B1750" s="93"/>
      <c r="C1750" s="93"/>
      <c r="D1750" s="93">
        <v>2086598</v>
      </c>
      <c r="E1750" s="93">
        <v>1754195</v>
      </c>
    </row>
    <row r="1751" spans="1:5" x14ac:dyDescent="0.25">
      <c r="A1751" s="93" t="s">
        <v>2325</v>
      </c>
      <c r="B1751" s="93"/>
      <c r="C1751" s="93"/>
      <c r="D1751" s="93">
        <v>16580449</v>
      </c>
      <c r="E1751" s="93">
        <v>7880755</v>
      </c>
    </row>
    <row r="1752" spans="1:5" x14ac:dyDescent="0.25">
      <c r="A1752" s="93" t="s">
        <v>2325</v>
      </c>
      <c r="B1752" s="93"/>
      <c r="C1752" s="93"/>
      <c r="D1752" s="93">
        <v>5228</v>
      </c>
      <c r="E1752" s="93">
        <v>148825</v>
      </c>
    </row>
    <row r="1753" spans="1:5" x14ac:dyDescent="0.25">
      <c r="A1753" s="93" t="s">
        <v>2314</v>
      </c>
      <c r="B1753" s="93"/>
      <c r="C1753" s="93"/>
      <c r="D1753" s="93">
        <v>1731692</v>
      </c>
      <c r="E1753" s="93">
        <v>5128148</v>
      </c>
    </row>
    <row r="1754" spans="1:5" x14ac:dyDescent="0.25">
      <c r="A1754" s="93" t="s">
        <v>2315</v>
      </c>
      <c r="B1754" s="93"/>
      <c r="C1754" s="93"/>
      <c r="D1754" s="93">
        <v>3077226</v>
      </c>
      <c r="E1754" s="93">
        <v>2443116</v>
      </c>
    </row>
    <row r="1755" spans="1:5" x14ac:dyDescent="0.25">
      <c r="A1755" s="93" t="s">
        <v>2315</v>
      </c>
      <c r="B1755" s="93"/>
      <c r="C1755" s="93"/>
      <c r="D1755" s="93">
        <v>8552473</v>
      </c>
      <c r="E1755" s="93">
        <v>7676468</v>
      </c>
    </row>
    <row r="1756" spans="1:5" x14ac:dyDescent="0.25">
      <c r="A1756" s="93" t="s">
        <v>2330</v>
      </c>
      <c r="B1756" s="93"/>
      <c r="C1756" s="93"/>
      <c r="D1756" s="93">
        <v>285916</v>
      </c>
      <c r="E1756" s="93">
        <v>179233</v>
      </c>
    </row>
    <row r="1757" spans="1:5" x14ac:dyDescent="0.25">
      <c r="A1757" s="93" t="s">
        <v>2316</v>
      </c>
      <c r="B1757" s="93"/>
      <c r="C1757" s="93"/>
      <c r="D1757" s="93">
        <v>1334800871</v>
      </c>
      <c r="E1757" s="93">
        <v>1210860987</v>
      </c>
    </row>
    <row r="1758" spans="1:5" x14ac:dyDescent="0.25">
      <c r="A1758" s="93" t="s">
        <v>2316</v>
      </c>
      <c r="B1758" s="93"/>
      <c r="C1758" s="93"/>
      <c r="D1758" s="93">
        <v>180488</v>
      </c>
      <c r="E1758" s="93">
        <v>134098</v>
      </c>
    </row>
    <row r="1759" spans="1:5" x14ac:dyDescent="0.25">
      <c r="A1759" s="93" t="s">
        <v>2317</v>
      </c>
      <c r="B1759" s="93"/>
      <c r="C1759" s="93"/>
      <c r="D1759" s="93">
        <v>336068821</v>
      </c>
      <c r="E1759" s="93">
        <v>278464729</v>
      </c>
    </row>
    <row r="1760" spans="1:5" x14ac:dyDescent="0.25">
      <c r="A1760" s="93" t="s">
        <v>2317</v>
      </c>
      <c r="B1760" s="93"/>
      <c r="C1760" s="93"/>
      <c r="D1760" s="93">
        <v>796398</v>
      </c>
      <c r="E1760" s="93">
        <v>647276</v>
      </c>
    </row>
    <row r="1761" spans="1:5" x14ac:dyDescent="0.25">
      <c r="A1761" s="93" t="s">
        <v>2318</v>
      </c>
      <c r="B1761" s="93"/>
      <c r="C1761" s="93"/>
      <c r="D1761" s="93">
        <v>1670869692</v>
      </c>
      <c r="E1761" s="93">
        <v>1489325716</v>
      </c>
    </row>
    <row r="1762" spans="1:5" x14ac:dyDescent="0.25">
      <c r="A1762" s="93" t="s">
        <v>2318</v>
      </c>
      <c r="B1762" s="93"/>
      <c r="C1762" s="93"/>
      <c r="D1762" s="93">
        <v>5159028</v>
      </c>
      <c r="E1762" s="93">
        <v>3952385</v>
      </c>
    </row>
    <row r="1763" spans="1:5" x14ac:dyDescent="0.25">
      <c r="A1763" s="93" t="s">
        <v>2326</v>
      </c>
      <c r="B1763" s="93"/>
      <c r="C1763" s="93"/>
      <c r="D1763" s="93">
        <v>1334800871</v>
      </c>
      <c r="E1763" s="93">
        <v>1210860987</v>
      </c>
    </row>
    <row r="1764" spans="1:5" x14ac:dyDescent="0.25">
      <c r="A1764" s="93" t="s">
        <v>2326</v>
      </c>
      <c r="B1764" s="93"/>
      <c r="C1764" s="93"/>
      <c r="D1764" s="93">
        <v>2018126</v>
      </c>
      <c r="E1764" s="93">
        <v>2017886</v>
      </c>
    </row>
    <row r="1765" spans="1:5" x14ac:dyDescent="0.25">
      <c r="A1765" s="93" t="s">
        <v>2327</v>
      </c>
      <c r="B1765" s="93"/>
      <c r="C1765" s="93"/>
      <c r="D1765" s="93">
        <v>336068821</v>
      </c>
      <c r="E1765" s="93">
        <v>278464729</v>
      </c>
    </row>
    <row r="1766" spans="1:5" x14ac:dyDescent="0.25">
      <c r="A1766" s="93" t="s">
        <v>2327</v>
      </c>
      <c r="B1766" s="93"/>
      <c r="C1766" s="93"/>
      <c r="D1766" s="93">
        <v>4082</v>
      </c>
      <c r="E1766" s="93">
        <v>0</v>
      </c>
    </row>
    <row r="1767" spans="1:5" x14ac:dyDescent="0.25">
      <c r="A1767" s="93" t="s">
        <v>2328</v>
      </c>
      <c r="B1767" s="93"/>
      <c r="C1767" s="93"/>
      <c r="D1767" s="93">
        <v>1670869692</v>
      </c>
      <c r="E1767" s="93">
        <v>1489325716</v>
      </c>
    </row>
    <row r="1768" spans="1:5" x14ac:dyDescent="0.25">
      <c r="A1768" s="93" t="s">
        <v>2328</v>
      </c>
      <c r="B1768" s="93"/>
      <c r="C1768" s="93"/>
      <c r="D1768" s="93">
        <v>3988004</v>
      </c>
      <c r="E1768" s="93">
        <v>3283406</v>
      </c>
    </row>
    <row r="1769" spans="1:5" x14ac:dyDescent="0.25">
      <c r="A1769" s="93" t="s">
        <v>2331</v>
      </c>
      <c r="B1769" s="93"/>
      <c r="C1769" s="93"/>
      <c r="D1769" s="93">
        <v>229667</v>
      </c>
      <c r="E1769" s="93">
        <v>175269</v>
      </c>
    </row>
    <row r="1770" spans="1:5" x14ac:dyDescent="0.25">
      <c r="A1770" s="93" t="s">
        <v>2332</v>
      </c>
      <c r="B1770" s="93"/>
      <c r="C1770" s="93"/>
      <c r="D1770" s="93">
        <v>266568</v>
      </c>
      <c r="E1770" s="93">
        <v>161377</v>
      </c>
    </row>
    <row r="1771" spans="1:5" x14ac:dyDescent="0.25">
      <c r="A1771" s="93" t="s">
        <v>2333</v>
      </c>
      <c r="B1771" s="93"/>
      <c r="C1771" s="93"/>
      <c r="D1771" s="93">
        <v>24513299</v>
      </c>
      <c r="E1771" s="93">
        <v>21155643</v>
      </c>
    </row>
    <row r="1772" spans="1:5" x14ac:dyDescent="0.25">
      <c r="A1772" s="93" t="s">
        <v>2334</v>
      </c>
      <c r="B1772" s="93"/>
      <c r="C1772" s="93"/>
      <c r="D1772" s="93">
        <v>704922</v>
      </c>
      <c r="E1772" s="93">
        <v>965289</v>
      </c>
    </row>
    <row r="1773" spans="1:5" x14ac:dyDescent="0.25">
      <c r="A1773" s="93" t="s">
        <v>2335</v>
      </c>
      <c r="B1773" s="93"/>
      <c r="C1773" s="93"/>
      <c r="D1773" s="93">
        <v>402687</v>
      </c>
      <c r="E1773" s="93">
        <v>582158</v>
      </c>
    </row>
    <row r="1774" spans="1:5" x14ac:dyDescent="0.25">
      <c r="A1774" s="93" t="s">
        <v>2336</v>
      </c>
      <c r="B1774" s="93"/>
      <c r="C1774" s="93"/>
      <c r="D1774" s="93">
        <v>14440</v>
      </c>
      <c r="E1774" s="93">
        <v>39045</v>
      </c>
    </row>
    <row r="1775" spans="1:5" x14ac:dyDescent="0.25">
      <c r="A1775" s="93" t="s">
        <v>2337</v>
      </c>
      <c r="B1775" s="93"/>
      <c r="C1775" s="93"/>
      <c r="D1775" s="93">
        <v>22260</v>
      </c>
      <c r="E1775" s="93">
        <v>194525</v>
      </c>
    </row>
    <row r="1776" spans="1:5" x14ac:dyDescent="0.25">
      <c r="A1776" s="93" t="s">
        <v>2338</v>
      </c>
      <c r="B1776" s="93"/>
      <c r="C1776" s="93"/>
      <c r="D1776" s="93">
        <v>29702</v>
      </c>
      <c r="E1776" s="93">
        <v>580</v>
      </c>
    </row>
    <row r="1777" spans="1:5" x14ac:dyDescent="0.25">
      <c r="A1777" s="93" t="s">
        <v>2339</v>
      </c>
      <c r="B1777" s="93"/>
      <c r="C1777" s="93"/>
      <c r="D1777" s="93">
        <v>0</v>
      </c>
      <c r="E1777" s="93">
        <v>46</v>
      </c>
    </row>
    <row r="1778" spans="1:5" x14ac:dyDescent="0.25">
      <c r="A1778" s="93" t="s">
        <v>2340</v>
      </c>
      <c r="B1778" s="93"/>
      <c r="C1778" s="93"/>
      <c r="D1778" s="93">
        <v>235833</v>
      </c>
      <c r="E1778" s="93">
        <v>148935</v>
      </c>
    </row>
    <row r="1779" spans="1:5" x14ac:dyDescent="0.25">
      <c r="A1779" s="93" t="s">
        <v>2341</v>
      </c>
      <c r="B1779" s="93"/>
      <c r="C1779" s="93"/>
      <c r="D1779" s="93">
        <v>864548</v>
      </c>
      <c r="E1779" s="93">
        <v>871272</v>
      </c>
    </row>
    <row r="1780" spans="1:5" x14ac:dyDescent="0.25">
      <c r="A1780" s="93" t="s">
        <v>2342</v>
      </c>
      <c r="B1780" s="93"/>
      <c r="C1780" s="93"/>
      <c r="D1780" s="93">
        <v>235467</v>
      </c>
      <c r="E1780" s="93">
        <v>187390</v>
      </c>
    </row>
    <row r="1781" spans="1:5" x14ac:dyDescent="0.25">
      <c r="A1781" s="93" t="s">
        <v>2343</v>
      </c>
      <c r="B1781" s="93"/>
      <c r="C1781" s="93"/>
      <c r="D1781" s="93">
        <v>96375</v>
      </c>
      <c r="E1781" s="93">
        <v>23952</v>
      </c>
    </row>
    <row r="1782" spans="1:5" x14ac:dyDescent="0.25">
      <c r="A1782" s="93" t="s">
        <v>2344</v>
      </c>
      <c r="B1782" s="93"/>
      <c r="C1782" s="93"/>
      <c r="D1782" s="93">
        <v>56384</v>
      </c>
      <c r="E1782" s="93">
        <v>257397</v>
      </c>
    </row>
    <row r="1783" spans="1:5" x14ac:dyDescent="0.25">
      <c r="A1783" s="93" t="s">
        <v>2345</v>
      </c>
      <c r="B1783" s="93"/>
      <c r="C1783" s="93"/>
      <c r="D1783" s="93">
        <v>691</v>
      </c>
      <c r="E1783" s="93">
        <v>0</v>
      </c>
    </row>
    <row r="1784" spans="1:5" x14ac:dyDescent="0.25">
      <c r="A1784" s="93" t="s">
        <v>2346</v>
      </c>
      <c r="B1784" s="93"/>
      <c r="C1784" s="93"/>
      <c r="D1784" s="93">
        <v>68</v>
      </c>
      <c r="E1784" s="93">
        <v>0</v>
      </c>
    </row>
    <row r="1785" spans="1:5" x14ac:dyDescent="0.25">
      <c r="A1785" s="93" t="s">
        <v>2347</v>
      </c>
      <c r="B1785" s="93"/>
      <c r="C1785" s="93"/>
      <c r="D1785" s="93">
        <v>475563</v>
      </c>
      <c r="E1785" s="93">
        <v>402533</v>
      </c>
    </row>
    <row r="1786" spans="1:5" x14ac:dyDescent="0.25">
      <c r="A1786" s="93" t="s">
        <v>2348</v>
      </c>
      <c r="B1786" s="93"/>
      <c r="C1786" s="93"/>
      <c r="D1786" s="93">
        <v>0</v>
      </c>
      <c r="E1786" s="93">
        <v>94017</v>
      </c>
    </row>
    <row r="1787" spans="1:5" x14ac:dyDescent="0.25">
      <c r="A1787" s="93" t="s">
        <v>2349</v>
      </c>
      <c r="B1787" s="93"/>
      <c r="C1787" s="93"/>
      <c r="D1787" s="93">
        <v>159626</v>
      </c>
      <c r="E1787" s="93">
        <v>0</v>
      </c>
    </row>
    <row r="1788" spans="1:5" x14ac:dyDescent="0.25">
      <c r="A1788" s="93" t="s">
        <v>2350</v>
      </c>
      <c r="B1788" s="93"/>
      <c r="C1788" s="93"/>
      <c r="D1788" s="93">
        <v>3985600</v>
      </c>
      <c r="E1788" s="93">
        <v>4756939</v>
      </c>
    </row>
    <row r="1789" spans="1:5" x14ac:dyDescent="0.25">
      <c r="A1789" s="93" t="s">
        <v>2351</v>
      </c>
      <c r="B1789" s="93"/>
      <c r="C1789" s="93"/>
      <c r="D1789" s="93">
        <v>6074487</v>
      </c>
      <c r="E1789" s="93">
        <v>6027836</v>
      </c>
    </row>
    <row r="1790" spans="1:5" x14ac:dyDescent="0.25">
      <c r="A1790" s="93" t="s">
        <v>2352</v>
      </c>
      <c r="B1790" s="93"/>
      <c r="C1790" s="93"/>
      <c r="D1790" s="93">
        <v>793049</v>
      </c>
      <c r="E1790" s="93">
        <v>390972</v>
      </c>
    </row>
    <row r="1791" spans="1:5" x14ac:dyDescent="0.25">
      <c r="A1791" s="93" t="s">
        <v>2353</v>
      </c>
      <c r="B1791" s="93"/>
      <c r="C1791" s="93"/>
      <c r="D1791" s="93">
        <v>5281438</v>
      </c>
      <c r="E1791" s="93">
        <v>5636864</v>
      </c>
    </row>
    <row r="1792" spans="1:5" x14ac:dyDescent="0.25">
      <c r="A1792" s="93" t="s">
        <v>2354</v>
      </c>
      <c r="B1792" s="93"/>
      <c r="C1792" s="93"/>
      <c r="D1792" s="93">
        <v>4179869</v>
      </c>
      <c r="E1792" s="93">
        <v>4061574</v>
      </c>
    </row>
    <row r="1793" spans="1:5" x14ac:dyDescent="0.25">
      <c r="A1793" s="93" t="s">
        <v>2355</v>
      </c>
      <c r="B1793" s="93"/>
      <c r="C1793" s="93"/>
      <c r="D1793" s="93">
        <v>31084</v>
      </c>
      <c r="E1793" s="93">
        <v>231095</v>
      </c>
    </row>
    <row r="1794" spans="1:5" x14ac:dyDescent="0.25">
      <c r="A1794" s="93" t="s">
        <v>2356</v>
      </c>
      <c r="B1794" s="93"/>
      <c r="C1794" s="93"/>
      <c r="D1794" s="93">
        <v>4148785</v>
      </c>
      <c r="E1794" s="93">
        <v>3830479</v>
      </c>
    </row>
    <row r="1795" spans="1:5" x14ac:dyDescent="0.25">
      <c r="A1795" s="93" t="s">
        <v>2357</v>
      </c>
      <c r="B1795" s="93"/>
      <c r="C1795" s="93"/>
      <c r="D1795" s="93">
        <v>1894618</v>
      </c>
      <c r="E1795" s="93">
        <v>1966262</v>
      </c>
    </row>
    <row r="1796" spans="1:5" x14ac:dyDescent="0.25">
      <c r="A1796" s="93" t="s">
        <v>2358</v>
      </c>
      <c r="B1796" s="93"/>
      <c r="C1796" s="93"/>
      <c r="D1796" s="93">
        <v>5880218</v>
      </c>
      <c r="E1796" s="93">
        <v>6723201</v>
      </c>
    </row>
    <row r="1797" spans="1:5" x14ac:dyDescent="0.25">
      <c r="A1797" s="93" t="s">
        <v>2359</v>
      </c>
      <c r="B1797" s="93"/>
      <c r="C1797" s="93"/>
      <c r="D1797" s="93">
        <v>824694</v>
      </c>
      <c r="E1797" s="93">
        <v>656207</v>
      </c>
    </row>
    <row r="1798" spans="1:5" x14ac:dyDescent="0.25">
      <c r="A1798" s="93" t="s">
        <v>2360</v>
      </c>
      <c r="B1798" s="93"/>
      <c r="C1798" s="93"/>
      <c r="D1798" s="93">
        <v>5055524</v>
      </c>
      <c r="E1798" s="93">
        <v>6066994</v>
      </c>
    </row>
    <row r="1799" spans="1:5" x14ac:dyDescent="0.25">
      <c r="A1799" s="11" t="s">
        <v>1423</v>
      </c>
      <c r="B1799" s="11">
        <v>228391391</v>
      </c>
      <c r="C1799" s="11">
        <v>5423116</v>
      </c>
      <c r="D1799" s="11">
        <v>222968275</v>
      </c>
      <c r="E1799" s="11">
        <v>200168685</v>
      </c>
    </row>
    <row r="1800" spans="1:5" x14ac:dyDescent="0.25">
      <c r="A1800" s="11" t="s">
        <v>1424</v>
      </c>
      <c r="B1800" s="11">
        <v>23158367</v>
      </c>
      <c r="C1800" s="11">
        <v>105417</v>
      </c>
      <c r="D1800" s="11">
        <v>23052950</v>
      </c>
      <c r="E1800" s="11">
        <v>22583789</v>
      </c>
    </row>
    <row r="1801" spans="1:5" x14ac:dyDescent="0.25">
      <c r="A1801" s="11" t="s">
        <v>1425</v>
      </c>
      <c r="B1801" s="11">
        <v>4831949</v>
      </c>
      <c r="C1801" s="11">
        <v>0</v>
      </c>
      <c r="D1801" s="11">
        <v>4831949</v>
      </c>
      <c r="E1801" s="11">
        <v>3732817</v>
      </c>
    </row>
    <row r="1802" spans="1:5" x14ac:dyDescent="0.25">
      <c r="A1802" s="11" t="s">
        <v>1426</v>
      </c>
      <c r="B1802" s="11">
        <v>1461864</v>
      </c>
      <c r="C1802" s="11">
        <v>105417</v>
      </c>
      <c r="D1802" s="11">
        <v>1356447</v>
      </c>
      <c r="E1802" s="11">
        <v>1098861</v>
      </c>
    </row>
    <row r="1803" spans="1:5" x14ac:dyDescent="0.25">
      <c r="A1803" s="11" t="s">
        <v>1427</v>
      </c>
      <c r="B1803" s="11">
        <v>16755828</v>
      </c>
      <c r="C1803" s="11">
        <v>0</v>
      </c>
      <c r="D1803" s="11">
        <v>16755828</v>
      </c>
      <c r="E1803" s="11">
        <v>17676868</v>
      </c>
    </row>
    <row r="1804" spans="1:5" x14ac:dyDescent="0.25">
      <c r="A1804" s="11" t="s">
        <v>1428</v>
      </c>
      <c r="B1804" s="11">
        <v>41998</v>
      </c>
      <c r="C1804" s="11">
        <v>0</v>
      </c>
      <c r="D1804" s="11">
        <v>41998</v>
      </c>
      <c r="E1804" s="11">
        <v>41998</v>
      </c>
    </row>
    <row r="1805" spans="1:5" x14ac:dyDescent="0.25">
      <c r="A1805" s="11" t="s">
        <v>1429</v>
      </c>
      <c r="B1805" s="11">
        <v>66728</v>
      </c>
      <c r="C1805" s="11">
        <v>0</v>
      </c>
      <c r="D1805" s="11">
        <v>66728</v>
      </c>
      <c r="E1805" s="11">
        <v>33245</v>
      </c>
    </row>
    <row r="1806" spans="1:5" x14ac:dyDescent="0.25">
      <c r="A1806" s="11" t="s">
        <v>1430</v>
      </c>
      <c r="B1806" s="11">
        <v>27768172</v>
      </c>
      <c r="C1806" s="11">
        <v>0</v>
      </c>
      <c r="D1806" s="11">
        <v>27768172</v>
      </c>
      <c r="E1806" s="11">
        <v>38159261</v>
      </c>
    </row>
    <row r="1807" spans="1:5" x14ac:dyDescent="0.25">
      <c r="A1807" s="11" t="s">
        <v>1431</v>
      </c>
      <c r="B1807" s="11">
        <v>27768172</v>
      </c>
      <c r="C1807" s="11">
        <v>0</v>
      </c>
      <c r="D1807" s="11">
        <v>27768172</v>
      </c>
      <c r="E1807" s="11">
        <v>38159261</v>
      </c>
    </row>
    <row r="1808" spans="1:5" x14ac:dyDescent="0.25">
      <c r="A1808" s="11" t="s">
        <v>1432</v>
      </c>
      <c r="B1808" s="11">
        <v>3913049</v>
      </c>
      <c r="C1808" s="11">
        <v>1647669</v>
      </c>
      <c r="D1808" s="11">
        <v>2265380</v>
      </c>
      <c r="E1808" s="11">
        <v>2175935</v>
      </c>
    </row>
    <row r="1809" spans="1:5" x14ac:dyDescent="0.25">
      <c r="A1809" s="11" t="s">
        <v>1433</v>
      </c>
      <c r="B1809" s="11">
        <v>3907860</v>
      </c>
      <c r="C1809" s="11">
        <v>1647669</v>
      </c>
      <c r="D1809" s="11">
        <v>2260191</v>
      </c>
      <c r="E1809" s="11">
        <v>2175515</v>
      </c>
    </row>
    <row r="1810" spans="1:5" x14ac:dyDescent="0.25">
      <c r="A1810" s="11" t="s">
        <v>1434</v>
      </c>
      <c r="B1810" s="11">
        <v>5189</v>
      </c>
      <c r="C1810" s="11">
        <v>0</v>
      </c>
      <c r="D1810" s="11">
        <v>5189</v>
      </c>
      <c r="E1810" s="11">
        <v>420</v>
      </c>
    </row>
    <row r="1811" spans="1:5" x14ac:dyDescent="0.25">
      <c r="A1811" s="11" t="s">
        <v>1435</v>
      </c>
      <c r="B1811" s="11">
        <v>150990291</v>
      </c>
      <c r="C1811" s="11">
        <v>1656932</v>
      </c>
      <c r="D1811" s="11">
        <v>149333359</v>
      </c>
      <c r="E1811" s="11">
        <v>108387841</v>
      </c>
    </row>
    <row r="1812" spans="1:5" x14ac:dyDescent="0.25">
      <c r="A1812" s="11" t="s">
        <v>1436</v>
      </c>
      <c r="B1812" s="11">
        <v>55734089</v>
      </c>
      <c r="C1812" s="11">
        <v>148771</v>
      </c>
      <c r="D1812" s="11">
        <v>55585318</v>
      </c>
      <c r="E1812" s="11">
        <v>46151400</v>
      </c>
    </row>
    <row r="1813" spans="1:5" x14ac:dyDescent="0.25">
      <c r="A1813" s="11" t="s">
        <v>1437</v>
      </c>
      <c r="B1813" s="11">
        <v>95011650</v>
      </c>
      <c r="C1813" s="11">
        <v>1508161</v>
      </c>
      <c r="D1813" s="11">
        <v>93503489</v>
      </c>
      <c r="E1813" s="11">
        <v>61993800</v>
      </c>
    </row>
    <row r="1814" spans="1:5" x14ac:dyDescent="0.25">
      <c r="A1814" s="11" t="s">
        <v>1438</v>
      </c>
      <c r="B1814" s="11">
        <v>244552</v>
      </c>
      <c r="C1814" s="11">
        <v>0</v>
      </c>
      <c r="D1814" s="11">
        <v>244552</v>
      </c>
      <c r="E1814" s="11">
        <v>242641</v>
      </c>
    </row>
    <row r="1815" spans="1:5" x14ac:dyDescent="0.25">
      <c r="A1815" s="11" t="s">
        <v>1439</v>
      </c>
      <c r="B1815" s="11">
        <v>14887233</v>
      </c>
      <c r="C1815" s="11">
        <v>0</v>
      </c>
      <c r="D1815" s="11">
        <v>14887233</v>
      </c>
      <c r="E1815" s="11">
        <v>589039</v>
      </c>
    </row>
    <row r="1816" spans="1:5" x14ac:dyDescent="0.25">
      <c r="A1816" s="11" t="s">
        <v>1440</v>
      </c>
      <c r="B1816" s="11">
        <v>885545</v>
      </c>
      <c r="C1816" s="11">
        <v>0</v>
      </c>
      <c r="D1816" s="11">
        <v>885545</v>
      </c>
      <c r="E1816" s="11">
        <v>569262</v>
      </c>
    </row>
    <row r="1817" spans="1:5" x14ac:dyDescent="0.25">
      <c r="A1817" s="11" t="s">
        <v>1978</v>
      </c>
      <c r="B1817" s="11">
        <v>13998510</v>
      </c>
      <c r="C1817" s="11">
        <v>0</v>
      </c>
      <c r="D1817" s="11">
        <v>13998510</v>
      </c>
      <c r="E1817" s="11">
        <v>16599</v>
      </c>
    </row>
    <row r="1818" spans="1:5" x14ac:dyDescent="0.25">
      <c r="A1818" s="11" t="s">
        <v>1441</v>
      </c>
      <c r="B1818" s="11">
        <v>3178</v>
      </c>
      <c r="C1818" s="11">
        <v>0</v>
      </c>
      <c r="D1818" s="11">
        <v>3178</v>
      </c>
      <c r="E1818" s="11">
        <v>3178</v>
      </c>
    </row>
    <row r="1819" spans="1:5" x14ac:dyDescent="0.25">
      <c r="A1819" s="11" t="s">
        <v>1442</v>
      </c>
      <c r="B1819" s="11">
        <v>7163942</v>
      </c>
      <c r="C1819" s="11">
        <v>1986466</v>
      </c>
      <c r="D1819" s="11">
        <v>5177476</v>
      </c>
      <c r="E1819" s="11">
        <v>27882623</v>
      </c>
    </row>
    <row r="1820" spans="1:5" x14ac:dyDescent="0.25">
      <c r="A1820" s="11" t="s">
        <v>1979</v>
      </c>
      <c r="B1820" s="11">
        <v>0</v>
      </c>
      <c r="C1820" s="11">
        <v>0</v>
      </c>
      <c r="D1820" s="11">
        <v>0</v>
      </c>
      <c r="E1820" s="11">
        <v>908</v>
      </c>
    </row>
    <row r="1821" spans="1:5" x14ac:dyDescent="0.25">
      <c r="A1821" s="11" t="s">
        <v>1443</v>
      </c>
      <c r="B1821" s="11">
        <v>6998852</v>
      </c>
      <c r="C1821" s="11">
        <v>1986466</v>
      </c>
      <c r="D1821" s="11">
        <v>5012386</v>
      </c>
      <c r="E1821" s="11">
        <v>27795361</v>
      </c>
    </row>
    <row r="1822" spans="1:5" x14ac:dyDescent="0.25">
      <c r="A1822" s="11" t="s">
        <v>1444</v>
      </c>
      <c r="B1822" s="11">
        <v>123939</v>
      </c>
      <c r="C1822" s="11">
        <v>0</v>
      </c>
      <c r="D1822" s="11">
        <v>123939</v>
      </c>
      <c r="E1822" s="11">
        <v>70858</v>
      </c>
    </row>
    <row r="1823" spans="1:5" x14ac:dyDescent="0.25">
      <c r="A1823" s="11" t="s">
        <v>1445</v>
      </c>
      <c r="B1823" s="11">
        <v>41151</v>
      </c>
      <c r="C1823" s="11">
        <v>0</v>
      </c>
      <c r="D1823" s="11">
        <v>41151</v>
      </c>
      <c r="E1823" s="11">
        <v>15496</v>
      </c>
    </row>
    <row r="1824" spans="1:5" x14ac:dyDescent="0.25">
      <c r="A1824" s="11" t="s">
        <v>1446</v>
      </c>
      <c r="B1824" s="11">
        <v>510331</v>
      </c>
      <c r="C1824" s="11">
        <v>26632</v>
      </c>
      <c r="D1824" s="11">
        <v>483699</v>
      </c>
      <c r="E1824" s="11">
        <v>390191</v>
      </c>
    </row>
    <row r="1825" spans="1:5" x14ac:dyDescent="0.25">
      <c r="A1825" s="11" t="s">
        <v>1933</v>
      </c>
      <c r="B1825" s="11">
        <v>6</v>
      </c>
      <c r="C1825" s="11">
        <v>0</v>
      </c>
      <c r="D1825" s="11">
        <v>6</v>
      </c>
      <c r="E1825" s="11">
        <v>6</v>
      </c>
    </row>
    <row r="1826" spans="1:5" x14ac:dyDescent="0.25">
      <c r="A1826" s="11" t="s">
        <v>1447</v>
      </c>
      <c r="B1826" s="11">
        <v>23387709</v>
      </c>
      <c r="C1826" s="11">
        <v>7754704</v>
      </c>
      <c r="D1826" s="11">
        <v>15633005</v>
      </c>
      <c r="E1826" s="11">
        <v>15687777</v>
      </c>
    </row>
    <row r="1827" spans="1:5" x14ac:dyDescent="0.25">
      <c r="A1827" s="11" t="s">
        <v>1448</v>
      </c>
      <c r="B1827" s="11">
        <v>22556756</v>
      </c>
      <c r="C1827" s="11">
        <v>7175641</v>
      </c>
      <c r="D1827" s="11">
        <v>15381115</v>
      </c>
      <c r="E1827" s="11">
        <v>15481050</v>
      </c>
    </row>
    <row r="1828" spans="1:5" x14ac:dyDescent="0.25">
      <c r="A1828" s="11" t="s">
        <v>1449</v>
      </c>
      <c r="B1828" s="11">
        <v>20272281</v>
      </c>
      <c r="C1828" s="11">
        <v>7175641</v>
      </c>
      <c r="D1828" s="11">
        <v>13096640</v>
      </c>
      <c r="E1828" s="11">
        <v>13218401</v>
      </c>
    </row>
    <row r="1829" spans="1:5" x14ac:dyDescent="0.25">
      <c r="A1829" s="11" t="s">
        <v>1450</v>
      </c>
      <c r="B1829" s="11">
        <v>2262649</v>
      </c>
      <c r="C1829" s="11">
        <v>0</v>
      </c>
      <c r="D1829" s="11">
        <v>2262649</v>
      </c>
      <c r="E1829" s="11">
        <v>2262649</v>
      </c>
    </row>
    <row r="1830" spans="1:5" x14ac:dyDescent="0.25">
      <c r="A1830" s="11" t="s">
        <v>1451</v>
      </c>
      <c r="B1830" s="11">
        <v>21826</v>
      </c>
      <c r="C1830" s="11">
        <v>0</v>
      </c>
      <c r="D1830" s="11">
        <v>21826</v>
      </c>
      <c r="E1830" s="11">
        <v>0</v>
      </c>
    </row>
    <row r="1831" spans="1:5" x14ac:dyDescent="0.25">
      <c r="A1831" s="11" t="s">
        <v>1452</v>
      </c>
      <c r="B1831" s="11">
        <v>783564</v>
      </c>
      <c r="C1831" s="11">
        <v>579063</v>
      </c>
      <c r="D1831" s="11">
        <v>204501</v>
      </c>
      <c r="E1831" s="11">
        <v>159338</v>
      </c>
    </row>
    <row r="1832" spans="1:5" x14ac:dyDescent="0.25">
      <c r="A1832" s="11" t="s">
        <v>1453</v>
      </c>
      <c r="B1832" s="11">
        <v>701184</v>
      </c>
      <c r="C1832" s="11">
        <v>579063</v>
      </c>
      <c r="D1832" s="11">
        <v>122121</v>
      </c>
      <c r="E1832" s="11">
        <v>159338</v>
      </c>
    </row>
    <row r="1833" spans="1:5" x14ac:dyDescent="0.25">
      <c r="A1833" s="11" t="s">
        <v>1980</v>
      </c>
      <c r="B1833" s="11">
        <v>82380</v>
      </c>
      <c r="C1833" s="11">
        <v>0</v>
      </c>
      <c r="D1833" s="11">
        <v>82380</v>
      </c>
      <c r="E1833" s="11">
        <v>0</v>
      </c>
    </row>
    <row r="1834" spans="1:5" x14ac:dyDescent="0.25">
      <c r="A1834" s="11" t="s">
        <v>1454</v>
      </c>
      <c r="B1834" s="11">
        <v>47389</v>
      </c>
      <c r="C1834" s="11">
        <v>0</v>
      </c>
      <c r="D1834" s="11">
        <v>47389</v>
      </c>
      <c r="E1834" s="11">
        <v>47389</v>
      </c>
    </row>
    <row r="1835" spans="1:5" x14ac:dyDescent="0.25">
      <c r="A1835" s="11" t="s">
        <v>1455</v>
      </c>
      <c r="B1835" s="11">
        <v>251779100</v>
      </c>
      <c r="C1835" s="11">
        <v>13177820</v>
      </c>
      <c r="D1835" s="11">
        <v>238601280</v>
      </c>
      <c r="E1835" s="11">
        <v>215856462</v>
      </c>
    </row>
    <row r="1836" spans="1:5" x14ac:dyDescent="0.25">
      <c r="A1836" s="11" t="s">
        <v>1456</v>
      </c>
      <c r="B1836" s="11">
        <v>24276468</v>
      </c>
      <c r="C1836" s="11">
        <v>0</v>
      </c>
      <c r="D1836" s="11">
        <v>24276468</v>
      </c>
      <c r="E1836" s="11">
        <v>17254534</v>
      </c>
    </row>
    <row r="1837" spans="1:5" x14ac:dyDescent="0.25">
      <c r="A1837" s="11" t="s">
        <v>1457</v>
      </c>
      <c r="B1837" s="11">
        <v>276055568</v>
      </c>
      <c r="C1837" s="11">
        <v>13177820</v>
      </c>
      <c r="D1837" s="11">
        <v>262877748</v>
      </c>
      <c r="E1837" s="11">
        <v>233110996</v>
      </c>
    </row>
    <row r="1838" spans="1:5" x14ac:dyDescent="0.25">
      <c r="A1838" s="93" t="s">
        <v>2361</v>
      </c>
      <c r="B1838" s="93"/>
      <c r="C1838" s="93"/>
      <c r="D1838" s="93">
        <v>222968275</v>
      </c>
      <c r="E1838" s="93">
        <v>200168685</v>
      </c>
    </row>
    <row r="1839" spans="1:5" x14ac:dyDescent="0.25">
      <c r="A1839" s="93" t="s">
        <v>2362</v>
      </c>
      <c r="B1839" s="93"/>
      <c r="C1839" s="93"/>
      <c r="D1839" s="93">
        <v>23052950</v>
      </c>
      <c r="E1839" s="93">
        <v>22583789</v>
      </c>
    </row>
    <row r="1840" spans="1:5" x14ac:dyDescent="0.25">
      <c r="A1840" s="93" t="s">
        <v>2363</v>
      </c>
      <c r="B1840" s="93"/>
      <c r="C1840" s="93"/>
      <c r="D1840" s="93">
        <v>4831949</v>
      </c>
      <c r="E1840" s="93">
        <v>3732817</v>
      </c>
    </row>
    <row r="1841" spans="1:5" x14ac:dyDescent="0.25">
      <c r="A1841" s="93" t="s">
        <v>2364</v>
      </c>
      <c r="B1841" s="93"/>
      <c r="C1841" s="93"/>
      <c r="D1841" s="93">
        <v>1356447</v>
      </c>
      <c r="E1841" s="93">
        <v>1098861</v>
      </c>
    </row>
    <row r="1842" spans="1:5" x14ac:dyDescent="0.25">
      <c r="A1842" s="93" t="s">
        <v>2365</v>
      </c>
      <c r="B1842" s="93"/>
      <c r="C1842" s="93"/>
      <c r="D1842" s="93">
        <v>16755828</v>
      </c>
      <c r="E1842" s="93">
        <v>17676868</v>
      </c>
    </row>
    <row r="1843" spans="1:5" x14ac:dyDescent="0.25">
      <c r="A1843" s="93" t="s">
        <v>2366</v>
      </c>
      <c r="B1843" s="93"/>
      <c r="C1843" s="93"/>
      <c r="D1843" s="93">
        <v>41998</v>
      </c>
      <c r="E1843" s="93">
        <v>41998</v>
      </c>
    </row>
    <row r="1844" spans="1:5" x14ac:dyDescent="0.25">
      <c r="A1844" s="93" t="s">
        <v>2367</v>
      </c>
      <c r="B1844" s="93"/>
      <c r="C1844" s="93"/>
      <c r="D1844" s="93">
        <v>66728</v>
      </c>
      <c r="E1844" s="93">
        <v>33245</v>
      </c>
    </row>
    <row r="1845" spans="1:5" x14ac:dyDescent="0.25">
      <c r="A1845" s="93" t="s">
        <v>2368</v>
      </c>
      <c r="B1845" s="93"/>
      <c r="C1845" s="93"/>
      <c r="D1845" s="93">
        <v>27768172</v>
      </c>
      <c r="E1845" s="93">
        <v>38159261</v>
      </c>
    </row>
    <row r="1846" spans="1:5" x14ac:dyDescent="0.25">
      <c r="A1846" s="93" t="s">
        <v>2369</v>
      </c>
      <c r="B1846" s="93"/>
      <c r="C1846" s="93"/>
      <c r="D1846" s="93">
        <v>27768172</v>
      </c>
      <c r="E1846" s="93">
        <v>38159261</v>
      </c>
    </row>
    <row r="1847" spans="1:5" x14ac:dyDescent="0.25">
      <c r="A1847" s="11" t="s">
        <v>1458</v>
      </c>
      <c r="B1847" s="11"/>
      <c r="C1847" s="11"/>
      <c r="D1847" s="11">
        <v>203378650</v>
      </c>
      <c r="E1847" s="11">
        <v>185804353</v>
      </c>
    </row>
    <row r="1848" spans="1:5" x14ac:dyDescent="0.25">
      <c r="A1848" s="11" t="s">
        <v>1459</v>
      </c>
      <c r="B1848" s="11"/>
      <c r="C1848" s="11"/>
      <c r="D1848" s="11">
        <v>199045420</v>
      </c>
      <c r="E1848" s="11">
        <v>182142805</v>
      </c>
    </row>
    <row r="1849" spans="1:5" x14ac:dyDescent="0.25">
      <c r="A1849" s="11" t="s">
        <v>1460</v>
      </c>
      <c r="B1849" s="11"/>
      <c r="C1849" s="11"/>
      <c r="D1849" s="11">
        <v>80083746</v>
      </c>
      <c r="E1849" s="11">
        <v>68343397</v>
      </c>
    </row>
    <row r="1850" spans="1:5" x14ac:dyDescent="0.25">
      <c r="A1850" s="11" t="s">
        <v>1461</v>
      </c>
      <c r="B1850" s="11"/>
      <c r="C1850" s="11"/>
      <c r="D1850" s="11">
        <v>46368984</v>
      </c>
      <c r="E1850" s="11">
        <v>48354719</v>
      </c>
    </row>
    <row r="1851" spans="1:5" x14ac:dyDescent="0.25">
      <c r="A1851" s="11" t="s">
        <v>1462</v>
      </c>
      <c r="B1851" s="11"/>
      <c r="C1851" s="11"/>
      <c r="D1851" s="11">
        <v>72592690</v>
      </c>
      <c r="E1851" s="11">
        <v>65444689</v>
      </c>
    </row>
    <row r="1852" spans="1:5" x14ac:dyDescent="0.25">
      <c r="A1852" s="11" t="s">
        <v>1463</v>
      </c>
      <c r="B1852" s="11"/>
      <c r="C1852" s="11"/>
      <c r="D1852" s="11">
        <v>2163478</v>
      </c>
      <c r="E1852" s="11">
        <v>1550305</v>
      </c>
    </row>
    <row r="1853" spans="1:5" x14ac:dyDescent="0.25">
      <c r="A1853" s="11" t="s">
        <v>1464</v>
      </c>
      <c r="B1853" s="11"/>
      <c r="C1853" s="11"/>
      <c r="D1853" s="11">
        <v>697669</v>
      </c>
      <c r="E1853" s="11">
        <v>563071</v>
      </c>
    </row>
    <row r="1854" spans="1:5" x14ac:dyDescent="0.25">
      <c r="A1854" s="11" t="s">
        <v>1465</v>
      </c>
      <c r="B1854" s="11"/>
      <c r="C1854" s="11"/>
      <c r="D1854" s="11">
        <v>1465809</v>
      </c>
      <c r="E1854" s="11">
        <v>987234</v>
      </c>
    </row>
    <row r="1855" spans="1:5" x14ac:dyDescent="0.25">
      <c r="A1855" s="11" t="s">
        <v>1466</v>
      </c>
      <c r="B1855" s="11"/>
      <c r="C1855" s="11"/>
      <c r="D1855" s="11">
        <v>2169752</v>
      </c>
      <c r="E1855" s="11">
        <v>2111243</v>
      </c>
    </row>
    <row r="1856" spans="1:5" x14ac:dyDescent="0.25">
      <c r="A1856" s="11" t="s">
        <v>1467</v>
      </c>
      <c r="B1856" s="11"/>
      <c r="C1856" s="11"/>
      <c r="D1856" s="11">
        <v>336585</v>
      </c>
      <c r="E1856" s="11">
        <v>529046</v>
      </c>
    </row>
    <row r="1857" spans="1:5" x14ac:dyDescent="0.25">
      <c r="A1857" s="11" t="s">
        <v>1468</v>
      </c>
      <c r="B1857" s="11"/>
      <c r="C1857" s="11"/>
      <c r="D1857" s="11">
        <v>26402</v>
      </c>
      <c r="E1857" s="11">
        <v>20576</v>
      </c>
    </row>
    <row r="1858" spans="1:5" x14ac:dyDescent="0.25">
      <c r="A1858" s="11" t="s">
        <v>1469</v>
      </c>
      <c r="B1858" s="11"/>
      <c r="C1858" s="11"/>
      <c r="D1858" s="11">
        <v>122262</v>
      </c>
      <c r="E1858" s="11">
        <v>42835</v>
      </c>
    </row>
    <row r="1859" spans="1:5" x14ac:dyDescent="0.25">
      <c r="A1859" s="11" t="s">
        <v>1470</v>
      </c>
      <c r="B1859" s="11"/>
      <c r="C1859" s="11"/>
      <c r="D1859" s="11">
        <v>5435</v>
      </c>
      <c r="E1859" s="11">
        <v>5435</v>
      </c>
    </row>
    <row r="1860" spans="1:5" x14ac:dyDescent="0.25">
      <c r="A1860" s="11" t="s">
        <v>1471</v>
      </c>
      <c r="B1860" s="11"/>
      <c r="C1860" s="11"/>
      <c r="D1860" s="11">
        <v>209109</v>
      </c>
      <c r="E1860" s="11">
        <v>216022</v>
      </c>
    </row>
    <row r="1861" spans="1:5" x14ac:dyDescent="0.25">
      <c r="A1861" s="11" t="s">
        <v>1472</v>
      </c>
      <c r="B1861" s="11"/>
      <c r="C1861" s="11"/>
      <c r="D1861" s="11">
        <v>1429519</v>
      </c>
      <c r="E1861" s="11">
        <v>1154936</v>
      </c>
    </row>
    <row r="1862" spans="1:5" x14ac:dyDescent="0.25">
      <c r="A1862" s="11" t="s">
        <v>1473</v>
      </c>
      <c r="B1862" s="11"/>
      <c r="C1862" s="11"/>
      <c r="D1862" s="11">
        <v>40440</v>
      </c>
      <c r="E1862" s="11">
        <v>142393</v>
      </c>
    </row>
    <row r="1863" spans="1:5" x14ac:dyDescent="0.25">
      <c r="A1863" s="11" t="s">
        <v>1474</v>
      </c>
      <c r="B1863" s="11"/>
      <c r="C1863" s="11"/>
      <c r="D1863" s="11">
        <v>35222630</v>
      </c>
      <c r="E1863" s="11">
        <v>30052109</v>
      </c>
    </row>
    <row r="1864" spans="1:5" x14ac:dyDescent="0.25">
      <c r="A1864" s="11" t="s">
        <v>1475</v>
      </c>
      <c r="B1864" s="11"/>
      <c r="C1864" s="11"/>
      <c r="D1864" s="11">
        <v>23375231</v>
      </c>
      <c r="E1864" s="11">
        <v>18375231</v>
      </c>
    </row>
    <row r="1865" spans="1:5" x14ac:dyDescent="0.25">
      <c r="A1865" s="11" t="s">
        <v>1476</v>
      </c>
      <c r="B1865" s="11"/>
      <c r="C1865" s="11"/>
      <c r="D1865" s="11">
        <v>23375231</v>
      </c>
      <c r="E1865" s="11">
        <v>18375231</v>
      </c>
    </row>
    <row r="1866" spans="1:5" x14ac:dyDescent="0.25">
      <c r="A1866" s="11" t="s">
        <v>1477</v>
      </c>
      <c r="B1866" s="11"/>
      <c r="C1866" s="11"/>
      <c r="D1866" s="11">
        <v>5668976</v>
      </c>
      <c r="E1866" s="11">
        <v>5084836</v>
      </c>
    </row>
    <row r="1867" spans="1:5" x14ac:dyDescent="0.25">
      <c r="A1867" s="11" t="s">
        <v>1478</v>
      </c>
      <c r="B1867" s="11"/>
      <c r="C1867" s="11"/>
      <c r="D1867" s="11">
        <v>1639044</v>
      </c>
      <c r="E1867" s="11">
        <v>1615855</v>
      </c>
    </row>
    <row r="1868" spans="1:5" x14ac:dyDescent="0.25">
      <c r="A1868" s="11" t="s">
        <v>1479</v>
      </c>
      <c r="B1868" s="11"/>
      <c r="C1868" s="11"/>
      <c r="D1868" s="11">
        <v>4029932</v>
      </c>
      <c r="E1868" s="11">
        <v>3468981</v>
      </c>
    </row>
    <row r="1869" spans="1:5" x14ac:dyDescent="0.25">
      <c r="A1869" s="11" t="s">
        <v>1480</v>
      </c>
      <c r="B1869" s="11"/>
      <c r="C1869" s="11"/>
      <c r="D1869" s="11">
        <v>6007902</v>
      </c>
      <c r="E1869" s="11">
        <v>6007902</v>
      </c>
    </row>
    <row r="1870" spans="1:5" x14ac:dyDescent="0.25">
      <c r="A1870" s="11" t="s">
        <v>1481</v>
      </c>
      <c r="B1870" s="11"/>
      <c r="C1870" s="11"/>
      <c r="D1870" s="11">
        <v>6007902</v>
      </c>
      <c r="E1870" s="11">
        <v>6007902</v>
      </c>
    </row>
    <row r="1871" spans="1:5" x14ac:dyDescent="0.25">
      <c r="A1871" s="11" t="s">
        <v>1482</v>
      </c>
      <c r="B1871" s="11"/>
      <c r="C1871" s="11"/>
      <c r="D1871" s="11">
        <v>170521</v>
      </c>
      <c r="E1871" s="11">
        <v>584140</v>
      </c>
    </row>
    <row r="1872" spans="1:5" x14ac:dyDescent="0.25">
      <c r="A1872" s="11" t="s">
        <v>1483</v>
      </c>
      <c r="B1872" s="11"/>
      <c r="C1872" s="11"/>
      <c r="D1872" s="11">
        <v>170521</v>
      </c>
      <c r="E1872" s="11">
        <v>370622</v>
      </c>
    </row>
    <row r="1873" spans="1:5" x14ac:dyDescent="0.25">
      <c r="A1873" s="11" t="s">
        <v>1484</v>
      </c>
      <c r="B1873" s="11"/>
      <c r="C1873" s="11"/>
      <c r="D1873" s="11">
        <v>0</v>
      </c>
      <c r="E1873" s="11">
        <v>120366</v>
      </c>
    </row>
    <row r="1874" spans="1:5" x14ac:dyDescent="0.25">
      <c r="A1874" s="11" t="s">
        <v>1485</v>
      </c>
      <c r="B1874" s="11"/>
      <c r="C1874" s="11"/>
      <c r="D1874" s="11">
        <v>0</v>
      </c>
      <c r="E1874" s="11">
        <v>93152</v>
      </c>
    </row>
    <row r="1875" spans="1:5" x14ac:dyDescent="0.25">
      <c r="A1875" s="11" t="s">
        <v>1486</v>
      </c>
      <c r="B1875" s="11"/>
      <c r="C1875" s="11"/>
      <c r="D1875" s="11">
        <v>238601280</v>
      </c>
      <c r="E1875" s="11">
        <v>215856462</v>
      </c>
    </row>
    <row r="1876" spans="1:5" x14ac:dyDescent="0.25">
      <c r="A1876" s="11" t="s">
        <v>1487</v>
      </c>
      <c r="B1876" s="11"/>
      <c r="C1876" s="11"/>
      <c r="D1876" s="11">
        <v>24276468</v>
      </c>
      <c r="E1876" s="11">
        <v>17254534</v>
      </c>
    </row>
    <row r="1877" spans="1:5" x14ac:dyDescent="0.25">
      <c r="A1877" s="11" t="s">
        <v>1488</v>
      </c>
      <c r="B1877" s="11"/>
      <c r="C1877" s="11"/>
      <c r="D1877" s="11">
        <v>262877748</v>
      </c>
      <c r="E1877" s="11">
        <v>233110996</v>
      </c>
    </row>
    <row r="1878" spans="1:5" x14ac:dyDescent="0.25">
      <c r="A1878" s="11" t="s">
        <v>1489</v>
      </c>
      <c r="B1878" s="11"/>
      <c r="C1878" s="11"/>
      <c r="D1878" s="11">
        <v>6651297</v>
      </c>
      <c r="E1878" s="11">
        <v>5307568</v>
      </c>
    </row>
    <row r="1879" spans="1:5" x14ac:dyDescent="0.25">
      <c r="A1879" s="11" t="s">
        <v>1490</v>
      </c>
      <c r="B1879" s="11"/>
      <c r="C1879" s="11"/>
      <c r="D1879" s="11">
        <v>1973800</v>
      </c>
      <c r="E1879" s="11">
        <v>1943926</v>
      </c>
    </row>
    <row r="1880" spans="1:5" x14ac:dyDescent="0.25">
      <c r="A1880" s="11" t="s">
        <v>1491</v>
      </c>
      <c r="B1880" s="11"/>
      <c r="C1880" s="11"/>
      <c r="D1880" s="11">
        <v>4676455</v>
      </c>
      <c r="E1880" s="11">
        <v>3362838</v>
      </c>
    </row>
    <row r="1881" spans="1:5" x14ac:dyDescent="0.25">
      <c r="A1881" s="11" t="s">
        <v>1492</v>
      </c>
      <c r="B1881" s="11"/>
      <c r="C1881" s="11"/>
      <c r="D1881" s="11">
        <v>1042</v>
      </c>
      <c r="E1881" s="11">
        <v>804</v>
      </c>
    </row>
    <row r="1882" spans="1:5" x14ac:dyDescent="0.25">
      <c r="A1882" s="11" t="s">
        <v>1493</v>
      </c>
      <c r="B1882" s="11"/>
      <c r="C1882" s="11"/>
      <c r="D1882" s="11">
        <v>2313553</v>
      </c>
      <c r="E1882" s="11">
        <v>1454558</v>
      </c>
    </row>
    <row r="1883" spans="1:5" x14ac:dyDescent="0.25">
      <c r="A1883" s="11" t="s">
        <v>1494</v>
      </c>
      <c r="B1883" s="11"/>
      <c r="C1883" s="11"/>
      <c r="D1883" s="11">
        <v>613565</v>
      </c>
      <c r="E1883" s="11">
        <v>354404</v>
      </c>
    </row>
    <row r="1884" spans="1:5" x14ac:dyDescent="0.25">
      <c r="A1884" s="11" t="s">
        <v>1495</v>
      </c>
      <c r="B1884" s="11"/>
      <c r="C1884" s="11"/>
      <c r="D1884" s="11">
        <v>636001</v>
      </c>
      <c r="E1884" s="11">
        <v>345352</v>
      </c>
    </row>
    <row r="1885" spans="1:5" x14ac:dyDescent="0.25">
      <c r="A1885" s="11" t="s">
        <v>1496</v>
      </c>
      <c r="B1885" s="11"/>
      <c r="C1885" s="11"/>
      <c r="D1885" s="11">
        <v>1063987</v>
      </c>
      <c r="E1885" s="11">
        <v>754802</v>
      </c>
    </row>
    <row r="1886" spans="1:5" x14ac:dyDescent="0.25">
      <c r="A1886" s="11" t="s">
        <v>1497</v>
      </c>
      <c r="B1886" s="11"/>
      <c r="C1886" s="11"/>
      <c r="D1886" s="11">
        <v>4337744</v>
      </c>
      <c r="E1886" s="11">
        <v>3853010</v>
      </c>
    </row>
    <row r="1887" spans="1:5" x14ac:dyDescent="0.25">
      <c r="A1887" s="11" t="s">
        <v>1498</v>
      </c>
      <c r="B1887" s="11"/>
      <c r="C1887" s="11"/>
      <c r="D1887" s="11">
        <v>2674752</v>
      </c>
      <c r="E1887" s="11">
        <v>2192512</v>
      </c>
    </row>
    <row r="1888" spans="1:5" x14ac:dyDescent="0.25">
      <c r="A1888" s="11" t="s">
        <v>1499</v>
      </c>
      <c r="B1888" s="11"/>
      <c r="C1888" s="11"/>
      <c r="D1888" s="11">
        <v>1315025</v>
      </c>
      <c r="E1888" s="11">
        <v>1206346</v>
      </c>
    </row>
    <row r="1889" spans="1:5" x14ac:dyDescent="0.25">
      <c r="A1889" s="11" t="s">
        <v>1500</v>
      </c>
      <c r="B1889" s="11"/>
      <c r="C1889" s="11"/>
      <c r="D1889" s="11">
        <v>923102</v>
      </c>
      <c r="E1889" s="11">
        <v>596481</v>
      </c>
    </row>
    <row r="1890" spans="1:5" x14ac:dyDescent="0.25">
      <c r="A1890" s="11" t="s">
        <v>1501</v>
      </c>
      <c r="B1890" s="11"/>
      <c r="C1890" s="11"/>
      <c r="D1890" s="11">
        <v>436625</v>
      </c>
      <c r="E1890" s="11">
        <v>389685</v>
      </c>
    </row>
    <row r="1891" spans="1:5" x14ac:dyDescent="0.25">
      <c r="A1891" s="11" t="s">
        <v>1502</v>
      </c>
      <c r="B1891" s="11"/>
      <c r="C1891" s="11"/>
      <c r="D1891" s="11">
        <v>220895</v>
      </c>
      <c r="E1891" s="11">
        <v>192461</v>
      </c>
    </row>
    <row r="1892" spans="1:5" x14ac:dyDescent="0.25">
      <c r="A1892" s="11" t="s">
        <v>1503</v>
      </c>
      <c r="B1892" s="11"/>
      <c r="C1892" s="11"/>
      <c r="D1892" s="11">
        <v>147802</v>
      </c>
      <c r="E1892" s="11">
        <v>158427</v>
      </c>
    </row>
    <row r="1893" spans="1:5" x14ac:dyDescent="0.25">
      <c r="A1893" s="11" t="s">
        <v>1504</v>
      </c>
      <c r="B1893" s="11"/>
      <c r="C1893" s="11"/>
      <c r="D1893" s="11">
        <v>20122</v>
      </c>
      <c r="E1893" s="11">
        <v>14392</v>
      </c>
    </row>
    <row r="1894" spans="1:5" x14ac:dyDescent="0.25">
      <c r="A1894" s="11" t="s">
        <v>1505</v>
      </c>
      <c r="B1894" s="11"/>
      <c r="C1894" s="11"/>
      <c r="D1894" s="11">
        <v>52971</v>
      </c>
      <c r="E1894" s="11">
        <v>19642</v>
      </c>
    </row>
    <row r="1895" spans="1:5" x14ac:dyDescent="0.25">
      <c r="A1895" s="11" t="s">
        <v>1506</v>
      </c>
      <c r="B1895" s="11"/>
      <c r="C1895" s="11"/>
      <c r="D1895" s="11">
        <v>2453857</v>
      </c>
      <c r="E1895" s="11">
        <v>2000051</v>
      </c>
    </row>
    <row r="1896" spans="1:5" x14ac:dyDescent="0.25">
      <c r="A1896" s="11" t="s">
        <v>1507</v>
      </c>
      <c r="B1896" s="11"/>
      <c r="C1896" s="11"/>
      <c r="D1896" s="11">
        <v>6791601</v>
      </c>
      <c r="E1896" s="11">
        <v>5853061</v>
      </c>
    </row>
    <row r="1897" spans="1:5" x14ac:dyDescent="0.25">
      <c r="A1897" s="11" t="s">
        <v>1508</v>
      </c>
      <c r="B1897" s="11"/>
      <c r="C1897" s="11"/>
      <c r="D1897" s="11">
        <v>3916163</v>
      </c>
      <c r="E1897" s="11">
        <v>2461905</v>
      </c>
    </row>
    <row r="1898" spans="1:5" x14ac:dyDescent="0.25">
      <c r="A1898" s="11" t="s">
        <v>1509</v>
      </c>
      <c r="B1898" s="11"/>
      <c r="C1898" s="11"/>
      <c r="D1898" s="11">
        <v>3902821</v>
      </c>
      <c r="E1898" s="11">
        <v>2457305</v>
      </c>
    </row>
    <row r="1899" spans="1:5" x14ac:dyDescent="0.25">
      <c r="A1899" s="11" t="s">
        <v>1510</v>
      </c>
      <c r="B1899" s="11"/>
      <c r="C1899" s="11"/>
      <c r="D1899" s="11">
        <v>13342</v>
      </c>
      <c r="E1899" s="11">
        <v>4600</v>
      </c>
    </row>
    <row r="1900" spans="1:5" x14ac:dyDescent="0.25">
      <c r="A1900" s="11" t="s">
        <v>1511</v>
      </c>
      <c r="B1900" s="11"/>
      <c r="C1900" s="11"/>
      <c r="D1900" s="11">
        <v>11072317</v>
      </c>
      <c r="E1900" s="11">
        <v>8706400</v>
      </c>
    </row>
    <row r="1901" spans="1:5" x14ac:dyDescent="0.25">
      <c r="A1901" s="11" t="s">
        <v>1512</v>
      </c>
      <c r="B1901" s="11"/>
      <c r="C1901" s="11"/>
      <c r="D1901" s="11">
        <v>4559118</v>
      </c>
      <c r="E1901" s="11">
        <v>3379372</v>
      </c>
    </row>
    <row r="1902" spans="1:5" x14ac:dyDescent="0.25">
      <c r="A1902" s="11" t="s">
        <v>1513</v>
      </c>
      <c r="B1902" s="11"/>
      <c r="C1902" s="11"/>
      <c r="D1902" s="11">
        <v>6429</v>
      </c>
      <c r="E1902" s="11">
        <v>5345</v>
      </c>
    </row>
    <row r="1903" spans="1:5" x14ac:dyDescent="0.25">
      <c r="A1903" s="11" t="s">
        <v>1514</v>
      </c>
      <c r="B1903" s="11"/>
      <c r="C1903" s="11"/>
      <c r="D1903" s="11">
        <v>3072151</v>
      </c>
      <c r="E1903" s="11">
        <v>2422621</v>
      </c>
    </row>
    <row r="1904" spans="1:5" x14ac:dyDescent="0.25">
      <c r="A1904" s="11" t="s">
        <v>1515</v>
      </c>
      <c r="B1904" s="11"/>
      <c r="C1904" s="11"/>
      <c r="D1904" s="11">
        <v>38012</v>
      </c>
      <c r="E1904" s="11">
        <v>43599</v>
      </c>
    </row>
    <row r="1905" spans="1:5" x14ac:dyDescent="0.25">
      <c r="A1905" s="11" t="s">
        <v>1516</v>
      </c>
      <c r="B1905" s="11"/>
      <c r="C1905" s="11"/>
      <c r="D1905" s="11">
        <v>40541</v>
      </c>
      <c r="E1905" s="11">
        <v>58907</v>
      </c>
    </row>
    <row r="1906" spans="1:5" x14ac:dyDescent="0.25">
      <c r="A1906" s="11" t="s">
        <v>1517</v>
      </c>
      <c r="B1906" s="11"/>
      <c r="C1906" s="11"/>
      <c r="D1906" s="11">
        <v>298662</v>
      </c>
      <c r="E1906" s="11">
        <v>271630</v>
      </c>
    </row>
    <row r="1907" spans="1:5" x14ac:dyDescent="0.25">
      <c r="A1907" s="11" t="s">
        <v>1518</v>
      </c>
      <c r="B1907" s="11"/>
      <c r="C1907" s="11"/>
      <c r="D1907" s="11">
        <v>1748280</v>
      </c>
      <c r="E1907" s="11">
        <v>1273203</v>
      </c>
    </row>
    <row r="1908" spans="1:5" x14ac:dyDescent="0.25">
      <c r="A1908" s="11" t="s">
        <v>1519</v>
      </c>
      <c r="B1908" s="11"/>
      <c r="C1908" s="11"/>
      <c r="D1908" s="11">
        <v>319776</v>
      </c>
      <c r="E1908" s="11">
        <v>370108</v>
      </c>
    </row>
    <row r="1909" spans="1:5" x14ac:dyDescent="0.25">
      <c r="A1909" s="11" t="s">
        <v>1520</v>
      </c>
      <c r="B1909" s="11"/>
      <c r="C1909" s="11"/>
      <c r="D1909" s="11">
        <v>7766</v>
      </c>
      <c r="E1909" s="11">
        <v>7766</v>
      </c>
    </row>
    <row r="1910" spans="1:5" x14ac:dyDescent="0.25">
      <c r="A1910" s="11" t="s">
        <v>1521</v>
      </c>
      <c r="B1910" s="11"/>
      <c r="C1910" s="11"/>
      <c r="D1910" s="11">
        <v>793071</v>
      </c>
      <c r="E1910" s="11">
        <v>579165</v>
      </c>
    </row>
    <row r="1911" spans="1:5" x14ac:dyDescent="0.25">
      <c r="A1911" s="11" t="s">
        <v>1522</v>
      </c>
      <c r="B1911" s="11"/>
      <c r="C1911" s="11"/>
      <c r="D1911" s="11">
        <v>186252</v>
      </c>
      <c r="E1911" s="11">
        <v>285608</v>
      </c>
    </row>
    <row r="1912" spans="1:5" x14ac:dyDescent="0.25">
      <c r="A1912" s="11" t="s">
        <v>1523</v>
      </c>
      <c r="B1912" s="11"/>
      <c r="C1912" s="11"/>
      <c r="D1912" s="11">
        <v>2259</v>
      </c>
      <c r="E1912" s="11">
        <v>9076</v>
      </c>
    </row>
    <row r="1913" spans="1:5" x14ac:dyDescent="0.25">
      <c r="A1913" s="11" t="s">
        <v>1524</v>
      </c>
      <c r="B1913" s="11"/>
      <c r="C1913" s="11"/>
      <c r="D1913" s="11">
        <v>7156154</v>
      </c>
      <c r="E1913" s="11">
        <v>6244495</v>
      </c>
    </row>
    <row r="1914" spans="1:5" x14ac:dyDescent="0.25">
      <c r="A1914" s="11" t="s">
        <v>1525</v>
      </c>
      <c r="B1914" s="11"/>
      <c r="C1914" s="11"/>
      <c r="D1914" s="11">
        <v>281299</v>
      </c>
      <c r="E1914" s="11">
        <v>339409</v>
      </c>
    </row>
    <row r="1915" spans="1:5" x14ac:dyDescent="0.25">
      <c r="A1915" s="11" t="s">
        <v>1526</v>
      </c>
      <c r="B1915" s="11"/>
      <c r="C1915" s="11"/>
      <c r="D1915" s="11">
        <v>99106</v>
      </c>
      <c r="E1915" s="11">
        <v>202920</v>
      </c>
    </row>
    <row r="1916" spans="1:5" x14ac:dyDescent="0.25">
      <c r="A1916" s="11" t="s">
        <v>1527</v>
      </c>
      <c r="B1916" s="11"/>
      <c r="C1916" s="11"/>
      <c r="D1916" s="11">
        <v>45555</v>
      </c>
      <c r="E1916" s="11">
        <v>5065</v>
      </c>
    </row>
    <row r="1917" spans="1:5" x14ac:dyDescent="0.25">
      <c r="A1917" s="11" t="s">
        <v>1528</v>
      </c>
      <c r="B1917" s="11"/>
      <c r="C1917" s="11"/>
      <c r="D1917" s="11">
        <v>136638</v>
      </c>
      <c r="E1917" s="11">
        <v>131424</v>
      </c>
    </row>
    <row r="1918" spans="1:5" x14ac:dyDescent="0.25">
      <c r="A1918" s="11" t="s">
        <v>1529</v>
      </c>
      <c r="B1918" s="11"/>
      <c r="C1918" s="11"/>
      <c r="D1918" s="11">
        <v>25324</v>
      </c>
      <c r="E1918" s="11">
        <v>166522</v>
      </c>
    </row>
    <row r="1919" spans="1:5" x14ac:dyDescent="0.25">
      <c r="A1919" s="11" t="s">
        <v>1530</v>
      </c>
      <c r="B1919" s="11"/>
      <c r="C1919" s="11"/>
      <c r="D1919" s="11">
        <v>21488</v>
      </c>
      <c r="E1919" s="11">
        <v>37123</v>
      </c>
    </row>
    <row r="1920" spans="1:5" x14ac:dyDescent="0.25">
      <c r="A1920" s="11" t="s">
        <v>1934</v>
      </c>
      <c r="B1920" s="11"/>
      <c r="C1920" s="11"/>
      <c r="D1920" s="11">
        <v>0</v>
      </c>
      <c r="E1920" s="11">
        <v>127836</v>
      </c>
    </row>
    <row r="1921" spans="1:5" x14ac:dyDescent="0.25">
      <c r="A1921" s="11" t="s">
        <v>1531</v>
      </c>
      <c r="B1921" s="11"/>
      <c r="C1921" s="11"/>
      <c r="D1921" s="11">
        <v>3453</v>
      </c>
      <c r="E1921" s="11">
        <v>0</v>
      </c>
    </row>
    <row r="1922" spans="1:5" x14ac:dyDescent="0.25">
      <c r="A1922" s="11" t="s">
        <v>1532</v>
      </c>
      <c r="B1922" s="11"/>
      <c r="C1922" s="11"/>
      <c r="D1922" s="11">
        <v>383</v>
      </c>
      <c r="E1922" s="11">
        <v>1563</v>
      </c>
    </row>
    <row r="1923" spans="1:5" x14ac:dyDescent="0.25">
      <c r="A1923" s="11" t="s">
        <v>1533</v>
      </c>
      <c r="B1923" s="11"/>
      <c r="C1923" s="11"/>
      <c r="D1923" s="11">
        <v>255975</v>
      </c>
      <c r="E1923" s="11">
        <v>172887</v>
      </c>
    </row>
    <row r="1924" spans="1:5" x14ac:dyDescent="0.25">
      <c r="A1924" s="11" t="s">
        <v>1534</v>
      </c>
      <c r="B1924" s="11"/>
      <c r="C1924" s="11"/>
      <c r="D1924" s="11">
        <v>108578</v>
      </c>
      <c r="E1924" s="11">
        <v>218547</v>
      </c>
    </row>
    <row r="1925" spans="1:5" x14ac:dyDescent="0.25">
      <c r="A1925" s="11" t="s">
        <v>1535</v>
      </c>
      <c r="B1925" s="11"/>
      <c r="C1925" s="11"/>
      <c r="D1925" s="11">
        <v>1507174</v>
      </c>
      <c r="E1925" s="11">
        <v>906805</v>
      </c>
    </row>
    <row r="1926" spans="1:5" x14ac:dyDescent="0.25">
      <c r="A1926" s="11" t="s">
        <v>1981</v>
      </c>
      <c r="B1926" s="11"/>
      <c r="C1926" s="11"/>
      <c r="D1926" s="11">
        <v>166814</v>
      </c>
      <c r="E1926" s="11">
        <v>0</v>
      </c>
    </row>
    <row r="1927" spans="1:5" x14ac:dyDescent="0.25">
      <c r="A1927" s="11" t="s">
        <v>1536</v>
      </c>
      <c r="B1927" s="11"/>
      <c r="C1927" s="11"/>
      <c r="D1927" s="11">
        <v>1340360</v>
      </c>
      <c r="E1927" s="11">
        <v>906805</v>
      </c>
    </row>
    <row r="1928" spans="1:5" x14ac:dyDescent="0.25">
      <c r="A1928" s="11" t="s">
        <v>1537</v>
      </c>
      <c r="B1928" s="11"/>
      <c r="C1928" s="11"/>
      <c r="D1928" s="11">
        <v>1148648</v>
      </c>
      <c r="E1928" s="11">
        <v>533114</v>
      </c>
    </row>
    <row r="1929" spans="1:5" x14ac:dyDescent="0.25">
      <c r="A1929" s="11" t="s">
        <v>1982</v>
      </c>
      <c r="B1929" s="11"/>
      <c r="C1929" s="11"/>
      <c r="D1929" s="11">
        <v>165</v>
      </c>
      <c r="E1929" s="11">
        <v>0</v>
      </c>
    </row>
    <row r="1930" spans="1:5" x14ac:dyDescent="0.25">
      <c r="A1930" s="11" t="s">
        <v>1538</v>
      </c>
      <c r="B1930" s="11"/>
      <c r="C1930" s="11"/>
      <c r="D1930" s="11">
        <v>1148483</v>
      </c>
      <c r="E1930" s="11">
        <v>533114</v>
      </c>
    </row>
    <row r="1931" spans="1:5" x14ac:dyDescent="0.25">
      <c r="A1931" s="11" t="s">
        <v>1539</v>
      </c>
      <c r="B1931" s="11"/>
      <c r="C1931" s="11"/>
      <c r="D1931" s="11">
        <v>358526</v>
      </c>
      <c r="E1931" s="11">
        <v>373691</v>
      </c>
    </row>
    <row r="1932" spans="1:5" x14ac:dyDescent="0.25">
      <c r="A1932" s="11" t="s">
        <v>1540</v>
      </c>
      <c r="B1932" s="11"/>
      <c r="C1932" s="11"/>
      <c r="D1932" s="11">
        <v>249948</v>
      </c>
      <c r="E1932" s="11">
        <v>155144</v>
      </c>
    </row>
    <row r="1933" spans="1:5" x14ac:dyDescent="0.25">
      <c r="A1933" s="11" t="s">
        <v>1983</v>
      </c>
      <c r="B1933" s="11"/>
      <c r="C1933" s="11"/>
      <c r="D1933" s="11">
        <v>79427</v>
      </c>
      <c r="E1933" s="11">
        <v>0</v>
      </c>
    </row>
    <row r="1934" spans="1:5" x14ac:dyDescent="0.25">
      <c r="A1934" s="11" t="s">
        <v>1541</v>
      </c>
      <c r="B1934" s="11"/>
      <c r="C1934" s="11"/>
      <c r="D1934" s="11">
        <v>170521</v>
      </c>
      <c r="E1934" s="11">
        <v>155144</v>
      </c>
    </row>
    <row r="1935" spans="1:5" x14ac:dyDescent="0.25">
      <c r="A1935" s="11" t="s">
        <v>1542</v>
      </c>
      <c r="B1935" s="11"/>
      <c r="C1935" s="11"/>
      <c r="D1935" s="11">
        <v>170521</v>
      </c>
      <c r="E1935" s="11">
        <v>155144</v>
      </c>
    </row>
    <row r="1936" spans="1:5" x14ac:dyDescent="0.25">
      <c r="A1936" s="11" t="s">
        <v>1543</v>
      </c>
      <c r="B1936" s="11"/>
      <c r="C1936" s="11"/>
      <c r="D1936" s="11">
        <v>106848</v>
      </c>
      <c r="E1936" s="11">
        <v>148426</v>
      </c>
    </row>
    <row r="1937" spans="1:5" x14ac:dyDescent="0.25">
      <c r="A1937" s="11" t="s">
        <v>1544</v>
      </c>
      <c r="B1937" s="11"/>
      <c r="C1937" s="11"/>
      <c r="D1937" s="11">
        <v>63672</v>
      </c>
      <c r="E1937" s="11">
        <v>6718</v>
      </c>
    </row>
    <row r="1938" spans="1:5" x14ac:dyDescent="0.25">
      <c r="A1938" s="11" t="s">
        <v>1545</v>
      </c>
      <c r="B1938" s="11"/>
      <c r="C1938" s="11"/>
      <c r="D1938" s="11">
        <v>240</v>
      </c>
      <c r="E1938" s="11">
        <v>217</v>
      </c>
    </row>
    <row r="1939" spans="1:5" x14ac:dyDescent="0.25">
      <c r="A1939" s="11" t="s">
        <v>1546</v>
      </c>
      <c r="B1939" s="11"/>
      <c r="C1939" s="11"/>
      <c r="D1939" s="11">
        <v>244</v>
      </c>
      <c r="E1939" s="11">
        <v>221</v>
      </c>
    </row>
    <row r="1940" spans="1:5" x14ac:dyDescent="0.25">
      <c r="A1940" s="93" t="s">
        <v>1547</v>
      </c>
      <c r="B1940" s="93"/>
      <c r="C1940" s="93"/>
      <c r="D1940" s="93">
        <v>8770</v>
      </c>
      <c r="E1940" s="93">
        <v>7365</v>
      </c>
    </row>
    <row r="1941" spans="1:5" x14ac:dyDescent="0.25">
      <c r="A1941" s="93" t="s">
        <v>1547</v>
      </c>
      <c r="B1941" s="93"/>
      <c r="C1941" s="93"/>
      <c r="D1941" s="93">
        <v>203378650</v>
      </c>
      <c r="E1941" s="93">
        <v>185804353</v>
      </c>
    </row>
    <row r="1942" spans="1:5" x14ac:dyDescent="0.25">
      <c r="A1942" s="93" t="s">
        <v>1547</v>
      </c>
      <c r="B1942" s="93"/>
      <c r="C1942" s="93"/>
      <c r="D1942" s="93">
        <v>6651297</v>
      </c>
      <c r="E1942" s="93">
        <v>5307568</v>
      </c>
    </row>
    <row r="1943" spans="1:5" x14ac:dyDescent="0.25">
      <c r="A1943" s="93" t="s">
        <v>1548</v>
      </c>
      <c r="B1943" s="93"/>
      <c r="C1943" s="93"/>
      <c r="D1943" s="93">
        <v>-1922</v>
      </c>
      <c r="E1943" s="93">
        <v>1496</v>
      </c>
    </row>
    <row r="1944" spans="1:5" x14ac:dyDescent="0.25">
      <c r="A1944" s="93" t="s">
        <v>1548</v>
      </c>
      <c r="B1944" s="93"/>
      <c r="C1944" s="93"/>
      <c r="D1944" s="93">
        <v>199045420</v>
      </c>
      <c r="E1944" s="93">
        <v>182142805</v>
      </c>
    </row>
    <row r="1945" spans="1:5" x14ac:dyDescent="0.25">
      <c r="A1945" s="93" t="s">
        <v>1548</v>
      </c>
      <c r="B1945" s="93"/>
      <c r="C1945" s="93"/>
      <c r="D1945" s="93">
        <v>1973800</v>
      </c>
      <c r="E1945" s="93">
        <v>1943926</v>
      </c>
    </row>
    <row r="1946" spans="1:5" x14ac:dyDescent="0.25">
      <c r="A1946" s="93" t="s">
        <v>1549</v>
      </c>
      <c r="B1946" s="93"/>
      <c r="C1946" s="93"/>
      <c r="D1946" s="93">
        <v>99</v>
      </c>
      <c r="E1946" s="93">
        <v>203</v>
      </c>
    </row>
    <row r="1947" spans="1:5" x14ac:dyDescent="0.25">
      <c r="A1947" s="93" t="s">
        <v>1549</v>
      </c>
      <c r="B1947" s="93"/>
      <c r="C1947" s="93"/>
      <c r="D1947" s="93">
        <v>80083746</v>
      </c>
      <c r="E1947" s="93">
        <v>68343397</v>
      </c>
    </row>
    <row r="1948" spans="1:5" x14ac:dyDescent="0.25">
      <c r="A1948" s="93" t="s">
        <v>1549</v>
      </c>
      <c r="B1948" s="93"/>
      <c r="C1948" s="93"/>
      <c r="D1948" s="93">
        <v>4676455</v>
      </c>
      <c r="E1948" s="93">
        <v>3362838</v>
      </c>
    </row>
    <row r="1949" spans="1:5" x14ac:dyDescent="0.25">
      <c r="A1949" s="93" t="s">
        <v>1550</v>
      </c>
      <c r="B1949" s="93"/>
      <c r="C1949" s="93"/>
      <c r="D1949" s="93">
        <v>-6637</v>
      </c>
      <c r="E1949" s="93">
        <v>5251</v>
      </c>
    </row>
    <row r="1950" spans="1:5" x14ac:dyDescent="0.25">
      <c r="A1950" s="93" t="s">
        <v>1550</v>
      </c>
      <c r="B1950" s="93"/>
      <c r="C1950" s="93"/>
      <c r="D1950" s="93">
        <v>46368984</v>
      </c>
      <c r="E1950" s="93">
        <v>48354719</v>
      </c>
    </row>
    <row r="1951" spans="1:5" x14ac:dyDescent="0.25">
      <c r="A1951" s="93" t="s">
        <v>1550</v>
      </c>
      <c r="B1951" s="93"/>
      <c r="C1951" s="93"/>
      <c r="D1951" s="93">
        <v>1042</v>
      </c>
      <c r="E1951" s="93">
        <v>804</v>
      </c>
    </row>
    <row r="1952" spans="1:5" x14ac:dyDescent="0.25">
      <c r="A1952" s="93" t="s">
        <v>2387</v>
      </c>
      <c r="B1952" s="93"/>
      <c r="C1952" s="93"/>
      <c r="D1952" s="93">
        <v>72592690</v>
      </c>
      <c r="E1952" s="93">
        <v>65444689</v>
      </c>
    </row>
    <row r="1953" spans="1:5" x14ac:dyDescent="0.25">
      <c r="A1953" s="93" t="s">
        <v>2387</v>
      </c>
      <c r="B1953" s="93"/>
      <c r="C1953" s="93"/>
      <c r="D1953" s="93">
        <v>2313553</v>
      </c>
      <c r="E1953" s="93">
        <v>1454558</v>
      </c>
    </row>
    <row r="1954" spans="1:5" x14ac:dyDescent="0.25">
      <c r="A1954" s="93" t="s">
        <v>1551</v>
      </c>
      <c r="B1954" s="93"/>
      <c r="C1954" s="93"/>
      <c r="D1954" s="93">
        <v>134</v>
      </c>
      <c r="E1954" s="93">
        <v>-1292</v>
      </c>
    </row>
    <row r="1955" spans="1:5" x14ac:dyDescent="0.25">
      <c r="A1955" s="93" t="s">
        <v>1551</v>
      </c>
      <c r="B1955" s="93"/>
      <c r="C1955" s="93"/>
      <c r="D1955" s="93">
        <v>2163478</v>
      </c>
      <c r="E1955" s="93">
        <v>1550305</v>
      </c>
    </row>
    <row r="1956" spans="1:5" x14ac:dyDescent="0.25">
      <c r="A1956" s="93" t="s">
        <v>1551</v>
      </c>
      <c r="B1956" s="93"/>
      <c r="C1956" s="93"/>
      <c r="D1956" s="93">
        <v>613565</v>
      </c>
      <c r="E1956" s="93">
        <v>354404</v>
      </c>
    </row>
    <row r="1957" spans="1:5" x14ac:dyDescent="0.25">
      <c r="A1957" s="93" t="s">
        <v>2388</v>
      </c>
      <c r="B1957" s="93"/>
      <c r="C1957" s="93"/>
      <c r="D1957" s="93">
        <v>697669</v>
      </c>
      <c r="E1957" s="93">
        <v>563071</v>
      </c>
    </row>
    <row r="1958" spans="1:5" x14ac:dyDescent="0.25">
      <c r="A1958" s="93" t="s">
        <v>2388</v>
      </c>
      <c r="B1958" s="93"/>
      <c r="C1958" s="93"/>
      <c r="D1958" s="93">
        <v>636001</v>
      </c>
      <c r="E1958" s="93">
        <v>345352</v>
      </c>
    </row>
    <row r="1959" spans="1:5" x14ac:dyDescent="0.25">
      <c r="A1959" s="93" t="s">
        <v>1552</v>
      </c>
      <c r="B1959" s="93"/>
      <c r="C1959" s="93"/>
      <c r="D1959" s="93">
        <v>-28203</v>
      </c>
      <c r="E1959" s="93">
        <v>-1620</v>
      </c>
    </row>
    <row r="1960" spans="1:5" x14ac:dyDescent="0.25">
      <c r="A1960" s="93" t="s">
        <v>1552</v>
      </c>
      <c r="B1960" s="93"/>
      <c r="C1960" s="93"/>
      <c r="D1960" s="93">
        <v>1465809</v>
      </c>
      <c r="E1960" s="93">
        <v>987234</v>
      </c>
    </row>
    <row r="1961" spans="1:5" x14ac:dyDescent="0.25">
      <c r="A1961" s="93" t="s">
        <v>1552</v>
      </c>
      <c r="B1961" s="93"/>
      <c r="C1961" s="93"/>
      <c r="D1961" s="93">
        <v>1063987</v>
      </c>
      <c r="E1961" s="93">
        <v>754802</v>
      </c>
    </row>
    <row r="1962" spans="1:5" x14ac:dyDescent="0.25">
      <c r="A1962" s="93" t="s">
        <v>1935</v>
      </c>
      <c r="B1962" s="93"/>
      <c r="C1962" s="93"/>
      <c r="D1962" s="93">
        <v>4337744</v>
      </c>
      <c r="E1962" s="93">
        <v>3853010</v>
      </c>
    </row>
    <row r="1963" spans="1:5" x14ac:dyDescent="0.25">
      <c r="A1963" s="93" t="s">
        <v>2005</v>
      </c>
      <c r="B1963" s="93"/>
      <c r="C1963" s="93"/>
      <c r="D1963" s="93">
        <v>16747</v>
      </c>
      <c r="E1963" s="93">
        <v>10694</v>
      </c>
    </row>
    <row r="1964" spans="1:5" x14ac:dyDescent="0.25">
      <c r="A1964" s="93" t="s">
        <v>1553</v>
      </c>
      <c r="B1964" s="93"/>
      <c r="C1964" s="93"/>
      <c r="D1964" s="93">
        <v>-42</v>
      </c>
      <c r="E1964" s="93">
        <v>17</v>
      </c>
    </row>
    <row r="1965" spans="1:5" x14ac:dyDescent="0.25">
      <c r="A1965" s="93" t="s">
        <v>1553</v>
      </c>
      <c r="B1965" s="93"/>
      <c r="C1965" s="93"/>
      <c r="D1965" s="93">
        <v>2265380</v>
      </c>
      <c r="E1965" s="93">
        <v>2175935</v>
      </c>
    </row>
    <row r="1966" spans="1:5" x14ac:dyDescent="0.25">
      <c r="A1966" s="93" t="s">
        <v>1553</v>
      </c>
      <c r="B1966" s="93"/>
      <c r="C1966" s="93"/>
      <c r="D1966" s="93">
        <v>2674752</v>
      </c>
      <c r="E1966" s="93">
        <v>2192512</v>
      </c>
    </row>
    <row r="1967" spans="1:5" x14ac:dyDescent="0.25">
      <c r="A1967" s="93" t="s">
        <v>1554</v>
      </c>
      <c r="B1967" s="93"/>
      <c r="C1967" s="93"/>
      <c r="D1967" s="93">
        <v>6148</v>
      </c>
      <c r="E1967" s="93">
        <v>8586</v>
      </c>
    </row>
    <row r="1968" spans="1:5" x14ac:dyDescent="0.25">
      <c r="A1968" s="93" t="s">
        <v>1554</v>
      </c>
      <c r="B1968" s="93"/>
      <c r="C1968" s="93"/>
      <c r="D1968" s="93">
        <v>2260191</v>
      </c>
      <c r="E1968" s="93">
        <v>2175515</v>
      </c>
    </row>
    <row r="1969" spans="1:5" x14ac:dyDescent="0.25">
      <c r="A1969" s="93" t="s">
        <v>1554</v>
      </c>
      <c r="B1969" s="93"/>
      <c r="C1969" s="93"/>
      <c r="D1969" s="93">
        <v>1315025</v>
      </c>
      <c r="E1969" s="93">
        <v>1206346</v>
      </c>
    </row>
    <row r="1970" spans="1:5" x14ac:dyDescent="0.25">
      <c r="A1970" s="93" t="s">
        <v>1555</v>
      </c>
      <c r="B1970" s="93"/>
      <c r="C1970" s="93"/>
      <c r="D1970" s="93">
        <v>5189</v>
      </c>
      <c r="E1970" s="93">
        <v>420</v>
      </c>
    </row>
    <row r="1971" spans="1:5" x14ac:dyDescent="0.25">
      <c r="A1971" s="93" t="s">
        <v>1555</v>
      </c>
      <c r="B1971" s="93"/>
      <c r="C1971" s="93"/>
      <c r="D1971" s="93">
        <v>2169752</v>
      </c>
      <c r="E1971" s="93">
        <v>2111243</v>
      </c>
    </row>
    <row r="1972" spans="1:5" x14ac:dyDescent="0.25">
      <c r="A1972" s="93" t="s">
        <v>1555</v>
      </c>
      <c r="B1972" s="93"/>
      <c r="C1972" s="93"/>
      <c r="D1972" s="93">
        <v>923102</v>
      </c>
      <c r="E1972" s="93">
        <v>596481</v>
      </c>
    </row>
    <row r="1973" spans="1:5" x14ac:dyDescent="0.25">
      <c r="A1973" s="93" t="s">
        <v>2006</v>
      </c>
      <c r="B1973" s="93"/>
      <c r="C1973" s="93"/>
      <c r="D1973" s="93">
        <v>136</v>
      </c>
      <c r="E1973" s="93">
        <v>0</v>
      </c>
    </row>
    <row r="1974" spans="1:5" x14ac:dyDescent="0.25">
      <c r="A1974" s="93" t="s">
        <v>2006</v>
      </c>
      <c r="B1974" s="93"/>
      <c r="C1974" s="93"/>
      <c r="D1974" s="93">
        <v>149333359</v>
      </c>
      <c r="E1974" s="93">
        <v>108387841</v>
      </c>
    </row>
    <row r="1975" spans="1:5" x14ac:dyDescent="0.25">
      <c r="A1975" s="93" t="s">
        <v>2006</v>
      </c>
      <c r="B1975" s="93"/>
      <c r="C1975" s="93"/>
      <c r="D1975" s="93">
        <v>436625</v>
      </c>
      <c r="E1975" s="93">
        <v>389685</v>
      </c>
    </row>
    <row r="1976" spans="1:5" x14ac:dyDescent="0.25">
      <c r="A1976" s="93" t="s">
        <v>2007</v>
      </c>
      <c r="B1976" s="93"/>
      <c r="C1976" s="93"/>
      <c r="D1976" s="93">
        <v>13</v>
      </c>
      <c r="E1976" s="93">
        <v>0</v>
      </c>
    </row>
    <row r="1977" spans="1:5" x14ac:dyDescent="0.25">
      <c r="A1977" s="93" t="s">
        <v>2007</v>
      </c>
      <c r="B1977" s="93"/>
      <c r="C1977" s="93"/>
      <c r="D1977" s="93">
        <v>55585318</v>
      </c>
      <c r="E1977" s="93">
        <v>46151400</v>
      </c>
    </row>
    <row r="1978" spans="1:5" x14ac:dyDescent="0.25">
      <c r="A1978" s="93" t="s">
        <v>2007</v>
      </c>
      <c r="B1978" s="93"/>
      <c r="C1978" s="93"/>
      <c r="D1978" s="93">
        <v>336585</v>
      </c>
      <c r="E1978" s="93">
        <v>529046</v>
      </c>
    </row>
    <row r="1979" spans="1:5" x14ac:dyDescent="0.25">
      <c r="A1979" s="93" t="s">
        <v>2007</v>
      </c>
      <c r="B1979" s="93"/>
      <c r="C1979" s="93"/>
      <c r="D1979" s="93">
        <v>220895</v>
      </c>
      <c r="E1979" s="93">
        <v>192461</v>
      </c>
    </row>
    <row r="1980" spans="1:5" x14ac:dyDescent="0.25">
      <c r="A1980" s="93" t="s">
        <v>2007</v>
      </c>
      <c r="B1980" s="93"/>
      <c r="C1980" s="93"/>
      <c r="D1980" s="93">
        <v>170521</v>
      </c>
      <c r="E1980" s="93">
        <v>155144</v>
      </c>
    </row>
    <row r="1981" spans="1:5" x14ac:dyDescent="0.25">
      <c r="A1981" s="93" t="s">
        <v>2008</v>
      </c>
      <c r="B1981" s="93"/>
      <c r="C1981" s="93"/>
      <c r="D1981" s="93">
        <v>-14166</v>
      </c>
      <c r="E1981" s="93">
        <v>0</v>
      </c>
    </row>
    <row r="1982" spans="1:5" x14ac:dyDescent="0.25">
      <c r="A1982" s="93" t="s">
        <v>2008</v>
      </c>
      <c r="B1982" s="93"/>
      <c r="C1982" s="93"/>
      <c r="D1982" s="93">
        <v>93503489</v>
      </c>
      <c r="E1982" s="93">
        <v>61993800</v>
      </c>
    </row>
    <row r="1983" spans="1:5" x14ac:dyDescent="0.25">
      <c r="A1983" s="93" t="s">
        <v>2008</v>
      </c>
      <c r="B1983" s="93"/>
      <c r="C1983" s="93"/>
      <c r="D1983" s="93">
        <v>26402</v>
      </c>
      <c r="E1983" s="93">
        <v>20576</v>
      </c>
    </row>
    <row r="1984" spans="1:5" x14ac:dyDescent="0.25">
      <c r="A1984" s="93" t="s">
        <v>2008</v>
      </c>
      <c r="B1984" s="93"/>
      <c r="C1984" s="93"/>
      <c r="D1984" s="93">
        <v>147802</v>
      </c>
      <c r="E1984" s="93">
        <v>158427</v>
      </c>
    </row>
    <row r="1985" spans="1:5" x14ac:dyDescent="0.25">
      <c r="A1985" s="93" t="s">
        <v>2009</v>
      </c>
      <c r="B1985" s="93"/>
      <c r="C1985" s="93"/>
      <c r="D1985" s="93">
        <v>66</v>
      </c>
      <c r="E1985" s="93">
        <v>0</v>
      </c>
    </row>
    <row r="1986" spans="1:5" x14ac:dyDescent="0.25">
      <c r="A1986" s="93" t="s">
        <v>2009</v>
      </c>
      <c r="B1986" s="93"/>
      <c r="C1986" s="93"/>
      <c r="D1986" s="93">
        <v>244552</v>
      </c>
      <c r="E1986" s="93">
        <v>242641</v>
      </c>
    </row>
    <row r="1987" spans="1:5" x14ac:dyDescent="0.25">
      <c r="A1987" s="93" t="s">
        <v>2009</v>
      </c>
      <c r="B1987" s="93"/>
      <c r="C1987" s="93"/>
      <c r="D1987" s="93">
        <v>122262</v>
      </c>
      <c r="E1987" s="93">
        <v>42835</v>
      </c>
    </row>
    <row r="1988" spans="1:5" x14ac:dyDescent="0.25">
      <c r="A1988" s="93" t="s">
        <v>2009</v>
      </c>
      <c r="B1988" s="93"/>
      <c r="C1988" s="93"/>
      <c r="D1988" s="93">
        <v>20122</v>
      </c>
      <c r="E1988" s="93">
        <v>14392</v>
      </c>
    </row>
    <row r="1989" spans="1:5" x14ac:dyDescent="0.25">
      <c r="A1989" s="93" t="s">
        <v>2009</v>
      </c>
      <c r="B1989" s="93"/>
      <c r="C1989" s="93"/>
      <c r="D1989" s="93">
        <v>106848</v>
      </c>
      <c r="E1989" s="93">
        <v>148426</v>
      </c>
    </row>
    <row r="1990" spans="1:5" x14ac:dyDescent="0.25">
      <c r="A1990" s="93" t="s">
        <v>1556</v>
      </c>
      <c r="B1990" s="93"/>
      <c r="C1990" s="93"/>
      <c r="D1990" s="93">
        <v>-96</v>
      </c>
      <c r="E1990" s="93">
        <v>-9</v>
      </c>
    </row>
    <row r="1991" spans="1:5" x14ac:dyDescent="0.25">
      <c r="A1991" s="93" t="s">
        <v>1556</v>
      </c>
      <c r="B1991" s="93"/>
      <c r="C1991" s="93"/>
      <c r="D1991" s="93">
        <v>14887233</v>
      </c>
      <c r="E1991" s="93">
        <v>589039</v>
      </c>
    </row>
    <row r="1992" spans="1:5" x14ac:dyDescent="0.25">
      <c r="A1992" s="93" t="s">
        <v>1556</v>
      </c>
      <c r="B1992" s="93"/>
      <c r="C1992" s="93"/>
      <c r="D1992" s="93">
        <v>5435</v>
      </c>
      <c r="E1992" s="93">
        <v>5435</v>
      </c>
    </row>
    <row r="1993" spans="1:5" x14ac:dyDescent="0.25">
      <c r="A1993" s="93" t="s">
        <v>1556</v>
      </c>
      <c r="B1993" s="93"/>
      <c r="C1993" s="93"/>
      <c r="D1993" s="93">
        <v>52971</v>
      </c>
      <c r="E1993" s="93">
        <v>19642</v>
      </c>
    </row>
    <row r="1994" spans="1:5" x14ac:dyDescent="0.25">
      <c r="A1994" s="93" t="s">
        <v>1556</v>
      </c>
      <c r="B1994" s="93"/>
      <c r="C1994" s="93"/>
      <c r="D1994" s="93">
        <v>63672</v>
      </c>
      <c r="E1994" s="93">
        <v>6718</v>
      </c>
    </row>
    <row r="1995" spans="1:5" x14ac:dyDescent="0.25">
      <c r="A1995" s="93" t="s">
        <v>1557</v>
      </c>
      <c r="B1995" s="93"/>
      <c r="C1995" s="93"/>
      <c r="D1995" s="93">
        <v>-167</v>
      </c>
      <c r="E1995" s="93">
        <v>-300</v>
      </c>
    </row>
    <row r="1996" spans="1:5" x14ac:dyDescent="0.25">
      <c r="A1996" s="93" t="s">
        <v>1557</v>
      </c>
      <c r="B1996" s="93"/>
      <c r="C1996" s="93"/>
      <c r="D1996" s="93">
        <v>885545</v>
      </c>
      <c r="E1996" s="93">
        <v>569262</v>
      </c>
    </row>
    <row r="1997" spans="1:5" x14ac:dyDescent="0.25">
      <c r="A1997" s="93" t="s">
        <v>1557</v>
      </c>
      <c r="B1997" s="93"/>
      <c r="C1997" s="93"/>
      <c r="D1997" s="93">
        <v>209109</v>
      </c>
      <c r="E1997" s="93">
        <v>216022</v>
      </c>
    </row>
    <row r="1998" spans="1:5" x14ac:dyDescent="0.25">
      <c r="A1998" s="93" t="s">
        <v>1557</v>
      </c>
      <c r="B1998" s="93"/>
      <c r="C1998" s="93"/>
      <c r="D1998" s="93">
        <v>2453857</v>
      </c>
      <c r="E1998" s="93">
        <v>2000051</v>
      </c>
    </row>
    <row r="1999" spans="1:5" x14ac:dyDescent="0.25">
      <c r="A1999" s="93" t="s">
        <v>2370</v>
      </c>
      <c r="B1999" s="93"/>
      <c r="C1999" s="93"/>
      <c r="D1999" s="93">
        <v>13998510</v>
      </c>
      <c r="E1999" s="93">
        <v>16599</v>
      </c>
    </row>
    <row r="2000" spans="1:5" x14ac:dyDescent="0.25">
      <c r="A2000" s="93" t="s">
        <v>2370</v>
      </c>
      <c r="B2000" s="93"/>
      <c r="C2000" s="93"/>
      <c r="D2000" s="93">
        <v>1429519</v>
      </c>
      <c r="E2000" s="93">
        <v>1154936</v>
      </c>
    </row>
    <row r="2001" spans="1:5" x14ac:dyDescent="0.25">
      <c r="A2001" s="93" t="s">
        <v>2371</v>
      </c>
      <c r="B2001" s="93"/>
      <c r="C2001" s="93"/>
      <c r="D2001" s="93">
        <v>3178</v>
      </c>
      <c r="E2001" s="93">
        <v>3178</v>
      </c>
    </row>
    <row r="2002" spans="1:5" x14ac:dyDescent="0.25">
      <c r="A2002" s="93" t="s">
        <v>2371</v>
      </c>
      <c r="B2002" s="93"/>
      <c r="C2002" s="93"/>
      <c r="D2002" s="93">
        <v>240</v>
      </c>
      <c r="E2002" s="93">
        <v>217</v>
      </c>
    </row>
    <row r="2003" spans="1:5" x14ac:dyDescent="0.25">
      <c r="A2003" s="93" t="s">
        <v>2372</v>
      </c>
      <c r="B2003" s="93"/>
      <c r="C2003" s="93"/>
      <c r="D2003" s="93">
        <v>5177476</v>
      </c>
      <c r="E2003" s="93">
        <v>27882623</v>
      </c>
    </row>
    <row r="2004" spans="1:5" x14ac:dyDescent="0.25">
      <c r="A2004" s="93" t="s">
        <v>2372</v>
      </c>
      <c r="B2004" s="93"/>
      <c r="C2004" s="93"/>
      <c r="D2004" s="93">
        <v>40440</v>
      </c>
      <c r="E2004" s="93">
        <v>142393</v>
      </c>
    </row>
    <row r="2005" spans="1:5" x14ac:dyDescent="0.25">
      <c r="A2005" s="93" t="s">
        <v>2372</v>
      </c>
      <c r="B2005" s="93"/>
      <c r="C2005" s="93"/>
      <c r="D2005" s="93">
        <v>244</v>
      </c>
      <c r="E2005" s="93">
        <v>221</v>
      </c>
    </row>
    <row r="2006" spans="1:5" x14ac:dyDescent="0.25">
      <c r="A2006" s="93" t="s">
        <v>2373</v>
      </c>
      <c r="B2006" s="93"/>
      <c r="C2006" s="93"/>
      <c r="D2006" s="93">
        <v>0</v>
      </c>
      <c r="E2006" s="93">
        <v>908</v>
      </c>
    </row>
    <row r="2007" spans="1:5" x14ac:dyDescent="0.25">
      <c r="A2007" s="93" t="s">
        <v>2374</v>
      </c>
      <c r="B2007" s="93"/>
      <c r="C2007" s="93"/>
      <c r="D2007" s="93">
        <v>5012386</v>
      </c>
      <c r="E2007" s="93">
        <v>27795361</v>
      </c>
    </row>
    <row r="2008" spans="1:5" x14ac:dyDescent="0.25">
      <c r="A2008" s="93" t="s">
        <v>2374</v>
      </c>
      <c r="B2008" s="93"/>
      <c r="C2008" s="93"/>
      <c r="D2008" s="93">
        <v>35222630</v>
      </c>
      <c r="E2008" s="93">
        <v>30052109</v>
      </c>
    </row>
    <row r="2009" spans="1:5" x14ac:dyDescent="0.25">
      <c r="A2009" s="93" t="s">
        <v>2375</v>
      </c>
      <c r="B2009" s="93"/>
      <c r="C2009" s="93"/>
      <c r="D2009" s="93">
        <v>123939</v>
      </c>
      <c r="E2009" s="93">
        <v>70858</v>
      </c>
    </row>
    <row r="2010" spans="1:5" x14ac:dyDescent="0.25">
      <c r="A2010" s="93" t="s">
        <v>2375</v>
      </c>
      <c r="B2010" s="93"/>
      <c r="C2010" s="93"/>
      <c r="D2010" s="93">
        <v>23375231</v>
      </c>
      <c r="E2010" s="93">
        <v>18375231</v>
      </c>
    </row>
    <row r="2011" spans="1:5" x14ac:dyDescent="0.25">
      <c r="A2011" s="93" t="s">
        <v>1558</v>
      </c>
      <c r="B2011" s="93"/>
      <c r="C2011" s="93"/>
      <c r="D2011" s="93">
        <v>14118</v>
      </c>
      <c r="E2011" s="93">
        <v>-309</v>
      </c>
    </row>
    <row r="2012" spans="1:5" x14ac:dyDescent="0.25">
      <c r="A2012" s="93" t="s">
        <v>1558</v>
      </c>
      <c r="B2012" s="93"/>
      <c r="C2012" s="93"/>
      <c r="D2012" s="93">
        <v>23375231</v>
      </c>
      <c r="E2012" s="93">
        <v>18375231</v>
      </c>
    </row>
    <row r="2013" spans="1:5" x14ac:dyDescent="0.25">
      <c r="A2013" s="93" t="s">
        <v>2010</v>
      </c>
      <c r="B2013" s="93"/>
      <c r="C2013" s="93"/>
      <c r="D2013" s="93">
        <v>5000</v>
      </c>
      <c r="E2013" s="93">
        <v>0</v>
      </c>
    </row>
    <row r="2014" spans="1:5" x14ac:dyDescent="0.25">
      <c r="A2014" s="93" t="s">
        <v>2376</v>
      </c>
      <c r="B2014" s="93"/>
      <c r="C2014" s="93"/>
      <c r="D2014" s="93">
        <v>41151</v>
      </c>
      <c r="E2014" s="93">
        <v>15496</v>
      </c>
    </row>
    <row r="2015" spans="1:5" x14ac:dyDescent="0.25">
      <c r="A2015" s="93" t="s">
        <v>2377</v>
      </c>
      <c r="B2015" s="93"/>
      <c r="C2015" s="93"/>
      <c r="D2015" s="93">
        <v>483699</v>
      </c>
      <c r="E2015" s="93">
        <v>390191</v>
      </c>
    </row>
    <row r="2016" spans="1:5" x14ac:dyDescent="0.25">
      <c r="A2016" s="93" t="s">
        <v>2378</v>
      </c>
      <c r="B2016" s="93"/>
      <c r="C2016" s="93"/>
      <c r="D2016" s="93">
        <v>6</v>
      </c>
      <c r="E2016" s="93">
        <v>6</v>
      </c>
    </row>
    <row r="2017" spans="1:5" x14ac:dyDescent="0.25">
      <c r="A2017" s="93" t="s">
        <v>1559</v>
      </c>
      <c r="B2017" s="93"/>
      <c r="C2017" s="93"/>
      <c r="D2017" s="93">
        <v>565</v>
      </c>
      <c r="E2017" s="93">
        <v>442</v>
      </c>
    </row>
    <row r="2018" spans="1:5" x14ac:dyDescent="0.25">
      <c r="A2018" s="93" t="s">
        <v>1559</v>
      </c>
      <c r="B2018" s="93"/>
      <c r="C2018" s="93"/>
      <c r="D2018" s="93">
        <v>5668976</v>
      </c>
      <c r="E2018" s="93">
        <v>5084836</v>
      </c>
    </row>
    <row r="2019" spans="1:5" x14ac:dyDescent="0.25">
      <c r="A2019" s="93" t="s">
        <v>1560</v>
      </c>
      <c r="B2019" s="93"/>
      <c r="C2019" s="93"/>
      <c r="D2019" s="93">
        <v>411</v>
      </c>
      <c r="E2019" s="93">
        <v>380</v>
      </c>
    </row>
    <row r="2020" spans="1:5" x14ac:dyDescent="0.25">
      <c r="A2020" s="93" t="s">
        <v>1560</v>
      </c>
      <c r="B2020" s="93"/>
      <c r="C2020" s="93"/>
      <c r="D2020" s="93">
        <v>6791601</v>
      </c>
      <c r="E2020" s="93">
        <v>5853061</v>
      </c>
    </row>
    <row r="2021" spans="1:5" x14ac:dyDescent="0.25">
      <c r="A2021" s="93" t="s">
        <v>2389</v>
      </c>
      <c r="B2021" s="93"/>
      <c r="C2021" s="93"/>
      <c r="D2021" s="93">
        <v>1639044</v>
      </c>
      <c r="E2021" s="93">
        <v>1615855</v>
      </c>
    </row>
    <row r="2022" spans="1:5" x14ac:dyDescent="0.25">
      <c r="A2022" s="93" t="s">
        <v>2379</v>
      </c>
      <c r="B2022" s="93"/>
      <c r="C2022" s="93"/>
      <c r="D2022" s="93">
        <v>15633005</v>
      </c>
      <c r="E2022" s="93">
        <v>15687777</v>
      </c>
    </row>
    <row r="2023" spans="1:5" x14ac:dyDescent="0.25">
      <c r="A2023" s="93" t="s">
        <v>2379</v>
      </c>
      <c r="B2023" s="93"/>
      <c r="C2023" s="93"/>
      <c r="D2023" s="93">
        <v>4029932</v>
      </c>
      <c r="E2023" s="93">
        <v>3468981</v>
      </c>
    </row>
    <row r="2024" spans="1:5" x14ac:dyDescent="0.25">
      <c r="A2024" s="93" t="s">
        <v>2379</v>
      </c>
      <c r="B2024" s="93"/>
      <c r="C2024" s="93"/>
      <c r="D2024" s="93">
        <v>3916163</v>
      </c>
      <c r="E2024" s="93">
        <v>2461905</v>
      </c>
    </row>
    <row r="2025" spans="1:5" x14ac:dyDescent="0.25">
      <c r="A2025" s="93" t="s">
        <v>2380</v>
      </c>
      <c r="B2025" s="93"/>
      <c r="C2025" s="93"/>
      <c r="D2025" s="93">
        <v>15381115</v>
      </c>
      <c r="E2025" s="93">
        <v>15481050</v>
      </c>
    </row>
    <row r="2026" spans="1:5" x14ac:dyDescent="0.25">
      <c r="A2026" s="93" t="s">
        <v>2380</v>
      </c>
      <c r="B2026" s="93"/>
      <c r="C2026" s="93"/>
      <c r="D2026" s="93">
        <v>3902821</v>
      </c>
      <c r="E2026" s="93">
        <v>2457305</v>
      </c>
    </row>
    <row r="2027" spans="1:5" x14ac:dyDescent="0.25">
      <c r="A2027" s="93" t="s">
        <v>1561</v>
      </c>
      <c r="B2027" s="93"/>
      <c r="C2027" s="93"/>
      <c r="D2027" s="93">
        <v>5154</v>
      </c>
      <c r="E2027" s="93">
        <v>62</v>
      </c>
    </row>
    <row r="2028" spans="1:5" x14ac:dyDescent="0.25">
      <c r="A2028" s="93" t="s">
        <v>1561</v>
      </c>
      <c r="B2028" s="93"/>
      <c r="C2028" s="93"/>
      <c r="D2028" s="93">
        <v>13096640</v>
      </c>
      <c r="E2028" s="93">
        <v>13218401</v>
      </c>
    </row>
    <row r="2029" spans="1:5" x14ac:dyDescent="0.25">
      <c r="A2029" s="93" t="s">
        <v>1561</v>
      </c>
      <c r="B2029" s="93"/>
      <c r="C2029" s="93"/>
      <c r="D2029" s="93">
        <v>13342</v>
      </c>
      <c r="E2029" s="93">
        <v>4600</v>
      </c>
    </row>
    <row r="2030" spans="1:5" x14ac:dyDescent="0.25">
      <c r="A2030" s="93" t="s">
        <v>1562</v>
      </c>
      <c r="B2030" s="93"/>
      <c r="C2030" s="93"/>
      <c r="D2030" s="93">
        <v>25420</v>
      </c>
      <c r="E2030" s="93">
        <v>8339</v>
      </c>
    </row>
    <row r="2031" spans="1:5" x14ac:dyDescent="0.25">
      <c r="A2031" s="93" t="s">
        <v>1562</v>
      </c>
      <c r="B2031" s="93"/>
      <c r="C2031" s="93"/>
      <c r="D2031" s="93">
        <v>2262649</v>
      </c>
      <c r="E2031" s="93">
        <v>2262649</v>
      </c>
    </row>
    <row r="2032" spans="1:5" x14ac:dyDescent="0.25">
      <c r="A2032" s="93" t="s">
        <v>1562</v>
      </c>
      <c r="B2032" s="93"/>
      <c r="C2032" s="93"/>
      <c r="D2032" s="93">
        <v>6007902</v>
      </c>
      <c r="E2032" s="93">
        <v>6007902</v>
      </c>
    </row>
    <row r="2033" spans="1:5" x14ac:dyDescent="0.25">
      <c r="A2033" s="93" t="s">
        <v>1563</v>
      </c>
      <c r="B2033" s="93"/>
      <c r="C2033" s="93"/>
      <c r="D2033" s="93">
        <v>69611</v>
      </c>
      <c r="E2033" s="93">
        <v>46567</v>
      </c>
    </row>
    <row r="2034" spans="1:5" x14ac:dyDescent="0.25">
      <c r="A2034" s="93" t="s">
        <v>1563</v>
      </c>
      <c r="B2034" s="93"/>
      <c r="C2034" s="93"/>
      <c r="D2034" s="93">
        <v>6007902</v>
      </c>
      <c r="E2034" s="93">
        <v>6007902</v>
      </c>
    </row>
    <row r="2035" spans="1:5" x14ac:dyDescent="0.25">
      <c r="A2035" s="93" t="s">
        <v>1564</v>
      </c>
      <c r="B2035" s="93"/>
      <c r="C2035" s="93"/>
      <c r="D2035" s="93">
        <v>-99</v>
      </c>
      <c r="E2035" s="93">
        <v>140</v>
      </c>
    </row>
    <row r="2036" spans="1:5" x14ac:dyDescent="0.25">
      <c r="A2036" s="93" t="s">
        <v>1564</v>
      </c>
      <c r="B2036" s="93"/>
      <c r="C2036" s="93"/>
      <c r="D2036" s="93">
        <v>21826</v>
      </c>
      <c r="E2036" s="93">
        <v>0</v>
      </c>
    </row>
    <row r="2037" spans="1:5" x14ac:dyDescent="0.25">
      <c r="A2037" s="93" t="s">
        <v>1565</v>
      </c>
      <c r="B2037" s="93"/>
      <c r="C2037" s="93"/>
      <c r="D2037" s="93">
        <v>94932</v>
      </c>
      <c r="E2037" s="93">
        <v>55046</v>
      </c>
    </row>
    <row r="2038" spans="1:5" x14ac:dyDescent="0.25">
      <c r="A2038" s="93" t="s">
        <v>1565</v>
      </c>
      <c r="B2038" s="93"/>
      <c r="C2038" s="93"/>
      <c r="D2038" s="93">
        <v>204501</v>
      </c>
      <c r="E2038" s="93">
        <v>159338</v>
      </c>
    </row>
    <row r="2039" spans="1:5" x14ac:dyDescent="0.25">
      <c r="A2039" s="93" t="s">
        <v>1565</v>
      </c>
      <c r="B2039" s="93"/>
      <c r="C2039" s="93"/>
      <c r="D2039" s="93">
        <v>11072317</v>
      </c>
      <c r="E2039" s="93">
        <v>8706400</v>
      </c>
    </row>
    <row r="2040" spans="1:5" x14ac:dyDescent="0.25">
      <c r="A2040" s="93" t="s">
        <v>2390</v>
      </c>
      <c r="B2040" s="93"/>
      <c r="C2040" s="93"/>
      <c r="D2040" s="93">
        <v>170521</v>
      </c>
      <c r="E2040" s="93">
        <v>584140</v>
      </c>
    </row>
    <row r="2041" spans="1:5" x14ac:dyDescent="0.25">
      <c r="A2041" s="93" t="s">
        <v>2390</v>
      </c>
      <c r="B2041" s="93"/>
      <c r="C2041" s="93"/>
      <c r="D2041" s="93">
        <v>4559118</v>
      </c>
      <c r="E2041" s="93">
        <v>3379372</v>
      </c>
    </row>
    <row r="2042" spans="1:5" x14ac:dyDescent="0.25">
      <c r="A2042" s="93" t="s">
        <v>2391</v>
      </c>
      <c r="B2042" s="93"/>
      <c r="C2042" s="93"/>
      <c r="D2042" s="93">
        <v>170521</v>
      </c>
      <c r="E2042" s="93">
        <v>370622</v>
      </c>
    </row>
    <row r="2043" spans="1:5" x14ac:dyDescent="0.25">
      <c r="A2043" s="93" t="s">
        <v>2391</v>
      </c>
      <c r="B2043" s="93"/>
      <c r="C2043" s="93"/>
      <c r="D2043" s="93">
        <v>6429</v>
      </c>
      <c r="E2043" s="93">
        <v>5345</v>
      </c>
    </row>
    <row r="2044" spans="1:5" x14ac:dyDescent="0.25">
      <c r="A2044" s="93" t="s">
        <v>2392</v>
      </c>
      <c r="B2044" s="93"/>
      <c r="C2044" s="93"/>
      <c r="D2044" s="93">
        <v>0</v>
      </c>
      <c r="E2044" s="93">
        <v>120366</v>
      </c>
    </row>
    <row r="2045" spans="1:5" x14ac:dyDescent="0.25">
      <c r="A2045" s="93" t="s">
        <v>2381</v>
      </c>
      <c r="B2045" s="93"/>
      <c r="C2045" s="93"/>
      <c r="D2045" s="93">
        <v>122121</v>
      </c>
      <c r="E2045" s="93">
        <v>159338</v>
      </c>
    </row>
    <row r="2046" spans="1:5" x14ac:dyDescent="0.25">
      <c r="A2046" s="93" t="s">
        <v>2382</v>
      </c>
      <c r="B2046" s="93"/>
      <c r="C2046" s="93"/>
      <c r="D2046" s="93">
        <v>82380</v>
      </c>
      <c r="E2046" s="93">
        <v>0</v>
      </c>
    </row>
    <row r="2047" spans="1:5" x14ac:dyDescent="0.25">
      <c r="A2047" s="93" t="s">
        <v>2382</v>
      </c>
      <c r="B2047" s="93"/>
      <c r="C2047" s="93"/>
      <c r="D2047" s="93">
        <v>3072151</v>
      </c>
      <c r="E2047" s="93">
        <v>2422621</v>
      </c>
    </row>
    <row r="2048" spans="1:5" x14ac:dyDescent="0.25">
      <c r="A2048" s="93" t="s">
        <v>2383</v>
      </c>
      <c r="B2048" s="93"/>
      <c r="C2048" s="93"/>
      <c r="D2048" s="93">
        <v>47389</v>
      </c>
      <c r="E2048" s="93">
        <v>47389</v>
      </c>
    </row>
    <row r="2049" spans="1:5" x14ac:dyDescent="0.25">
      <c r="A2049" s="93" t="s">
        <v>2383</v>
      </c>
      <c r="B2049" s="93"/>
      <c r="C2049" s="93"/>
      <c r="D2049" s="93">
        <v>0</v>
      </c>
      <c r="E2049" s="93">
        <v>93152</v>
      </c>
    </row>
    <row r="2050" spans="1:5" x14ac:dyDescent="0.25">
      <c r="A2050" s="93" t="s">
        <v>2383</v>
      </c>
      <c r="B2050" s="93"/>
      <c r="C2050" s="93"/>
      <c r="D2050" s="93">
        <v>38012</v>
      </c>
      <c r="E2050" s="93">
        <v>43599</v>
      </c>
    </row>
    <row r="2051" spans="1:5" x14ac:dyDescent="0.25">
      <c r="A2051" s="93" t="s">
        <v>2384</v>
      </c>
      <c r="B2051" s="93"/>
      <c r="C2051" s="93"/>
      <c r="D2051" s="93">
        <v>238601280</v>
      </c>
      <c r="E2051" s="93">
        <v>215856462</v>
      </c>
    </row>
    <row r="2052" spans="1:5" x14ac:dyDescent="0.25">
      <c r="A2052" s="93" t="s">
        <v>2384</v>
      </c>
      <c r="B2052" s="93"/>
      <c r="C2052" s="93"/>
      <c r="D2052" s="93">
        <v>40541</v>
      </c>
      <c r="E2052" s="93">
        <v>58907</v>
      </c>
    </row>
    <row r="2053" spans="1:5" x14ac:dyDescent="0.25">
      <c r="A2053" s="93" t="s">
        <v>2385</v>
      </c>
      <c r="B2053" s="93"/>
      <c r="C2053" s="93"/>
      <c r="D2053" s="93">
        <v>24276468</v>
      </c>
      <c r="E2053" s="93">
        <v>17254534</v>
      </c>
    </row>
    <row r="2054" spans="1:5" x14ac:dyDescent="0.25">
      <c r="A2054" s="93" t="s">
        <v>2385</v>
      </c>
      <c r="B2054" s="93"/>
      <c r="C2054" s="93"/>
      <c r="D2054" s="93">
        <v>298662</v>
      </c>
      <c r="E2054" s="93">
        <v>271630</v>
      </c>
    </row>
    <row r="2055" spans="1:5" x14ac:dyDescent="0.25">
      <c r="A2055" s="93" t="s">
        <v>2386</v>
      </c>
      <c r="B2055" s="93"/>
      <c r="C2055" s="93"/>
      <c r="D2055" s="93">
        <v>262877748</v>
      </c>
      <c r="E2055" s="93">
        <v>233110996</v>
      </c>
    </row>
    <row r="2056" spans="1:5" x14ac:dyDescent="0.25">
      <c r="A2056" s="93" t="s">
        <v>2386</v>
      </c>
      <c r="B2056" s="93"/>
      <c r="C2056" s="93"/>
      <c r="D2056" s="93">
        <v>1748280</v>
      </c>
      <c r="E2056" s="93">
        <v>1273203</v>
      </c>
    </row>
    <row r="2057" spans="1:5" x14ac:dyDescent="0.25">
      <c r="A2057" s="93" t="s">
        <v>2393</v>
      </c>
      <c r="B2057" s="93"/>
      <c r="C2057" s="93"/>
      <c r="D2057" s="93">
        <v>238601280</v>
      </c>
      <c r="E2057" s="93">
        <v>215856462</v>
      </c>
    </row>
    <row r="2058" spans="1:5" x14ac:dyDescent="0.25">
      <c r="A2058" s="93" t="s">
        <v>2393</v>
      </c>
      <c r="B2058" s="93"/>
      <c r="C2058" s="93"/>
      <c r="D2058" s="93">
        <v>319776</v>
      </c>
      <c r="E2058" s="93">
        <v>370108</v>
      </c>
    </row>
    <row r="2059" spans="1:5" x14ac:dyDescent="0.25">
      <c r="A2059" s="93" t="s">
        <v>2394</v>
      </c>
      <c r="B2059" s="93"/>
      <c r="C2059" s="93"/>
      <c r="D2059" s="93">
        <v>24276468</v>
      </c>
      <c r="E2059" s="93">
        <v>17254534</v>
      </c>
    </row>
    <row r="2060" spans="1:5" x14ac:dyDescent="0.25">
      <c r="A2060" s="93" t="s">
        <v>2394</v>
      </c>
      <c r="B2060" s="93"/>
      <c r="C2060" s="93"/>
      <c r="D2060" s="93">
        <v>7766</v>
      </c>
      <c r="E2060" s="93">
        <v>7766</v>
      </c>
    </row>
    <row r="2061" spans="1:5" x14ac:dyDescent="0.25">
      <c r="A2061" s="93" t="s">
        <v>2395</v>
      </c>
      <c r="B2061" s="93"/>
      <c r="C2061" s="93"/>
      <c r="D2061" s="93">
        <v>262877748</v>
      </c>
      <c r="E2061" s="93">
        <v>233110996</v>
      </c>
    </row>
    <row r="2062" spans="1:5" x14ac:dyDescent="0.25">
      <c r="A2062" s="93" t="s">
        <v>2395</v>
      </c>
      <c r="B2062" s="93"/>
      <c r="C2062" s="93"/>
      <c r="D2062" s="93">
        <v>793071</v>
      </c>
      <c r="E2062" s="93">
        <v>579165</v>
      </c>
    </row>
    <row r="2063" spans="1:5" x14ac:dyDescent="0.25">
      <c r="A2063" s="93" t="s">
        <v>2396</v>
      </c>
      <c r="B2063" s="93"/>
      <c r="C2063" s="93"/>
      <c r="D2063" s="93">
        <v>186252</v>
      </c>
      <c r="E2063" s="93">
        <v>285608</v>
      </c>
    </row>
    <row r="2064" spans="1:5" x14ac:dyDescent="0.25">
      <c r="A2064" s="93" t="s">
        <v>2397</v>
      </c>
      <c r="B2064" s="93"/>
      <c r="C2064" s="93"/>
      <c r="D2064" s="93">
        <v>2259</v>
      </c>
      <c r="E2064" s="93">
        <v>9076</v>
      </c>
    </row>
    <row r="2065" spans="1:5" x14ac:dyDescent="0.25">
      <c r="A2065" s="93" t="s">
        <v>2398</v>
      </c>
      <c r="B2065" s="93"/>
      <c r="C2065" s="93"/>
      <c r="D2065" s="93">
        <v>7156154</v>
      </c>
      <c r="E2065" s="93">
        <v>6244495</v>
      </c>
    </row>
    <row r="2066" spans="1:5" x14ac:dyDescent="0.25">
      <c r="A2066" s="93" t="s">
        <v>2399</v>
      </c>
      <c r="B2066" s="93"/>
      <c r="C2066" s="93"/>
      <c r="D2066" s="93">
        <v>281299</v>
      </c>
      <c r="E2066" s="93">
        <v>339409</v>
      </c>
    </row>
    <row r="2067" spans="1:5" x14ac:dyDescent="0.25">
      <c r="A2067" s="93" t="s">
        <v>2400</v>
      </c>
      <c r="B2067" s="93"/>
      <c r="C2067" s="93"/>
      <c r="D2067" s="93">
        <v>99106</v>
      </c>
      <c r="E2067" s="93">
        <v>202920</v>
      </c>
    </row>
    <row r="2068" spans="1:5" x14ac:dyDescent="0.25">
      <c r="A2068" s="93" t="s">
        <v>2401</v>
      </c>
      <c r="B2068" s="93"/>
      <c r="C2068" s="93"/>
      <c r="D2068" s="93">
        <v>45555</v>
      </c>
      <c r="E2068" s="93">
        <v>5065</v>
      </c>
    </row>
    <row r="2069" spans="1:5" x14ac:dyDescent="0.25">
      <c r="A2069" s="93" t="s">
        <v>2402</v>
      </c>
      <c r="B2069" s="93"/>
      <c r="C2069" s="93"/>
      <c r="D2069" s="93">
        <v>136638</v>
      </c>
      <c r="E2069" s="93">
        <v>131424</v>
      </c>
    </row>
    <row r="2070" spans="1:5" x14ac:dyDescent="0.25">
      <c r="A2070" s="93" t="s">
        <v>2403</v>
      </c>
      <c r="B2070" s="93"/>
      <c r="C2070" s="93"/>
      <c r="D2070" s="93">
        <v>25324</v>
      </c>
      <c r="E2070" s="93">
        <v>166522</v>
      </c>
    </row>
    <row r="2071" spans="1:5" x14ac:dyDescent="0.25">
      <c r="A2071" s="93" t="s">
        <v>2404</v>
      </c>
      <c r="B2071" s="93"/>
      <c r="C2071" s="93"/>
      <c r="D2071" s="93">
        <v>21488</v>
      </c>
      <c r="E2071" s="93">
        <v>37123</v>
      </c>
    </row>
    <row r="2072" spans="1:5" x14ac:dyDescent="0.25">
      <c r="A2072" s="93" t="s">
        <v>2405</v>
      </c>
      <c r="B2072" s="93"/>
      <c r="C2072" s="93"/>
      <c r="D2072" s="93">
        <v>0</v>
      </c>
      <c r="E2072" s="93">
        <v>127836</v>
      </c>
    </row>
    <row r="2073" spans="1:5" x14ac:dyDescent="0.25">
      <c r="A2073" s="93" t="s">
        <v>2406</v>
      </c>
      <c r="B2073" s="93"/>
      <c r="C2073" s="93"/>
      <c r="D2073" s="93">
        <v>3453</v>
      </c>
      <c r="E2073" s="93">
        <v>0</v>
      </c>
    </row>
    <row r="2074" spans="1:5" x14ac:dyDescent="0.25">
      <c r="A2074" s="93" t="s">
        <v>2407</v>
      </c>
      <c r="B2074" s="93"/>
      <c r="C2074" s="93"/>
      <c r="D2074" s="93">
        <v>383</v>
      </c>
      <c r="E2074" s="93">
        <v>1563</v>
      </c>
    </row>
    <row r="2075" spans="1:5" x14ac:dyDescent="0.25">
      <c r="A2075" s="93" t="s">
        <v>2408</v>
      </c>
      <c r="B2075" s="93"/>
      <c r="C2075" s="93"/>
      <c r="D2075" s="93">
        <v>255975</v>
      </c>
      <c r="E2075" s="93">
        <v>172887</v>
      </c>
    </row>
    <row r="2076" spans="1:5" x14ac:dyDescent="0.25">
      <c r="A2076" s="93" t="s">
        <v>2409</v>
      </c>
      <c r="B2076" s="93"/>
      <c r="C2076" s="93"/>
      <c r="D2076" s="93">
        <v>108578</v>
      </c>
      <c r="E2076" s="93">
        <v>218547</v>
      </c>
    </row>
    <row r="2077" spans="1:5" x14ac:dyDescent="0.25">
      <c r="A2077" s="93" t="s">
        <v>2410</v>
      </c>
      <c r="B2077" s="93"/>
      <c r="C2077" s="93"/>
      <c r="D2077" s="93">
        <v>1507174</v>
      </c>
      <c r="E2077" s="93">
        <v>906805</v>
      </c>
    </row>
    <row r="2078" spans="1:5" x14ac:dyDescent="0.25">
      <c r="A2078" s="93" t="s">
        <v>2411</v>
      </c>
      <c r="B2078" s="93"/>
      <c r="C2078" s="93"/>
      <c r="D2078" s="93">
        <v>166814</v>
      </c>
      <c r="E2078" s="93">
        <v>0</v>
      </c>
    </row>
    <row r="2079" spans="1:5" x14ac:dyDescent="0.25">
      <c r="A2079" s="93" t="s">
        <v>2412</v>
      </c>
      <c r="B2079" s="93"/>
      <c r="C2079" s="93"/>
      <c r="D2079" s="93">
        <v>1340360</v>
      </c>
      <c r="E2079" s="93">
        <v>906805</v>
      </c>
    </row>
    <row r="2080" spans="1:5" x14ac:dyDescent="0.25">
      <c r="A2080" s="93" t="s">
        <v>2413</v>
      </c>
      <c r="B2080" s="93"/>
      <c r="C2080" s="93"/>
      <c r="D2080" s="93">
        <v>1148648</v>
      </c>
      <c r="E2080" s="93">
        <v>533114</v>
      </c>
    </row>
    <row r="2081" spans="1:5" x14ac:dyDescent="0.25">
      <c r="A2081" s="93" t="s">
        <v>2414</v>
      </c>
      <c r="B2081" s="93"/>
      <c r="C2081" s="93"/>
      <c r="D2081" s="93">
        <v>165</v>
      </c>
      <c r="E2081" s="93">
        <v>0</v>
      </c>
    </row>
    <row r="2082" spans="1:5" x14ac:dyDescent="0.25">
      <c r="A2082" s="93" t="s">
        <v>2415</v>
      </c>
      <c r="B2082" s="93"/>
      <c r="C2082" s="93"/>
      <c r="D2082" s="93">
        <v>1148483</v>
      </c>
      <c r="E2082" s="93">
        <v>533114</v>
      </c>
    </row>
    <row r="2083" spans="1:5" x14ac:dyDescent="0.25">
      <c r="A2083" s="93" t="s">
        <v>2416</v>
      </c>
      <c r="B2083" s="93"/>
      <c r="C2083" s="93"/>
      <c r="D2083" s="93">
        <v>358526</v>
      </c>
      <c r="E2083" s="93">
        <v>373691</v>
      </c>
    </row>
    <row r="2084" spans="1:5" x14ac:dyDescent="0.25">
      <c r="A2084" s="93" t="s">
        <v>2417</v>
      </c>
      <c r="B2084" s="93"/>
      <c r="C2084" s="93"/>
      <c r="D2084" s="93">
        <v>249948</v>
      </c>
      <c r="E2084" s="93">
        <v>155144</v>
      </c>
    </row>
    <row r="2085" spans="1:5" x14ac:dyDescent="0.25">
      <c r="A2085" s="93" t="s">
        <v>2418</v>
      </c>
      <c r="B2085" s="93"/>
      <c r="C2085" s="93"/>
      <c r="D2085" s="93">
        <v>79427</v>
      </c>
      <c r="E2085" s="93">
        <v>0</v>
      </c>
    </row>
    <row r="2086" spans="1:5" x14ac:dyDescent="0.25">
      <c r="A2086" s="93" t="s">
        <v>2419</v>
      </c>
      <c r="B2086" s="93"/>
      <c r="C2086" s="93"/>
      <c r="D2086" s="93">
        <v>170521</v>
      </c>
      <c r="E2086" s="93">
        <v>155144</v>
      </c>
    </row>
    <row r="2087" spans="1:5" x14ac:dyDescent="0.25">
      <c r="A2087" s="11" t="s">
        <v>1566</v>
      </c>
      <c r="B2087" s="11">
        <v>1194786754</v>
      </c>
      <c r="C2087" s="11">
        <v>102626650</v>
      </c>
      <c r="D2087" s="11">
        <v>1092160104</v>
      </c>
      <c r="E2087" s="11">
        <v>1073746806</v>
      </c>
    </row>
    <row r="2088" spans="1:5" x14ac:dyDescent="0.25">
      <c r="A2088" s="11" t="s">
        <v>1567</v>
      </c>
      <c r="B2088" s="11">
        <v>117989751</v>
      </c>
      <c r="C2088" s="11">
        <v>273909</v>
      </c>
      <c r="D2088" s="11">
        <v>117715842</v>
      </c>
      <c r="E2088" s="11">
        <v>49958930</v>
      </c>
    </row>
    <row r="2089" spans="1:5" x14ac:dyDescent="0.25">
      <c r="A2089" s="11" t="s">
        <v>1568</v>
      </c>
      <c r="B2089" s="11">
        <v>10733277</v>
      </c>
      <c r="C2089" s="11">
        <v>0</v>
      </c>
      <c r="D2089" s="11">
        <v>10733277</v>
      </c>
      <c r="E2089" s="11">
        <v>12608009</v>
      </c>
    </row>
    <row r="2090" spans="1:5" x14ac:dyDescent="0.25">
      <c r="A2090" s="11" t="s">
        <v>1569</v>
      </c>
      <c r="B2090" s="11">
        <v>3535796</v>
      </c>
      <c r="C2090" s="11">
        <v>220640</v>
      </c>
      <c r="D2090" s="11">
        <v>3315156</v>
      </c>
      <c r="E2090" s="11">
        <v>2572514</v>
      </c>
    </row>
    <row r="2091" spans="1:5" x14ac:dyDescent="0.25">
      <c r="A2091" s="11" t="s">
        <v>1570</v>
      </c>
      <c r="B2091" s="11">
        <v>101593770</v>
      </c>
      <c r="C2091" s="11">
        <v>0</v>
      </c>
      <c r="D2091" s="11">
        <v>101593770</v>
      </c>
      <c r="E2091" s="11">
        <v>34585021</v>
      </c>
    </row>
    <row r="2092" spans="1:5" x14ac:dyDescent="0.25">
      <c r="A2092" s="11" t="s">
        <v>1571</v>
      </c>
      <c r="B2092" s="11">
        <v>2126908</v>
      </c>
      <c r="C2092" s="11">
        <v>53269</v>
      </c>
      <c r="D2092" s="11">
        <v>2073639</v>
      </c>
      <c r="E2092" s="11">
        <v>193386</v>
      </c>
    </row>
    <row r="2093" spans="1:5" x14ac:dyDescent="0.25">
      <c r="A2093" s="11" t="s">
        <v>1572</v>
      </c>
      <c r="B2093" s="11">
        <v>178776078</v>
      </c>
      <c r="C2093" s="11">
        <v>0</v>
      </c>
      <c r="D2093" s="11">
        <v>178776078</v>
      </c>
      <c r="E2093" s="11">
        <v>285443943</v>
      </c>
    </row>
    <row r="2094" spans="1:5" x14ac:dyDescent="0.25">
      <c r="A2094" s="11" t="s">
        <v>1573</v>
      </c>
      <c r="B2094" s="11">
        <v>178776078</v>
      </c>
      <c r="C2094" s="11">
        <v>0</v>
      </c>
      <c r="D2094" s="11">
        <v>178776078</v>
      </c>
      <c r="E2094" s="11">
        <v>285443943</v>
      </c>
    </row>
    <row r="2095" spans="1:5" x14ac:dyDescent="0.25">
      <c r="A2095" s="11" t="s">
        <v>1574</v>
      </c>
      <c r="B2095" s="11">
        <v>6566920</v>
      </c>
      <c r="C2095" s="11">
        <v>5067237</v>
      </c>
      <c r="D2095" s="11">
        <v>1499683</v>
      </c>
      <c r="E2095" s="11">
        <v>1130550</v>
      </c>
    </row>
    <row r="2096" spans="1:5" x14ac:dyDescent="0.25">
      <c r="A2096" s="11" t="s">
        <v>1575</v>
      </c>
      <c r="B2096" s="11">
        <v>5922856</v>
      </c>
      <c r="C2096" s="11">
        <v>4449945</v>
      </c>
      <c r="D2096" s="11">
        <v>1472911</v>
      </c>
      <c r="E2096" s="11">
        <v>1116420</v>
      </c>
    </row>
    <row r="2097" spans="1:5" x14ac:dyDescent="0.25">
      <c r="A2097" s="11" t="s">
        <v>1576</v>
      </c>
      <c r="B2097" s="11">
        <v>644064</v>
      </c>
      <c r="C2097" s="11">
        <v>617292</v>
      </c>
      <c r="D2097" s="11">
        <v>26772</v>
      </c>
      <c r="E2097" s="11">
        <v>14130</v>
      </c>
    </row>
    <row r="2098" spans="1:5" x14ac:dyDescent="0.25">
      <c r="A2098" s="11" t="s">
        <v>1577</v>
      </c>
      <c r="B2098" s="11">
        <v>515976522</v>
      </c>
      <c r="C2098" s="11">
        <v>46277386</v>
      </c>
      <c r="D2098" s="11">
        <v>469699136</v>
      </c>
      <c r="E2098" s="11">
        <v>470494443</v>
      </c>
    </row>
    <row r="2099" spans="1:5" x14ac:dyDescent="0.25">
      <c r="A2099" s="11" t="s">
        <v>1578</v>
      </c>
      <c r="B2099" s="11">
        <v>112374592</v>
      </c>
      <c r="C2099" s="11">
        <v>7811991</v>
      </c>
      <c r="D2099" s="11">
        <v>104562601</v>
      </c>
      <c r="E2099" s="11">
        <v>93698082</v>
      </c>
    </row>
    <row r="2100" spans="1:5" x14ac:dyDescent="0.25">
      <c r="A2100" s="11" t="s">
        <v>1579</v>
      </c>
      <c r="B2100" s="11">
        <v>402368855</v>
      </c>
      <c r="C2100" s="11">
        <v>38038628</v>
      </c>
      <c r="D2100" s="11">
        <v>364330227</v>
      </c>
      <c r="E2100" s="11">
        <v>374809538</v>
      </c>
    </row>
    <row r="2101" spans="1:5" x14ac:dyDescent="0.25">
      <c r="A2101" s="11" t="s">
        <v>1580</v>
      </c>
      <c r="B2101" s="11">
        <v>1233075</v>
      </c>
      <c r="C2101" s="11">
        <v>426767</v>
      </c>
      <c r="D2101" s="11">
        <v>806308</v>
      </c>
      <c r="E2101" s="11">
        <v>1986823</v>
      </c>
    </row>
    <row r="2102" spans="1:5" x14ac:dyDescent="0.25">
      <c r="A2102" s="11" t="s">
        <v>1581</v>
      </c>
      <c r="B2102" s="11">
        <v>156100484</v>
      </c>
      <c r="C2102" s="11">
        <v>82145</v>
      </c>
      <c r="D2102" s="11">
        <v>156018339</v>
      </c>
      <c r="E2102" s="11">
        <v>139531185</v>
      </c>
    </row>
    <row r="2103" spans="1:5" x14ac:dyDescent="0.25">
      <c r="A2103" s="11" t="s">
        <v>1582</v>
      </c>
      <c r="B2103" s="11">
        <v>37971741</v>
      </c>
      <c r="C2103" s="11">
        <v>0</v>
      </c>
      <c r="D2103" s="11">
        <v>37971741</v>
      </c>
      <c r="E2103" s="11">
        <v>36915233</v>
      </c>
    </row>
    <row r="2104" spans="1:5" x14ac:dyDescent="0.25">
      <c r="A2104" s="11" t="s">
        <v>1583</v>
      </c>
      <c r="B2104" s="11">
        <v>26422995</v>
      </c>
      <c r="C2104" s="11">
        <v>0</v>
      </c>
      <c r="D2104" s="11">
        <v>26422995</v>
      </c>
      <c r="E2104" s="11">
        <v>25966166</v>
      </c>
    </row>
    <row r="2105" spans="1:5" x14ac:dyDescent="0.25">
      <c r="A2105" s="11" t="s">
        <v>1584</v>
      </c>
      <c r="B2105" s="11">
        <v>91705748</v>
      </c>
      <c r="C2105" s="11">
        <v>82145</v>
      </c>
      <c r="D2105" s="11">
        <v>91623603</v>
      </c>
      <c r="E2105" s="11">
        <v>76649786</v>
      </c>
    </row>
    <row r="2106" spans="1:5" x14ac:dyDescent="0.25">
      <c r="A2106" s="11" t="s">
        <v>1585</v>
      </c>
      <c r="B2106" s="11">
        <v>216725738</v>
      </c>
      <c r="C2106" s="11">
        <v>50696085</v>
      </c>
      <c r="D2106" s="11">
        <v>166029653</v>
      </c>
      <c r="E2106" s="11">
        <v>124585576</v>
      </c>
    </row>
    <row r="2107" spans="1:5" x14ac:dyDescent="0.25">
      <c r="A2107" s="11" t="s">
        <v>1984</v>
      </c>
      <c r="B2107" s="11">
        <v>101226</v>
      </c>
      <c r="C2107" s="11">
        <v>2237</v>
      </c>
      <c r="D2107" s="11">
        <v>98989</v>
      </c>
      <c r="E2107" s="11">
        <v>189380</v>
      </c>
    </row>
    <row r="2108" spans="1:5" x14ac:dyDescent="0.25">
      <c r="A2108" s="11" t="s">
        <v>1586</v>
      </c>
      <c r="B2108" s="11">
        <v>2916667</v>
      </c>
      <c r="C2108" s="11">
        <v>0</v>
      </c>
      <c r="D2108" s="11">
        <v>2916667</v>
      </c>
      <c r="E2108" s="11">
        <v>3277778</v>
      </c>
    </row>
    <row r="2109" spans="1:5" x14ac:dyDescent="0.25">
      <c r="A2109" s="11" t="s">
        <v>1587</v>
      </c>
      <c r="B2109" s="11">
        <v>144217406</v>
      </c>
      <c r="C2109" s="11">
        <v>43317515</v>
      </c>
      <c r="D2109" s="11">
        <v>100899891</v>
      </c>
      <c r="E2109" s="11">
        <v>99807284</v>
      </c>
    </row>
    <row r="2110" spans="1:5" x14ac:dyDescent="0.25">
      <c r="A2110" s="11" t="s">
        <v>1588</v>
      </c>
      <c r="B2110" s="11">
        <v>1978493</v>
      </c>
      <c r="C2110" s="11">
        <v>165274</v>
      </c>
      <c r="D2110" s="11">
        <v>1813219</v>
      </c>
      <c r="E2110" s="11">
        <v>1916652</v>
      </c>
    </row>
    <row r="2111" spans="1:5" x14ac:dyDescent="0.25">
      <c r="A2111" s="11" t="s">
        <v>1589</v>
      </c>
      <c r="B2111" s="11">
        <v>61592824</v>
      </c>
      <c r="C2111" s="11">
        <v>3091377</v>
      </c>
      <c r="D2111" s="11">
        <v>58501447</v>
      </c>
      <c r="E2111" s="11">
        <v>17602470</v>
      </c>
    </row>
    <row r="2112" spans="1:5" x14ac:dyDescent="0.25">
      <c r="A2112" s="11" t="s">
        <v>1590</v>
      </c>
      <c r="B2112" s="11">
        <v>5702436</v>
      </c>
      <c r="C2112" s="11">
        <v>4119682</v>
      </c>
      <c r="D2112" s="11">
        <v>1582754</v>
      </c>
      <c r="E2112" s="11">
        <v>1566816</v>
      </c>
    </row>
    <row r="2113" spans="1:5" x14ac:dyDescent="0.25">
      <c r="A2113" s="11" t="s">
        <v>1591</v>
      </c>
      <c r="B2113" s="11">
        <v>216686</v>
      </c>
      <c r="C2113" s="11">
        <v>0</v>
      </c>
      <c r="D2113" s="11">
        <v>216686</v>
      </c>
      <c r="E2113" s="11">
        <v>225196</v>
      </c>
    </row>
    <row r="2114" spans="1:5" x14ac:dyDescent="0.25">
      <c r="A2114" s="11" t="s">
        <v>1592</v>
      </c>
      <c r="B2114" s="11">
        <v>2567621</v>
      </c>
      <c r="C2114" s="11">
        <v>229888</v>
      </c>
      <c r="D2114" s="11">
        <v>2337733</v>
      </c>
      <c r="E2114" s="11">
        <v>2518949</v>
      </c>
    </row>
    <row r="2115" spans="1:5" x14ac:dyDescent="0.25">
      <c r="A2115" s="11" t="s">
        <v>1593</v>
      </c>
      <c r="B2115" s="11">
        <v>83640</v>
      </c>
      <c r="C2115" s="11">
        <v>0</v>
      </c>
      <c r="D2115" s="11">
        <v>83640</v>
      </c>
      <c r="E2115" s="11">
        <v>83230</v>
      </c>
    </row>
    <row r="2116" spans="1:5" x14ac:dyDescent="0.25">
      <c r="A2116" s="11" t="s">
        <v>1594</v>
      </c>
      <c r="B2116" s="11">
        <v>56056502</v>
      </c>
      <c r="C2116" s="11">
        <v>19734032</v>
      </c>
      <c r="D2116" s="11">
        <v>36322470</v>
      </c>
      <c r="E2116" s="11">
        <v>36679273</v>
      </c>
    </row>
    <row r="2117" spans="1:5" x14ac:dyDescent="0.25">
      <c r="A2117" s="11" t="s">
        <v>1595</v>
      </c>
      <c r="B2117" s="11">
        <v>50668901</v>
      </c>
      <c r="C2117" s="11">
        <v>15289099</v>
      </c>
      <c r="D2117" s="11">
        <v>35379802</v>
      </c>
      <c r="E2117" s="11">
        <v>35769178</v>
      </c>
    </row>
    <row r="2118" spans="1:5" x14ac:dyDescent="0.25">
      <c r="A2118" s="11" t="s">
        <v>1596</v>
      </c>
      <c r="B2118" s="11">
        <v>47883231</v>
      </c>
      <c r="C2118" s="11">
        <v>15289099</v>
      </c>
      <c r="D2118" s="11">
        <v>32594132</v>
      </c>
      <c r="E2118" s="11">
        <v>32703440</v>
      </c>
    </row>
    <row r="2119" spans="1:5" x14ac:dyDescent="0.25">
      <c r="A2119" s="11" t="s">
        <v>1597</v>
      </c>
      <c r="B2119" s="11">
        <v>2312801</v>
      </c>
      <c r="C2119" s="11">
        <v>0</v>
      </c>
      <c r="D2119" s="11">
        <v>2312801</v>
      </c>
      <c r="E2119" s="11">
        <v>1776803</v>
      </c>
    </row>
    <row r="2120" spans="1:5" x14ac:dyDescent="0.25">
      <c r="A2120" s="11" t="s">
        <v>1598</v>
      </c>
      <c r="B2120" s="11">
        <v>472869</v>
      </c>
      <c r="C2120" s="11">
        <v>0</v>
      </c>
      <c r="D2120" s="11">
        <v>472869</v>
      </c>
      <c r="E2120" s="11">
        <v>1288935</v>
      </c>
    </row>
    <row r="2121" spans="1:5" x14ac:dyDescent="0.25">
      <c r="A2121" s="11" t="s">
        <v>1599</v>
      </c>
      <c r="B2121" s="11">
        <v>4798825</v>
      </c>
      <c r="C2121" s="11">
        <v>4444933</v>
      </c>
      <c r="D2121" s="11">
        <v>353892</v>
      </c>
      <c r="E2121" s="11">
        <v>323460</v>
      </c>
    </row>
    <row r="2122" spans="1:5" x14ac:dyDescent="0.25">
      <c r="A2122" s="11" t="s">
        <v>1600</v>
      </c>
      <c r="B2122" s="11">
        <v>4798825</v>
      </c>
      <c r="C2122" s="11">
        <v>4444933</v>
      </c>
      <c r="D2122" s="11">
        <v>353892</v>
      </c>
      <c r="E2122" s="11">
        <v>323460</v>
      </c>
    </row>
    <row r="2123" spans="1:5" x14ac:dyDescent="0.25">
      <c r="A2123" s="11" t="s">
        <v>1601</v>
      </c>
      <c r="B2123" s="11">
        <v>588776</v>
      </c>
      <c r="C2123" s="11">
        <v>0</v>
      </c>
      <c r="D2123" s="11">
        <v>588776</v>
      </c>
      <c r="E2123" s="11">
        <v>586635</v>
      </c>
    </row>
    <row r="2124" spans="1:5" x14ac:dyDescent="0.25">
      <c r="A2124" s="11" t="s">
        <v>1602</v>
      </c>
      <c r="B2124" s="11">
        <v>1250843256</v>
      </c>
      <c r="C2124" s="11">
        <v>122360682</v>
      </c>
      <c r="D2124" s="11">
        <v>1128482574</v>
      </c>
      <c r="E2124" s="11">
        <v>1110426079</v>
      </c>
    </row>
    <row r="2125" spans="1:5" x14ac:dyDescent="0.25">
      <c r="A2125" s="11" t="s">
        <v>1603</v>
      </c>
      <c r="B2125" s="11">
        <v>225131328</v>
      </c>
      <c r="C2125" s="11">
        <v>0</v>
      </c>
      <c r="D2125" s="11">
        <v>225131328</v>
      </c>
      <c r="E2125" s="11">
        <v>236364891</v>
      </c>
    </row>
    <row r="2126" spans="1:5" x14ac:dyDescent="0.25">
      <c r="A2126" s="11" t="s">
        <v>1604</v>
      </c>
      <c r="B2126" s="11">
        <v>1475974584</v>
      </c>
      <c r="C2126" s="11">
        <v>122360682</v>
      </c>
      <c r="D2126" s="11">
        <v>1353613902</v>
      </c>
      <c r="E2126" s="11">
        <v>1346790970</v>
      </c>
    </row>
    <row r="2127" spans="1:5" x14ac:dyDescent="0.25">
      <c r="A2127" s="93" t="s">
        <v>2420</v>
      </c>
      <c r="B2127" s="93"/>
      <c r="C2127" s="93"/>
      <c r="D2127" s="93">
        <v>1092160104</v>
      </c>
      <c r="E2127" s="93">
        <v>1073746806</v>
      </c>
    </row>
    <row r="2128" spans="1:5" x14ac:dyDescent="0.25">
      <c r="A2128" s="93" t="s">
        <v>2421</v>
      </c>
      <c r="B2128" s="93"/>
      <c r="C2128" s="93"/>
      <c r="D2128" s="93">
        <v>117715842</v>
      </c>
      <c r="E2128" s="93">
        <v>49958930</v>
      </c>
    </row>
    <row r="2129" spans="1:5" x14ac:dyDescent="0.25">
      <c r="A2129" s="93" t="s">
        <v>2422</v>
      </c>
      <c r="B2129" s="93"/>
      <c r="C2129" s="93"/>
      <c r="D2129" s="93">
        <v>10733277</v>
      </c>
      <c r="E2129" s="93">
        <v>12608009</v>
      </c>
    </row>
    <row r="2130" spans="1:5" x14ac:dyDescent="0.25">
      <c r="A2130" s="93" t="s">
        <v>2423</v>
      </c>
      <c r="B2130" s="93"/>
      <c r="C2130" s="93"/>
      <c r="D2130" s="93">
        <v>3315156</v>
      </c>
      <c r="E2130" s="93">
        <v>2572514</v>
      </c>
    </row>
    <row r="2131" spans="1:5" x14ac:dyDescent="0.25">
      <c r="A2131" s="93" t="s">
        <v>2424</v>
      </c>
      <c r="B2131" s="93"/>
      <c r="C2131" s="93"/>
      <c r="D2131" s="93">
        <v>101593770</v>
      </c>
      <c r="E2131" s="93">
        <v>34585021</v>
      </c>
    </row>
    <row r="2132" spans="1:5" x14ac:dyDescent="0.25">
      <c r="A2132" s="93" t="s">
        <v>2425</v>
      </c>
      <c r="B2132" s="93"/>
      <c r="C2132" s="93"/>
      <c r="D2132" s="93">
        <v>2073639</v>
      </c>
      <c r="E2132" s="93">
        <v>193386</v>
      </c>
    </row>
    <row r="2133" spans="1:5" x14ac:dyDescent="0.25">
      <c r="A2133" s="93" t="s">
        <v>2426</v>
      </c>
      <c r="B2133" s="93"/>
      <c r="C2133" s="93"/>
      <c r="D2133" s="93">
        <v>178776078</v>
      </c>
      <c r="E2133" s="93">
        <v>285443943</v>
      </c>
    </row>
    <row r="2134" spans="1:5" x14ac:dyDescent="0.25">
      <c r="A2134" s="93" t="s">
        <v>2427</v>
      </c>
      <c r="B2134" s="93"/>
      <c r="C2134" s="93"/>
      <c r="D2134" s="93">
        <v>178776078</v>
      </c>
      <c r="E2134" s="93">
        <v>285443943</v>
      </c>
    </row>
    <row r="2135" spans="1:5" x14ac:dyDescent="0.25">
      <c r="A2135" s="11" t="s">
        <v>1605</v>
      </c>
      <c r="B2135" s="11"/>
      <c r="C2135" s="11"/>
      <c r="D2135" s="11">
        <v>1014039069</v>
      </c>
      <c r="E2135" s="11">
        <v>1003468764</v>
      </c>
    </row>
    <row r="2136" spans="1:5" x14ac:dyDescent="0.25">
      <c r="A2136" s="11" t="s">
        <v>1606</v>
      </c>
      <c r="B2136" s="11"/>
      <c r="C2136" s="11"/>
      <c r="D2136" s="11">
        <v>956602897</v>
      </c>
      <c r="E2136" s="11">
        <v>947532978</v>
      </c>
    </row>
    <row r="2137" spans="1:5" x14ac:dyDescent="0.25">
      <c r="A2137" s="11" t="s">
        <v>1607</v>
      </c>
      <c r="B2137" s="11"/>
      <c r="C2137" s="11"/>
      <c r="D2137" s="11">
        <v>280390121</v>
      </c>
      <c r="E2137" s="11">
        <v>340631052</v>
      </c>
    </row>
    <row r="2138" spans="1:5" x14ac:dyDescent="0.25">
      <c r="A2138" s="11" t="s">
        <v>1608</v>
      </c>
      <c r="B2138" s="11"/>
      <c r="C2138" s="11"/>
      <c r="D2138" s="11">
        <v>293224081</v>
      </c>
      <c r="E2138" s="11">
        <v>225105284</v>
      </c>
    </row>
    <row r="2139" spans="1:5" x14ac:dyDescent="0.25">
      <c r="A2139" s="11" t="s">
        <v>1609</v>
      </c>
      <c r="B2139" s="11"/>
      <c r="C2139" s="11"/>
      <c r="D2139" s="11">
        <v>382988695</v>
      </c>
      <c r="E2139" s="11">
        <v>381796642</v>
      </c>
    </row>
    <row r="2140" spans="1:5" x14ac:dyDescent="0.25">
      <c r="A2140" s="11" t="s">
        <v>1610</v>
      </c>
      <c r="B2140" s="11"/>
      <c r="C2140" s="11"/>
      <c r="D2140" s="11">
        <v>75281</v>
      </c>
      <c r="E2140" s="11">
        <v>44675</v>
      </c>
    </row>
    <row r="2141" spans="1:5" x14ac:dyDescent="0.25">
      <c r="A2141" s="11" t="s">
        <v>1611</v>
      </c>
      <c r="B2141" s="11"/>
      <c r="C2141" s="11"/>
      <c r="D2141" s="11">
        <v>74342</v>
      </c>
      <c r="E2141" s="11">
        <v>43609</v>
      </c>
    </row>
    <row r="2142" spans="1:5" x14ac:dyDescent="0.25">
      <c r="A2142" s="11" t="s">
        <v>1612</v>
      </c>
      <c r="B2142" s="11"/>
      <c r="C2142" s="11"/>
      <c r="D2142" s="11">
        <v>939</v>
      </c>
      <c r="E2142" s="11">
        <v>1066</v>
      </c>
    </row>
    <row r="2143" spans="1:5" x14ac:dyDescent="0.25">
      <c r="A2143" s="11" t="s">
        <v>1613</v>
      </c>
      <c r="B2143" s="11"/>
      <c r="C2143" s="11"/>
      <c r="D2143" s="11">
        <v>57360891</v>
      </c>
      <c r="E2143" s="11">
        <v>55891111</v>
      </c>
    </row>
    <row r="2144" spans="1:5" x14ac:dyDescent="0.25">
      <c r="A2144" s="11" t="s">
        <v>1936</v>
      </c>
      <c r="B2144" s="11"/>
      <c r="C2144" s="11"/>
      <c r="D2144" s="11">
        <v>609325</v>
      </c>
      <c r="E2144" s="11">
        <v>0</v>
      </c>
    </row>
    <row r="2145" spans="1:5" x14ac:dyDescent="0.25">
      <c r="A2145" s="11" t="s">
        <v>1614</v>
      </c>
      <c r="B2145" s="11"/>
      <c r="C2145" s="11"/>
      <c r="D2145" s="11">
        <v>4432626</v>
      </c>
      <c r="E2145" s="11">
        <v>4445732</v>
      </c>
    </row>
    <row r="2146" spans="1:5" x14ac:dyDescent="0.25">
      <c r="A2146" s="11" t="s">
        <v>1615</v>
      </c>
      <c r="B2146" s="11"/>
      <c r="C2146" s="11"/>
      <c r="D2146" s="11">
        <v>479012</v>
      </c>
      <c r="E2146" s="11">
        <v>1125</v>
      </c>
    </row>
    <row r="2147" spans="1:5" x14ac:dyDescent="0.25">
      <c r="A2147" s="11" t="s">
        <v>1616</v>
      </c>
      <c r="B2147" s="11"/>
      <c r="C2147" s="11"/>
      <c r="D2147" s="11">
        <v>0</v>
      </c>
      <c r="E2147" s="11">
        <v>27773</v>
      </c>
    </row>
    <row r="2148" spans="1:5" x14ac:dyDescent="0.25">
      <c r="A2148" s="11" t="s">
        <v>1617</v>
      </c>
      <c r="B2148" s="11"/>
      <c r="C2148" s="11"/>
      <c r="D2148" s="11">
        <v>511429</v>
      </c>
      <c r="E2148" s="11">
        <v>469164</v>
      </c>
    </row>
    <row r="2149" spans="1:5" x14ac:dyDescent="0.25">
      <c r="A2149" s="11" t="s">
        <v>1618</v>
      </c>
      <c r="B2149" s="11"/>
      <c r="C2149" s="11"/>
      <c r="D2149" s="11">
        <v>6510922</v>
      </c>
      <c r="E2149" s="11">
        <v>6883611</v>
      </c>
    </row>
    <row r="2150" spans="1:5" x14ac:dyDescent="0.25">
      <c r="A2150" s="11" t="s">
        <v>1619</v>
      </c>
      <c r="B2150" s="11"/>
      <c r="C2150" s="11"/>
      <c r="D2150" s="11">
        <v>7126000</v>
      </c>
      <c r="E2150" s="11">
        <v>7108063</v>
      </c>
    </row>
    <row r="2151" spans="1:5" x14ac:dyDescent="0.25">
      <c r="A2151" s="11" t="s">
        <v>1620</v>
      </c>
      <c r="B2151" s="11"/>
      <c r="C2151" s="11"/>
      <c r="D2151" s="11">
        <v>17811182</v>
      </c>
      <c r="E2151" s="11">
        <v>18230273</v>
      </c>
    </row>
    <row r="2152" spans="1:5" x14ac:dyDescent="0.25">
      <c r="A2152" s="11" t="s">
        <v>1621</v>
      </c>
      <c r="B2152" s="11"/>
      <c r="C2152" s="11"/>
      <c r="D2152" s="11">
        <v>1062673</v>
      </c>
      <c r="E2152" s="11">
        <v>914485</v>
      </c>
    </row>
    <row r="2153" spans="1:5" x14ac:dyDescent="0.25">
      <c r="A2153" s="11" t="s">
        <v>1622</v>
      </c>
      <c r="B2153" s="11"/>
      <c r="C2153" s="11"/>
      <c r="D2153" s="11">
        <v>7721159</v>
      </c>
      <c r="E2153" s="11">
        <v>8402816</v>
      </c>
    </row>
    <row r="2154" spans="1:5" x14ac:dyDescent="0.25">
      <c r="A2154" s="11" t="s">
        <v>1623</v>
      </c>
      <c r="B2154" s="11"/>
      <c r="C2154" s="11"/>
      <c r="D2154" s="11">
        <v>11096563</v>
      </c>
      <c r="E2154" s="11">
        <v>9408069</v>
      </c>
    </row>
    <row r="2155" spans="1:5" x14ac:dyDescent="0.25">
      <c r="A2155" s="11" t="s">
        <v>1624</v>
      </c>
      <c r="B2155" s="11"/>
      <c r="C2155" s="11"/>
      <c r="D2155" s="11">
        <v>114443505</v>
      </c>
      <c r="E2155" s="11">
        <v>106957315</v>
      </c>
    </row>
    <row r="2156" spans="1:5" x14ac:dyDescent="0.25">
      <c r="A2156" s="11" t="s">
        <v>1625</v>
      </c>
      <c r="B2156" s="11"/>
      <c r="C2156" s="11"/>
      <c r="D2156" s="11">
        <v>62159780</v>
      </c>
      <c r="E2156" s="11">
        <v>62159780</v>
      </c>
    </row>
    <row r="2157" spans="1:5" x14ac:dyDescent="0.25">
      <c r="A2157" s="11" t="s">
        <v>1626</v>
      </c>
      <c r="B2157" s="11"/>
      <c r="C2157" s="11"/>
      <c r="D2157" s="11">
        <v>62003000</v>
      </c>
      <c r="E2157" s="11">
        <v>62003000</v>
      </c>
    </row>
    <row r="2158" spans="1:5" x14ac:dyDescent="0.25">
      <c r="A2158" s="11" t="s">
        <v>1627</v>
      </c>
      <c r="B2158" s="11"/>
      <c r="C2158" s="11"/>
      <c r="D2158" s="11">
        <v>156780</v>
      </c>
      <c r="E2158" s="11">
        <v>156780</v>
      </c>
    </row>
    <row r="2159" spans="1:5" x14ac:dyDescent="0.25">
      <c r="A2159" s="11" t="s">
        <v>1628</v>
      </c>
      <c r="B2159" s="11"/>
      <c r="C2159" s="11"/>
      <c r="D2159" s="11">
        <v>38782853</v>
      </c>
      <c r="E2159" s="11">
        <v>27473294</v>
      </c>
    </row>
    <row r="2160" spans="1:5" x14ac:dyDescent="0.25">
      <c r="A2160" s="11" t="s">
        <v>1629</v>
      </c>
      <c r="B2160" s="11"/>
      <c r="C2160" s="11"/>
      <c r="D2160" s="11">
        <v>36831684</v>
      </c>
      <c r="E2160" s="11">
        <v>25522125</v>
      </c>
    </row>
    <row r="2161" spans="1:5" x14ac:dyDescent="0.25">
      <c r="A2161" s="11" t="s">
        <v>1630</v>
      </c>
      <c r="B2161" s="11"/>
      <c r="C2161" s="11"/>
      <c r="D2161" s="11">
        <v>1951169</v>
      </c>
      <c r="E2161" s="11">
        <v>1951169</v>
      </c>
    </row>
    <row r="2162" spans="1:5" x14ac:dyDescent="0.25">
      <c r="A2162" s="11" t="s">
        <v>1631</v>
      </c>
      <c r="B2162" s="11"/>
      <c r="C2162" s="11"/>
      <c r="D2162" s="11">
        <v>6590153</v>
      </c>
      <c r="E2162" s="11">
        <v>6014682</v>
      </c>
    </row>
    <row r="2163" spans="1:5" x14ac:dyDescent="0.25">
      <c r="A2163" s="11" t="s">
        <v>1632</v>
      </c>
      <c r="B2163" s="11"/>
      <c r="C2163" s="11"/>
      <c r="D2163" s="11">
        <v>4335672</v>
      </c>
      <c r="E2163" s="11">
        <v>4338741</v>
      </c>
    </row>
    <row r="2164" spans="1:5" x14ac:dyDescent="0.25">
      <c r="A2164" s="11" t="s">
        <v>1633</v>
      </c>
      <c r="B2164" s="11"/>
      <c r="C2164" s="11"/>
      <c r="D2164" s="11">
        <v>2254481</v>
      </c>
      <c r="E2164" s="11">
        <v>1675941</v>
      </c>
    </row>
    <row r="2165" spans="1:5" x14ac:dyDescent="0.25">
      <c r="A2165" s="11" t="s">
        <v>1634</v>
      </c>
      <c r="B2165" s="11"/>
      <c r="C2165" s="11"/>
      <c r="D2165" s="11">
        <v>6910719</v>
      </c>
      <c r="E2165" s="11">
        <v>11309559</v>
      </c>
    </row>
    <row r="2166" spans="1:5" x14ac:dyDescent="0.25">
      <c r="A2166" s="11" t="s">
        <v>1635</v>
      </c>
      <c r="B2166" s="11"/>
      <c r="C2166" s="11"/>
      <c r="D2166" s="11">
        <v>6907650</v>
      </c>
      <c r="E2166" s="11">
        <v>11276799</v>
      </c>
    </row>
    <row r="2167" spans="1:5" x14ac:dyDescent="0.25">
      <c r="A2167" s="11" t="s">
        <v>1636</v>
      </c>
      <c r="B2167" s="11"/>
      <c r="C2167" s="11"/>
      <c r="D2167" s="11">
        <v>3069</v>
      </c>
      <c r="E2167" s="11">
        <v>32760</v>
      </c>
    </row>
    <row r="2168" spans="1:5" x14ac:dyDescent="0.25">
      <c r="A2168" s="11" t="s">
        <v>1637</v>
      </c>
      <c r="B2168" s="11"/>
      <c r="C2168" s="11"/>
      <c r="D2168" s="11">
        <v>1128482574</v>
      </c>
      <c r="E2168" s="11">
        <v>1110426079</v>
      </c>
    </row>
    <row r="2169" spans="1:5" x14ac:dyDescent="0.25">
      <c r="A2169" s="11" t="s">
        <v>1638</v>
      </c>
      <c r="B2169" s="11"/>
      <c r="C2169" s="11"/>
      <c r="D2169" s="11">
        <v>225131328</v>
      </c>
      <c r="E2169" s="11">
        <v>236364891</v>
      </c>
    </row>
    <row r="2170" spans="1:5" x14ac:dyDescent="0.25">
      <c r="A2170" s="11" t="s">
        <v>1639</v>
      </c>
      <c r="B2170" s="11"/>
      <c r="C2170" s="11"/>
      <c r="D2170" s="11">
        <v>1353613902</v>
      </c>
      <c r="E2170" s="11">
        <v>1346790970</v>
      </c>
    </row>
    <row r="2171" spans="1:5" x14ac:dyDescent="0.25">
      <c r="A2171" s="11" t="s">
        <v>1640</v>
      </c>
      <c r="B2171" s="11"/>
      <c r="C2171" s="11"/>
      <c r="D2171" s="11">
        <v>23848614</v>
      </c>
      <c r="E2171" s="11">
        <v>26918496</v>
      </c>
    </row>
    <row r="2172" spans="1:5" x14ac:dyDescent="0.25">
      <c r="A2172" s="11" t="s">
        <v>1641</v>
      </c>
      <c r="B2172" s="11"/>
      <c r="C2172" s="11"/>
      <c r="D2172" s="11">
        <v>5900488</v>
      </c>
      <c r="E2172" s="11">
        <v>6031298</v>
      </c>
    </row>
    <row r="2173" spans="1:5" x14ac:dyDescent="0.25">
      <c r="A2173" s="11" t="s">
        <v>1642</v>
      </c>
      <c r="B2173" s="11"/>
      <c r="C2173" s="11"/>
      <c r="D2173" s="11">
        <v>16320740</v>
      </c>
      <c r="E2173" s="11">
        <v>18640895</v>
      </c>
    </row>
    <row r="2174" spans="1:5" x14ac:dyDescent="0.25">
      <c r="A2174" s="11" t="s">
        <v>1643</v>
      </c>
      <c r="B2174" s="11"/>
      <c r="C2174" s="11"/>
      <c r="D2174" s="11">
        <v>1627386</v>
      </c>
      <c r="E2174" s="11">
        <v>2246303</v>
      </c>
    </row>
    <row r="2175" spans="1:5" x14ac:dyDescent="0.25">
      <c r="A2175" s="11" t="s">
        <v>1644</v>
      </c>
      <c r="B2175" s="11"/>
      <c r="C2175" s="11"/>
      <c r="D2175" s="11">
        <v>9625145</v>
      </c>
      <c r="E2175" s="11">
        <v>10235348</v>
      </c>
    </row>
    <row r="2176" spans="1:5" x14ac:dyDescent="0.25">
      <c r="A2176" s="11" t="s">
        <v>1645</v>
      </c>
      <c r="B2176" s="11"/>
      <c r="C2176" s="11"/>
      <c r="D2176" s="11">
        <v>251487</v>
      </c>
      <c r="E2176" s="11">
        <v>320458</v>
      </c>
    </row>
    <row r="2177" spans="1:5" x14ac:dyDescent="0.25">
      <c r="A2177" s="11" t="s">
        <v>1646</v>
      </c>
      <c r="B2177" s="11"/>
      <c r="C2177" s="11"/>
      <c r="D2177" s="11">
        <v>3636906</v>
      </c>
      <c r="E2177" s="11">
        <v>3705040</v>
      </c>
    </row>
    <row r="2178" spans="1:5" x14ac:dyDescent="0.25">
      <c r="A2178" s="11" t="s">
        <v>1647</v>
      </c>
      <c r="B2178" s="11"/>
      <c r="C2178" s="11"/>
      <c r="D2178" s="11">
        <v>5736752</v>
      </c>
      <c r="E2178" s="11">
        <v>6209850</v>
      </c>
    </row>
    <row r="2179" spans="1:5" x14ac:dyDescent="0.25">
      <c r="A2179" s="11" t="s">
        <v>1648</v>
      </c>
      <c r="B2179" s="11"/>
      <c r="C2179" s="11"/>
      <c r="D2179" s="11">
        <v>14223469</v>
      </c>
      <c r="E2179" s="11">
        <v>16683148</v>
      </c>
    </row>
    <row r="2180" spans="1:5" x14ac:dyDescent="0.25">
      <c r="A2180" s="11" t="s">
        <v>1649</v>
      </c>
      <c r="B2180" s="11"/>
      <c r="C2180" s="11"/>
      <c r="D2180" s="11">
        <v>9692371</v>
      </c>
      <c r="E2180" s="11">
        <v>9424244</v>
      </c>
    </row>
    <row r="2181" spans="1:5" x14ac:dyDescent="0.25">
      <c r="A2181" s="11" t="s">
        <v>1650</v>
      </c>
      <c r="B2181" s="11"/>
      <c r="C2181" s="11"/>
      <c r="D2181" s="11">
        <v>7038471</v>
      </c>
      <c r="E2181" s="11">
        <v>7026112</v>
      </c>
    </row>
    <row r="2182" spans="1:5" x14ac:dyDescent="0.25">
      <c r="A2182" s="11" t="s">
        <v>1651</v>
      </c>
      <c r="B2182" s="11"/>
      <c r="C2182" s="11"/>
      <c r="D2182" s="11">
        <v>1666212</v>
      </c>
      <c r="E2182" s="11">
        <v>1799720</v>
      </c>
    </row>
    <row r="2183" spans="1:5" x14ac:dyDescent="0.25">
      <c r="A2183" s="11" t="s">
        <v>1652</v>
      </c>
      <c r="B2183" s="11"/>
      <c r="C2183" s="11"/>
      <c r="D2183" s="11">
        <v>987688</v>
      </c>
      <c r="E2183" s="11">
        <v>598412</v>
      </c>
    </row>
    <row r="2184" spans="1:5" x14ac:dyDescent="0.25">
      <c r="A2184" s="11" t="s">
        <v>1653</v>
      </c>
      <c r="B2184" s="11"/>
      <c r="C2184" s="11"/>
      <c r="D2184" s="11">
        <v>2144463</v>
      </c>
      <c r="E2184" s="11">
        <v>2165943</v>
      </c>
    </row>
    <row r="2185" spans="1:5" x14ac:dyDescent="0.25">
      <c r="A2185" s="11" t="s">
        <v>1654</v>
      </c>
      <c r="B2185" s="11"/>
      <c r="C2185" s="11"/>
      <c r="D2185" s="11">
        <v>1119734</v>
      </c>
      <c r="E2185" s="11">
        <v>1234036</v>
      </c>
    </row>
    <row r="2186" spans="1:5" x14ac:dyDescent="0.25">
      <c r="A2186" s="11" t="s">
        <v>1655</v>
      </c>
      <c r="B2186" s="11"/>
      <c r="C2186" s="11"/>
      <c r="D2186" s="11">
        <v>104734</v>
      </c>
      <c r="E2186" s="11">
        <v>108598</v>
      </c>
    </row>
    <row r="2187" spans="1:5" x14ac:dyDescent="0.25">
      <c r="A2187" s="11" t="s">
        <v>1656</v>
      </c>
      <c r="B2187" s="11"/>
      <c r="C2187" s="11"/>
      <c r="D2187" s="11">
        <v>919995</v>
      </c>
      <c r="E2187" s="11">
        <v>823309</v>
      </c>
    </row>
    <row r="2188" spans="1:5" x14ac:dyDescent="0.25">
      <c r="A2188" s="11" t="s">
        <v>1657</v>
      </c>
      <c r="B2188" s="11"/>
      <c r="C2188" s="11"/>
      <c r="D2188" s="11">
        <v>7547908</v>
      </c>
      <c r="E2188" s="11">
        <v>7258301</v>
      </c>
    </row>
    <row r="2189" spans="1:5" x14ac:dyDescent="0.25">
      <c r="A2189" s="11" t="s">
        <v>1658</v>
      </c>
      <c r="B2189" s="11"/>
      <c r="C2189" s="11"/>
      <c r="D2189" s="11">
        <v>0</v>
      </c>
      <c r="E2189" s="11">
        <v>66537</v>
      </c>
    </row>
    <row r="2190" spans="1:5" x14ac:dyDescent="0.25">
      <c r="A2190" s="11" t="s">
        <v>1937</v>
      </c>
      <c r="B2190" s="11"/>
      <c r="C2190" s="11"/>
      <c r="D2190" s="11">
        <v>0</v>
      </c>
      <c r="E2190" s="11">
        <v>66537</v>
      </c>
    </row>
    <row r="2191" spans="1:5" x14ac:dyDescent="0.25">
      <c r="A2191" s="11" t="s">
        <v>1659</v>
      </c>
      <c r="B2191" s="11"/>
      <c r="C2191" s="11"/>
      <c r="D2191" s="11">
        <v>0</v>
      </c>
      <c r="E2191" s="11">
        <v>66537</v>
      </c>
    </row>
    <row r="2192" spans="1:5" x14ac:dyDescent="0.25">
      <c r="A2192" s="11" t="s">
        <v>1660</v>
      </c>
      <c r="B2192" s="11"/>
      <c r="C2192" s="11"/>
      <c r="D2192" s="11">
        <v>21771377</v>
      </c>
      <c r="E2192" s="11">
        <v>24007986</v>
      </c>
    </row>
    <row r="2193" spans="1:5" x14ac:dyDescent="0.25">
      <c r="A2193" s="11" t="s">
        <v>1661</v>
      </c>
      <c r="B2193" s="11"/>
      <c r="C2193" s="11"/>
      <c r="D2193" s="11">
        <v>15590038</v>
      </c>
      <c r="E2193" s="11">
        <v>22119864</v>
      </c>
    </row>
    <row r="2194" spans="1:5" x14ac:dyDescent="0.25">
      <c r="A2194" s="11" t="s">
        <v>1662</v>
      </c>
      <c r="B2194" s="11"/>
      <c r="C2194" s="11"/>
      <c r="D2194" s="11">
        <v>14518454</v>
      </c>
      <c r="E2194" s="11">
        <v>17231533</v>
      </c>
    </row>
    <row r="2195" spans="1:5" x14ac:dyDescent="0.25">
      <c r="A2195" s="11" t="s">
        <v>1663</v>
      </c>
      <c r="B2195" s="11"/>
      <c r="C2195" s="11"/>
      <c r="D2195" s="11">
        <v>646410</v>
      </c>
      <c r="E2195" s="11">
        <v>4555279</v>
      </c>
    </row>
    <row r="2196" spans="1:5" x14ac:dyDescent="0.25">
      <c r="A2196" s="11" t="s">
        <v>1664</v>
      </c>
      <c r="B2196" s="11"/>
      <c r="C2196" s="11"/>
      <c r="D2196" s="11">
        <v>316378</v>
      </c>
      <c r="E2196" s="11">
        <v>242585</v>
      </c>
    </row>
    <row r="2197" spans="1:5" x14ac:dyDescent="0.25">
      <c r="A2197" s="11" t="s">
        <v>1665</v>
      </c>
      <c r="B2197" s="11"/>
      <c r="C2197" s="11"/>
      <c r="D2197" s="11">
        <v>35663</v>
      </c>
      <c r="E2197" s="11">
        <v>14124</v>
      </c>
    </row>
    <row r="2198" spans="1:5" x14ac:dyDescent="0.25">
      <c r="A2198" s="11" t="s">
        <v>1666</v>
      </c>
      <c r="B2198" s="11"/>
      <c r="C2198" s="11"/>
      <c r="D2198" s="11">
        <v>18028</v>
      </c>
      <c r="E2198" s="11">
        <v>15627</v>
      </c>
    </row>
    <row r="2199" spans="1:5" x14ac:dyDescent="0.25">
      <c r="A2199" s="11" t="s">
        <v>1667</v>
      </c>
      <c r="B2199" s="11"/>
      <c r="C2199" s="11"/>
      <c r="D2199" s="11">
        <v>32797300</v>
      </c>
      <c r="E2199" s="11">
        <v>40708051</v>
      </c>
    </row>
    <row r="2200" spans="1:5" x14ac:dyDescent="0.25">
      <c r="A2200" s="11" t="s">
        <v>1668</v>
      </c>
      <c r="B2200" s="11"/>
      <c r="C2200" s="11"/>
      <c r="D2200" s="11">
        <v>19762725</v>
      </c>
      <c r="E2200" s="11">
        <v>21501765</v>
      </c>
    </row>
    <row r="2201" spans="1:5" x14ac:dyDescent="0.25">
      <c r="A2201" s="11" t="s">
        <v>1669</v>
      </c>
      <c r="B2201" s="11"/>
      <c r="C2201" s="11"/>
      <c r="D2201" s="11">
        <v>325762</v>
      </c>
      <c r="E2201" s="11">
        <v>5364329</v>
      </c>
    </row>
    <row r="2202" spans="1:5" x14ac:dyDescent="0.25">
      <c r="A2202" s="11" t="s">
        <v>1670</v>
      </c>
      <c r="B2202" s="11"/>
      <c r="C2202" s="11"/>
      <c r="D2202" s="11">
        <v>0</v>
      </c>
      <c r="E2202" s="11">
        <v>125550</v>
      </c>
    </row>
    <row r="2203" spans="1:5" x14ac:dyDescent="0.25">
      <c r="A2203" s="11" t="s">
        <v>1671</v>
      </c>
      <c r="B2203" s="11"/>
      <c r="C2203" s="11"/>
      <c r="D2203" s="11">
        <v>5982280</v>
      </c>
      <c r="E2203" s="11">
        <v>6075939</v>
      </c>
    </row>
    <row r="2204" spans="1:5" x14ac:dyDescent="0.25">
      <c r="A2204" s="11" t="s">
        <v>1672</v>
      </c>
      <c r="B2204" s="11"/>
      <c r="C2204" s="11"/>
      <c r="D2204" s="11">
        <v>54615</v>
      </c>
      <c r="E2204" s="11">
        <v>46634</v>
      </c>
    </row>
    <row r="2205" spans="1:5" x14ac:dyDescent="0.25">
      <c r="A2205" s="11" t="s">
        <v>1673</v>
      </c>
      <c r="B2205" s="11"/>
      <c r="C2205" s="11"/>
      <c r="D2205" s="11">
        <v>1135787</v>
      </c>
      <c r="E2205" s="11">
        <v>1856682</v>
      </c>
    </row>
    <row r="2206" spans="1:5" x14ac:dyDescent="0.25">
      <c r="A2206" s="11" t="s">
        <v>1674</v>
      </c>
      <c r="B2206" s="11"/>
      <c r="C2206" s="11"/>
      <c r="D2206" s="11">
        <v>539522</v>
      </c>
      <c r="E2206" s="11">
        <v>649117</v>
      </c>
    </row>
    <row r="2207" spans="1:5" x14ac:dyDescent="0.25">
      <c r="A2207" s="11" t="s">
        <v>1675</v>
      </c>
      <c r="B2207" s="11"/>
      <c r="C2207" s="11"/>
      <c r="D2207" s="11">
        <v>888957</v>
      </c>
      <c r="E2207" s="11">
        <v>1016504</v>
      </c>
    </row>
    <row r="2208" spans="1:5" x14ac:dyDescent="0.25">
      <c r="A2208" s="11" t="s">
        <v>1676</v>
      </c>
      <c r="B2208" s="11"/>
      <c r="C2208" s="11"/>
      <c r="D2208" s="11">
        <v>1139036</v>
      </c>
      <c r="E2208" s="11">
        <v>1283978</v>
      </c>
    </row>
    <row r="2209" spans="1:5" x14ac:dyDescent="0.25">
      <c r="A2209" s="11" t="s">
        <v>1677</v>
      </c>
      <c r="B2209" s="11"/>
      <c r="C2209" s="11"/>
      <c r="D2209" s="11">
        <v>386073</v>
      </c>
      <c r="E2209" s="11">
        <v>357430</v>
      </c>
    </row>
    <row r="2210" spans="1:5" x14ac:dyDescent="0.25">
      <c r="A2210" s="11" t="s">
        <v>1678</v>
      </c>
      <c r="B2210" s="11"/>
      <c r="C2210" s="11"/>
      <c r="D2210" s="11">
        <v>1671567</v>
      </c>
      <c r="E2210" s="11">
        <v>1597976</v>
      </c>
    </row>
    <row r="2211" spans="1:5" x14ac:dyDescent="0.25">
      <c r="A2211" s="11" t="s">
        <v>1679</v>
      </c>
      <c r="B2211" s="11"/>
      <c r="C2211" s="11"/>
      <c r="D2211" s="11">
        <v>904269</v>
      </c>
      <c r="E2211" s="11">
        <v>828892</v>
      </c>
    </row>
    <row r="2212" spans="1:5" x14ac:dyDescent="0.25">
      <c r="A2212" s="11" t="s">
        <v>1680</v>
      </c>
      <c r="B2212" s="11"/>
      <c r="C2212" s="11"/>
      <c r="D2212" s="11">
        <v>6707</v>
      </c>
      <c r="E2212" s="11">
        <v>3255</v>
      </c>
    </row>
    <row r="2213" spans="1:5" x14ac:dyDescent="0.25">
      <c r="A2213" s="11" t="s">
        <v>1681</v>
      </c>
      <c r="B2213" s="11"/>
      <c r="C2213" s="11"/>
      <c r="D2213" s="11">
        <v>17207262</v>
      </c>
      <c r="E2213" s="11">
        <v>18588187</v>
      </c>
    </row>
    <row r="2214" spans="1:5" x14ac:dyDescent="0.25">
      <c r="A2214" s="11" t="s">
        <v>1682</v>
      </c>
      <c r="B2214" s="11"/>
      <c r="C2214" s="11"/>
      <c r="D2214" s="11">
        <v>2435259</v>
      </c>
      <c r="E2214" s="11">
        <v>470306</v>
      </c>
    </row>
    <row r="2215" spans="1:5" x14ac:dyDescent="0.25">
      <c r="A2215" s="11" t="s">
        <v>1683</v>
      </c>
      <c r="B2215" s="11"/>
      <c r="C2215" s="11"/>
      <c r="D2215" s="11">
        <v>2235286</v>
      </c>
      <c r="E2215" s="11">
        <v>306560</v>
      </c>
    </row>
    <row r="2216" spans="1:5" x14ac:dyDescent="0.25">
      <c r="A2216" s="11" t="s">
        <v>1684</v>
      </c>
      <c r="B2216" s="11"/>
      <c r="C2216" s="11"/>
      <c r="D2216" s="11">
        <v>60312</v>
      </c>
      <c r="E2216" s="11">
        <v>17273</v>
      </c>
    </row>
    <row r="2217" spans="1:5" x14ac:dyDescent="0.25">
      <c r="A2217" s="11" t="s">
        <v>1685</v>
      </c>
      <c r="B2217" s="11"/>
      <c r="C2217" s="11"/>
      <c r="D2217" s="11">
        <v>83710</v>
      </c>
      <c r="E2217" s="11">
        <v>123157</v>
      </c>
    </row>
    <row r="2218" spans="1:5" x14ac:dyDescent="0.25">
      <c r="A2218" s="11" t="s">
        <v>1686</v>
      </c>
      <c r="B2218" s="11"/>
      <c r="C2218" s="11"/>
      <c r="D2218" s="11">
        <v>38768</v>
      </c>
      <c r="E2218" s="11">
        <v>1127</v>
      </c>
    </row>
    <row r="2219" spans="1:5" x14ac:dyDescent="0.25">
      <c r="A2219" s="11" t="s">
        <v>1985</v>
      </c>
      <c r="B2219" s="11"/>
      <c r="C2219" s="11"/>
      <c r="D2219" s="11">
        <v>8490</v>
      </c>
      <c r="E2219" s="11">
        <v>0</v>
      </c>
    </row>
    <row r="2220" spans="1:5" x14ac:dyDescent="0.25">
      <c r="A2220" s="11" t="s">
        <v>1687</v>
      </c>
      <c r="B2220" s="11"/>
      <c r="C2220" s="11"/>
      <c r="D2220" s="11">
        <v>8693</v>
      </c>
      <c r="E2220" s="11">
        <v>22189</v>
      </c>
    </row>
    <row r="2221" spans="1:5" x14ac:dyDescent="0.25">
      <c r="A2221" s="11" t="s">
        <v>1688</v>
      </c>
      <c r="B2221" s="11"/>
      <c r="C2221" s="11"/>
      <c r="D2221" s="11">
        <v>20856</v>
      </c>
      <c r="E2221" s="11">
        <v>19726</v>
      </c>
    </row>
    <row r="2222" spans="1:5" x14ac:dyDescent="0.25">
      <c r="A2222" s="11" t="s">
        <v>1689</v>
      </c>
      <c r="B2222" s="11"/>
      <c r="C2222" s="11"/>
      <c r="D2222" s="11">
        <v>2400</v>
      </c>
      <c r="E2222" s="11">
        <v>5582</v>
      </c>
    </row>
    <row r="2223" spans="1:5" x14ac:dyDescent="0.25">
      <c r="A2223" s="11" t="s">
        <v>1690</v>
      </c>
      <c r="B2223" s="11"/>
      <c r="C2223" s="11"/>
      <c r="D2223" s="11">
        <v>3082</v>
      </c>
      <c r="E2223" s="11">
        <v>484</v>
      </c>
    </row>
    <row r="2224" spans="1:5" x14ac:dyDescent="0.25">
      <c r="A2224" s="11" t="s">
        <v>1691</v>
      </c>
      <c r="B2224" s="11"/>
      <c r="C2224" s="11"/>
      <c r="D2224" s="11">
        <v>15374</v>
      </c>
      <c r="E2224" s="11">
        <v>13660</v>
      </c>
    </row>
    <row r="2225" spans="1:5" x14ac:dyDescent="0.25">
      <c r="A2225" s="11" t="s">
        <v>1692</v>
      </c>
      <c r="B2225" s="11"/>
      <c r="C2225" s="11"/>
      <c r="D2225" s="11">
        <v>2414403</v>
      </c>
      <c r="E2225" s="11">
        <v>450580</v>
      </c>
    </row>
    <row r="2226" spans="1:5" x14ac:dyDescent="0.25">
      <c r="A2226" s="11" t="s">
        <v>1693</v>
      </c>
      <c r="B2226" s="11"/>
      <c r="C2226" s="11"/>
      <c r="D2226" s="11">
        <v>6978518</v>
      </c>
      <c r="E2226" s="11">
        <v>5870379</v>
      </c>
    </row>
    <row r="2227" spans="1:5" x14ac:dyDescent="0.25">
      <c r="A2227" s="11" t="s">
        <v>1694</v>
      </c>
      <c r="B2227" s="11"/>
      <c r="C2227" s="11"/>
      <c r="D2227" s="11">
        <v>3105439</v>
      </c>
      <c r="E2227" s="11">
        <v>2563723</v>
      </c>
    </row>
    <row r="2228" spans="1:5" x14ac:dyDescent="0.25">
      <c r="A2228" s="11" t="s">
        <v>1695</v>
      </c>
      <c r="B2228" s="11"/>
      <c r="C2228" s="11"/>
      <c r="D2228" s="11">
        <v>0</v>
      </c>
      <c r="E2228" s="11">
        <v>4799</v>
      </c>
    </row>
    <row r="2229" spans="1:5" x14ac:dyDescent="0.25">
      <c r="A2229" s="11" t="s">
        <v>1696</v>
      </c>
      <c r="B2229" s="11"/>
      <c r="C2229" s="11"/>
      <c r="D2229" s="11">
        <v>3105439</v>
      </c>
      <c r="E2229" s="11">
        <v>2558924</v>
      </c>
    </row>
    <row r="2230" spans="1:5" x14ac:dyDescent="0.25">
      <c r="A2230" s="11" t="s">
        <v>1697</v>
      </c>
      <c r="B2230" s="11"/>
      <c r="C2230" s="11"/>
      <c r="D2230" s="11">
        <v>2435634</v>
      </c>
      <c r="E2230" s="11">
        <v>1613397</v>
      </c>
    </row>
    <row r="2231" spans="1:5" x14ac:dyDescent="0.25">
      <c r="A2231" s="11" t="s">
        <v>1698</v>
      </c>
      <c r="B2231" s="11"/>
      <c r="C2231" s="11"/>
      <c r="D2231" s="11">
        <v>0</v>
      </c>
      <c r="E2231" s="11">
        <v>7635</v>
      </c>
    </row>
    <row r="2232" spans="1:5" x14ac:dyDescent="0.25">
      <c r="A2232" s="11" t="s">
        <v>1699</v>
      </c>
      <c r="B2232" s="11"/>
      <c r="C2232" s="11"/>
      <c r="D2232" s="11">
        <v>2435634</v>
      </c>
      <c r="E2232" s="11">
        <v>1605762</v>
      </c>
    </row>
    <row r="2233" spans="1:5" x14ac:dyDescent="0.25">
      <c r="A2233" s="11" t="s">
        <v>1700</v>
      </c>
      <c r="B2233" s="11"/>
      <c r="C2233" s="11"/>
      <c r="D2233" s="11">
        <v>669805</v>
      </c>
      <c r="E2233" s="11">
        <v>950326</v>
      </c>
    </row>
    <row r="2234" spans="1:5" x14ac:dyDescent="0.25">
      <c r="A2234" s="11" t="s">
        <v>1701</v>
      </c>
      <c r="B2234" s="11"/>
      <c r="C2234" s="11"/>
      <c r="D2234" s="11">
        <v>7648323</v>
      </c>
      <c r="E2234" s="11">
        <v>6820705</v>
      </c>
    </row>
    <row r="2235" spans="1:5" x14ac:dyDescent="0.25">
      <c r="A2235" s="11" t="s">
        <v>1702</v>
      </c>
      <c r="B2235" s="11"/>
      <c r="C2235" s="11"/>
      <c r="D2235" s="11">
        <v>764832</v>
      </c>
      <c r="E2235" s="11">
        <v>682070</v>
      </c>
    </row>
    <row r="2236" spans="1:5" x14ac:dyDescent="0.25">
      <c r="A2236" s="11" t="s">
        <v>1703</v>
      </c>
      <c r="B2236" s="11"/>
      <c r="C2236" s="11"/>
      <c r="D2236" s="11">
        <v>53573</v>
      </c>
      <c r="E2236" s="11">
        <v>37041</v>
      </c>
    </row>
    <row r="2237" spans="1:5" x14ac:dyDescent="0.25">
      <c r="A2237" s="11" t="s">
        <v>1704</v>
      </c>
      <c r="B2237" s="11"/>
      <c r="C2237" s="11"/>
      <c r="D2237" s="11">
        <v>29414</v>
      </c>
      <c r="E2237" s="11">
        <v>14736</v>
      </c>
    </row>
    <row r="2238" spans="1:5" x14ac:dyDescent="0.25">
      <c r="A2238" s="11" t="s">
        <v>1705</v>
      </c>
      <c r="B2238" s="11"/>
      <c r="C2238" s="11"/>
      <c r="D2238" s="11">
        <v>6907650</v>
      </c>
      <c r="E2238" s="11">
        <v>6160940</v>
      </c>
    </row>
    <row r="2239" spans="1:5" x14ac:dyDescent="0.25">
      <c r="A2239" s="11" t="s">
        <v>1706</v>
      </c>
      <c r="B2239" s="11"/>
      <c r="C2239" s="11"/>
      <c r="D2239" s="11">
        <v>645891</v>
      </c>
      <c r="E2239" s="11">
        <v>634555</v>
      </c>
    </row>
    <row r="2240" spans="1:5" x14ac:dyDescent="0.25">
      <c r="A2240" s="11" t="s">
        <v>1707</v>
      </c>
      <c r="B2240" s="11"/>
      <c r="C2240" s="11"/>
      <c r="D2240" s="11">
        <v>3069</v>
      </c>
      <c r="E2240" s="11">
        <v>5387</v>
      </c>
    </row>
    <row r="2241" spans="1:5" x14ac:dyDescent="0.25">
      <c r="A2241" s="11" t="s">
        <v>1986</v>
      </c>
      <c r="B2241" s="11"/>
      <c r="C2241" s="11"/>
      <c r="D2241" s="11">
        <v>642822</v>
      </c>
      <c r="E2241" s="11">
        <v>629168</v>
      </c>
    </row>
    <row r="2242" spans="1:5" x14ac:dyDescent="0.25">
      <c r="A2242" s="11" t="s">
        <v>1708</v>
      </c>
      <c r="B2242" s="11"/>
      <c r="C2242" s="11"/>
      <c r="D2242" s="11">
        <v>3069</v>
      </c>
      <c r="E2242" s="11">
        <v>5387</v>
      </c>
    </row>
    <row r="2243" spans="1:5" x14ac:dyDescent="0.25">
      <c r="A2243" s="11" t="s">
        <v>1709</v>
      </c>
      <c r="B2243" s="11"/>
      <c r="C2243" s="11"/>
      <c r="D2243" s="11">
        <v>3069</v>
      </c>
      <c r="E2243" s="11">
        <v>5387</v>
      </c>
    </row>
    <row r="2244" spans="1:5" x14ac:dyDescent="0.25">
      <c r="A2244" s="11" t="s">
        <v>1710</v>
      </c>
      <c r="B2244" s="11"/>
      <c r="C2244" s="11"/>
      <c r="D2244" s="11">
        <v>642822</v>
      </c>
      <c r="E2244" s="11">
        <v>629168</v>
      </c>
    </row>
    <row r="2245" spans="1:5" x14ac:dyDescent="0.25">
      <c r="A2245" s="11" t="s">
        <v>1987</v>
      </c>
      <c r="B2245" s="11"/>
      <c r="C2245" s="11"/>
      <c r="D2245" s="11">
        <v>64282</v>
      </c>
      <c r="E2245" s="11">
        <v>62916</v>
      </c>
    </row>
    <row r="2246" spans="1:5" x14ac:dyDescent="0.25">
      <c r="A2246" s="11" t="s">
        <v>1711</v>
      </c>
      <c r="B2246" s="11"/>
      <c r="C2246" s="11"/>
      <c r="D2246" s="11">
        <v>578540</v>
      </c>
      <c r="E2246" s="11">
        <v>566252</v>
      </c>
    </row>
    <row r="2247" spans="1:5" x14ac:dyDescent="0.25">
      <c r="A2247" s="11" t="s">
        <v>1712</v>
      </c>
      <c r="B2247" s="11"/>
      <c r="C2247" s="11"/>
      <c r="D2247" s="11">
        <v>7486190</v>
      </c>
      <c r="E2247" s="11">
        <v>6727192</v>
      </c>
    </row>
    <row r="2248" spans="1:5" x14ac:dyDescent="0.25">
      <c r="A2248" s="11" t="s">
        <v>1713</v>
      </c>
      <c r="B2248" s="11"/>
      <c r="C2248" s="11"/>
      <c r="D2248" s="11">
        <v>223</v>
      </c>
      <c r="E2248" s="11">
        <v>198</v>
      </c>
    </row>
    <row r="2249" spans="1:5" x14ac:dyDescent="0.25">
      <c r="A2249" s="11" t="s">
        <v>1714</v>
      </c>
      <c r="B2249" s="11"/>
      <c r="C2249" s="11"/>
      <c r="D2249" s="11">
        <v>492</v>
      </c>
      <c r="E2249" s="11">
        <v>486</v>
      </c>
    </row>
    <row r="2250" spans="1:5" x14ac:dyDescent="0.25">
      <c r="A2250" s="11" t="s">
        <v>1715</v>
      </c>
      <c r="B2250" s="11"/>
      <c r="C2250" s="11"/>
      <c r="D2250" s="11">
        <v>491</v>
      </c>
      <c r="E2250" s="11">
        <v>505</v>
      </c>
    </row>
    <row r="2251" spans="1:5" x14ac:dyDescent="0.25">
      <c r="A2251" s="11" t="s">
        <v>1716</v>
      </c>
      <c r="B2251" s="11"/>
      <c r="C2251" s="11"/>
      <c r="D2251" s="11">
        <v>55105</v>
      </c>
      <c r="E2251" s="11">
        <v>60716</v>
      </c>
    </row>
    <row r="2252" spans="1:5" x14ac:dyDescent="0.25">
      <c r="A2252" s="93" t="s">
        <v>2487</v>
      </c>
      <c r="B2252" s="93"/>
      <c r="C2252" s="93"/>
      <c r="D2252" s="93">
        <v>3069</v>
      </c>
      <c r="E2252" s="93">
        <v>5387</v>
      </c>
    </row>
    <row r="2253" spans="1:5" x14ac:dyDescent="0.25">
      <c r="A2253" s="93" t="s">
        <v>1717</v>
      </c>
      <c r="B2253" s="93"/>
      <c r="C2253" s="93"/>
      <c r="D2253" s="93">
        <v>33006</v>
      </c>
      <c r="E2253" s="93">
        <v>35420</v>
      </c>
    </row>
    <row r="2254" spans="1:5" x14ac:dyDescent="0.25">
      <c r="A2254" s="93" t="s">
        <v>1717</v>
      </c>
      <c r="B2254" s="93"/>
      <c r="C2254" s="93"/>
      <c r="D2254" s="93">
        <v>1014039069</v>
      </c>
      <c r="E2254" s="93">
        <v>1003468764</v>
      </c>
    </row>
    <row r="2255" spans="1:5" x14ac:dyDescent="0.25">
      <c r="A2255" s="93" t="s">
        <v>1717</v>
      </c>
      <c r="B2255" s="93"/>
      <c r="C2255" s="93"/>
      <c r="D2255" s="93">
        <v>23848614</v>
      </c>
      <c r="E2255" s="93">
        <v>26918496</v>
      </c>
    </row>
    <row r="2256" spans="1:5" x14ac:dyDescent="0.25">
      <c r="A2256" s="93" t="s">
        <v>1717</v>
      </c>
      <c r="B2256" s="93"/>
      <c r="C2256" s="93"/>
      <c r="D2256" s="93">
        <v>642822</v>
      </c>
      <c r="E2256" s="93">
        <v>629168</v>
      </c>
    </row>
    <row r="2257" spans="1:5" x14ac:dyDescent="0.25">
      <c r="A2257" s="93" t="s">
        <v>1718</v>
      </c>
      <c r="B2257" s="93"/>
      <c r="C2257" s="93"/>
      <c r="D2257" s="93">
        <v>9434</v>
      </c>
      <c r="E2257" s="93">
        <v>9739</v>
      </c>
    </row>
    <row r="2258" spans="1:5" x14ac:dyDescent="0.25">
      <c r="A2258" s="93" t="s">
        <v>1718</v>
      </c>
      <c r="B2258" s="93"/>
      <c r="C2258" s="93"/>
      <c r="D2258" s="93">
        <v>956602897</v>
      </c>
      <c r="E2258" s="93">
        <v>947532978</v>
      </c>
    </row>
    <row r="2259" spans="1:5" x14ac:dyDescent="0.25">
      <c r="A2259" s="93" t="s">
        <v>1718</v>
      </c>
      <c r="B2259" s="93"/>
      <c r="C2259" s="93"/>
      <c r="D2259" s="93">
        <v>5900488</v>
      </c>
      <c r="E2259" s="93">
        <v>6031298</v>
      </c>
    </row>
    <row r="2260" spans="1:5" x14ac:dyDescent="0.25">
      <c r="A2260" s="93" t="s">
        <v>1719</v>
      </c>
      <c r="B2260" s="93"/>
      <c r="C2260" s="93"/>
      <c r="D2260" s="93">
        <v>2235</v>
      </c>
      <c r="E2260" s="93">
        <v>307</v>
      </c>
    </row>
    <row r="2261" spans="1:5" x14ac:dyDescent="0.25">
      <c r="A2261" s="93" t="s">
        <v>1719</v>
      </c>
      <c r="B2261" s="93"/>
      <c r="C2261" s="93"/>
      <c r="D2261" s="93">
        <v>280390121</v>
      </c>
      <c r="E2261" s="93">
        <v>340631052</v>
      </c>
    </row>
    <row r="2262" spans="1:5" x14ac:dyDescent="0.25">
      <c r="A2262" s="93" t="s">
        <v>1719</v>
      </c>
      <c r="B2262" s="93"/>
      <c r="C2262" s="93"/>
      <c r="D2262" s="93">
        <v>16320740</v>
      </c>
      <c r="E2262" s="93">
        <v>18640895</v>
      </c>
    </row>
    <row r="2263" spans="1:5" x14ac:dyDescent="0.25">
      <c r="A2263" s="93" t="s">
        <v>1720</v>
      </c>
      <c r="B2263" s="93"/>
      <c r="C2263" s="93"/>
      <c r="D2263" s="93">
        <v>12026</v>
      </c>
      <c r="E2263" s="93">
        <v>6310</v>
      </c>
    </row>
    <row r="2264" spans="1:5" x14ac:dyDescent="0.25">
      <c r="A2264" s="93" t="s">
        <v>1720</v>
      </c>
      <c r="B2264" s="93"/>
      <c r="C2264" s="93"/>
      <c r="D2264" s="93">
        <v>293224081</v>
      </c>
      <c r="E2264" s="93">
        <v>225105284</v>
      </c>
    </row>
    <row r="2265" spans="1:5" x14ac:dyDescent="0.25">
      <c r="A2265" s="93" t="s">
        <v>1720</v>
      </c>
      <c r="B2265" s="93"/>
      <c r="C2265" s="93"/>
      <c r="D2265" s="93">
        <v>1627386</v>
      </c>
      <c r="E2265" s="93">
        <v>2246303</v>
      </c>
    </row>
    <row r="2266" spans="1:5" x14ac:dyDescent="0.25">
      <c r="A2266" s="93" t="s">
        <v>2447</v>
      </c>
      <c r="B2266" s="93"/>
      <c r="C2266" s="93"/>
      <c r="D2266" s="93">
        <v>382988695</v>
      </c>
      <c r="E2266" s="93">
        <v>381796642</v>
      </c>
    </row>
    <row r="2267" spans="1:5" x14ac:dyDescent="0.25">
      <c r="A2267" s="93" t="s">
        <v>2447</v>
      </c>
      <c r="B2267" s="93"/>
      <c r="C2267" s="93"/>
      <c r="D2267" s="93">
        <v>9625145</v>
      </c>
      <c r="E2267" s="93">
        <v>10235348</v>
      </c>
    </row>
    <row r="2268" spans="1:5" x14ac:dyDescent="0.25">
      <c r="A2268" s="93" t="s">
        <v>2448</v>
      </c>
      <c r="B2268" s="93"/>
      <c r="C2268" s="93"/>
      <c r="D2268" s="93">
        <v>75281</v>
      </c>
      <c r="E2268" s="93">
        <v>44675</v>
      </c>
    </row>
    <row r="2269" spans="1:5" x14ac:dyDescent="0.25">
      <c r="A2269" s="93" t="s">
        <v>2448</v>
      </c>
      <c r="B2269" s="93"/>
      <c r="C2269" s="93"/>
      <c r="D2269" s="93">
        <v>251487</v>
      </c>
      <c r="E2269" s="93">
        <v>320458</v>
      </c>
    </row>
    <row r="2270" spans="1:5" x14ac:dyDescent="0.25">
      <c r="A2270" s="93" t="s">
        <v>2448</v>
      </c>
      <c r="B2270" s="93"/>
      <c r="C2270" s="93"/>
      <c r="D2270" s="93">
        <v>3069</v>
      </c>
      <c r="E2270" s="93">
        <v>5387</v>
      </c>
    </row>
    <row r="2271" spans="1:5" x14ac:dyDescent="0.25">
      <c r="A2271" s="93" t="s">
        <v>2449</v>
      </c>
      <c r="B2271" s="93"/>
      <c r="C2271" s="93"/>
      <c r="D2271" s="93">
        <v>74342</v>
      </c>
      <c r="E2271" s="93">
        <v>43609</v>
      </c>
    </row>
    <row r="2272" spans="1:5" x14ac:dyDescent="0.25">
      <c r="A2272" s="93" t="s">
        <v>2449</v>
      </c>
      <c r="B2272" s="93"/>
      <c r="C2272" s="93"/>
      <c r="D2272" s="93">
        <v>3636906</v>
      </c>
      <c r="E2272" s="93">
        <v>3705040</v>
      </c>
    </row>
    <row r="2273" spans="1:5" x14ac:dyDescent="0.25">
      <c r="A2273" s="93" t="s">
        <v>1721</v>
      </c>
      <c r="B2273" s="93"/>
      <c r="C2273" s="93"/>
      <c r="D2273" s="93">
        <v>-41157</v>
      </c>
      <c r="E2273" s="93">
        <v>-81123</v>
      </c>
    </row>
    <row r="2274" spans="1:5" x14ac:dyDescent="0.25">
      <c r="A2274" s="93" t="s">
        <v>1721</v>
      </c>
      <c r="B2274" s="93"/>
      <c r="C2274" s="93"/>
      <c r="D2274" s="93">
        <v>939</v>
      </c>
      <c r="E2274" s="93">
        <v>1066</v>
      </c>
    </row>
    <row r="2275" spans="1:5" x14ac:dyDescent="0.25">
      <c r="A2275" s="93" t="s">
        <v>1721</v>
      </c>
      <c r="B2275" s="93"/>
      <c r="C2275" s="93"/>
      <c r="D2275" s="93">
        <v>5736752</v>
      </c>
      <c r="E2275" s="93">
        <v>6209850</v>
      </c>
    </row>
    <row r="2276" spans="1:5" x14ac:dyDescent="0.25">
      <c r="A2276" s="93" t="s">
        <v>2456</v>
      </c>
      <c r="B2276" s="93"/>
      <c r="C2276" s="93"/>
      <c r="D2276" s="93">
        <v>14223469</v>
      </c>
      <c r="E2276" s="93">
        <v>16683148</v>
      </c>
    </row>
    <row r="2277" spans="1:5" x14ac:dyDescent="0.25">
      <c r="A2277" s="93" t="s">
        <v>1722</v>
      </c>
      <c r="B2277" s="93"/>
      <c r="C2277" s="93"/>
      <c r="D2277" s="93">
        <v>16193</v>
      </c>
      <c r="E2277" s="93">
        <v>-13968</v>
      </c>
    </row>
    <row r="2278" spans="1:5" x14ac:dyDescent="0.25">
      <c r="A2278" s="93" t="s">
        <v>1723</v>
      </c>
      <c r="B2278" s="93"/>
      <c r="C2278" s="93"/>
      <c r="D2278" s="93">
        <v>585</v>
      </c>
      <c r="E2278" s="93">
        <v>755</v>
      </c>
    </row>
    <row r="2279" spans="1:5" x14ac:dyDescent="0.25">
      <c r="A2279" s="93" t="s">
        <v>1723</v>
      </c>
      <c r="B2279" s="93"/>
      <c r="C2279" s="93"/>
      <c r="D2279" s="93">
        <v>1499683</v>
      </c>
      <c r="E2279" s="93">
        <v>1130550</v>
      </c>
    </row>
    <row r="2280" spans="1:5" x14ac:dyDescent="0.25">
      <c r="A2280" s="93" t="s">
        <v>1723</v>
      </c>
      <c r="B2280" s="93"/>
      <c r="C2280" s="93"/>
      <c r="D2280" s="93">
        <v>9692371</v>
      </c>
      <c r="E2280" s="93">
        <v>9424244</v>
      </c>
    </row>
    <row r="2281" spans="1:5" x14ac:dyDescent="0.25">
      <c r="A2281" s="93" t="s">
        <v>1723</v>
      </c>
      <c r="B2281" s="93"/>
      <c r="C2281" s="93"/>
      <c r="D2281" s="93">
        <v>3069</v>
      </c>
      <c r="E2281" s="93">
        <v>5387</v>
      </c>
    </row>
    <row r="2282" spans="1:5" x14ac:dyDescent="0.25">
      <c r="A2282" s="93" t="s">
        <v>1724</v>
      </c>
      <c r="B2282" s="93"/>
      <c r="C2282" s="93"/>
      <c r="D2282" s="93">
        <v>-11768</v>
      </c>
      <c r="E2282" s="93">
        <v>-76168</v>
      </c>
    </row>
    <row r="2283" spans="1:5" x14ac:dyDescent="0.25">
      <c r="A2283" s="93" t="s">
        <v>1724</v>
      </c>
      <c r="B2283" s="93"/>
      <c r="C2283" s="93"/>
      <c r="D2283" s="93">
        <v>1472911</v>
      </c>
      <c r="E2283" s="93">
        <v>1116420</v>
      </c>
    </row>
    <row r="2284" spans="1:5" x14ac:dyDescent="0.25">
      <c r="A2284" s="93" t="s">
        <v>1724</v>
      </c>
      <c r="B2284" s="93"/>
      <c r="C2284" s="93"/>
      <c r="D2284" s="93">
        <v>7038471</v>
      </c>
      <c r="E2284" s="93">
        <v>7026112</v>
      </c>
    </row>
    <row r="2285" spans="1:5" x14ac:dyDescent="0.25">
      <c r="A2285" s="93" t="s">
        <v>1724</v>
      </c>
      <c r="B2285" s="93"/>
      <c r="C2285" s="93"/>
      <c r="D2285" s="93">
        <v>642822</v>
      </c>
      <c r="E2285" s="93">
        <v>629168</v>
      </c>
    </row>
    <row r="2286" spans="1:5" x14ac:dyDescent="0.25">
      <c r="A2286" s="93" t="s">
        <v>2428</v>
      </c>
      <c r="B2286" s="93"/>
      <c r="C2286" s="93"/>
      <c r="D2286" s="93">
        <v>26772</v>
      </c>
      <c r="E2286" s="93">
        <v>14130</v>
      </c>
    </row>
    <row r="2287" spans="1:5" x14ac:dyDescent="0.25">
      <c r="A2287" s="93" t="s">
        <v>2428</v>
      </c>
      <c r="B2287" s="93"/>
      <c r="C2287" s="93"/>
      <c r="D2287" s="93">
        <v>57360891</v>
      </c>
      <c r="E2287" s="93">
        <v>55891111</v>
      </c>
    </row>
    <row r="2288" spans="1:5" x14ac:dyDescent="0.25">
      <c r="A2288" s="93" t="s">
        <v>2428</v>
      </c>
      <c r="B2288" s="93"/>
      <c r="C2288" s="93"/>
      <c r="D2288" s="93">
        <v>1666212</v>
      </c>
      <c r="E2288" s="93">
        <v>1799720</v>
      </c>
    </row>
    <row r="2289" spans="1:5" x14ac:dyDescent="0.25">
      <c r="A2289" s="93" t="s">
        <v>2428</v>
      </c>
      <c r="B2289" s="93"/>
      <c r="C2289" s="93"/>
      <c r="D2289" s="93">
        <v>64282</v>
      </c>
      <c r="E2289" s="93">
        <v>62916</v>
      </c>
    </row>
    <row r="2290" spans="1:5" x14ac:dyDescent="0.25">
      <c r="A2290" s="93" t="s">
        <v>2429</v>
      </c>
      <c r="B2290" s="93"/>
      <c r="C2290" s="93"/>
      <c r="D2290" s="93">
        <v>469699136</v>
      </c>
      <c r="E2290" s="93">
        <v>470494443</v>
      </c>
    </row>
    <row r="2291" spans="1:5" x14ac:dyDescent="0.25">
      <c r="A2291" s="93" t="s">
        <v>2429</v>
      </c>
      <c r="B2291" s="93"/>
      <c r="C2291" s="93"/>
      <c r="D2291" s="93">
        <v>609325</v>
      </c>
      <c r="E2291" s="93">
        <v>0</v>
      </c>
    </row>
    <row r="2292" spans="1:5" x14ac:dyDescent="0.25">
      <c r="A2292" s="93" t="s">
        <v>2429</v>
      </c>
      <c r="B2292" s="93"/>
      <c r="C2292" s="93"/>
      <c r="D2292" s="93">
        <v>987688</v>
      </c>
      <c r="E2292" s="93">
        <v>598412</v>
      </c>
    </row>
    <row r="2293" spans="1:5" x14ac:dyDescent="0.25">
      <c r="A2293" s="93" t="s">
        <v>2429</v>
      </c>
      <c r="B2293" s="93"/>
      <c r="C2293" s="93"/>
      <c r="D2293" s="93">
        <v>578540</v>
      </c>
      <c r="E2293" s="93">
        <v>566252</v>
      </c>
    </row>
    <row r="2294" spans="1:5" x14ac:dyDescent="0.25">
      <c r="A2294" s="93" t="s">
        <v>1725</v>
      </c>
      <c r="B2294" s="93"/>
      <c r="C2294" s="93"/>
      <c r="D2294" s="93">
        <v>39</v>
      </c>
      <c r="E2294" s="93">
        <v>1</v>
      </c>
    </row>
    <row r="2295" spans="1:5" x14ac:dyDescent="0.25">
      <c r="A2295" s="93" t="s">
        <v>1725</v>
      </c>
      <c r="B2295" s="93"/>
      <c r="C2295" s="93"/>
      <c r="D2295" s="93">
        <v>104562601</v>
      </c>
      <c r="E2295" s="93">
        <v>93698082</v>
      </c>
    </row>
    <row r="2296" spans="1:5" x14ac:dyDescent="0.25">
      <c r="A2296" s="93" t="s">
        <v>1725</v>
      </c>
      <c r="B2296" s="93"/>
      <c r="C2296" s="93"/>
      <c r="D2296" s="93">
        <v>4432626</v>
      </c>
      <c r="E2296" s="93">
        <v>4445732</v>
      </c>
    </row>
    <row r="2297" spans="1:5" x14ac:dyDescent="0.25">
      <c r="A2297" s="93" t="s">
        <v>1725</v>
      </c>
      <c r="B2297" s="93"/>
      <c r="C2297" s="93"/>
      <c r="D2297" s="93">
        <v>2144463</v>
      </c>
      <c r="E2297" s="93">
        <v>2165943</v>
      </c>
    </row>
    <row r="2298" spans="1:5" x14ac:dyDescent="0.25">
      <c r="A2298" s="93" t="s">
        <v>1725</v>
      </c>
      <c r="B2298" s="93"/>
      <c r="C2298" s="93"/>
      <c r="D2298" s="93">
        <v>7486190</v>
      </c>
      <c r="E2298" s="93">
        <v>6727192</v>
      </c>
    </row>
    <row r="2299" spans="1:5" x14ac:dyDescent="0.25">
      <c r="A2299" s="93" t="s">
        <v>2430</v>
      </c>
      <c r="B2299" s="93"/>
      <c r="C2299" s="93"/>
      <c r="D2299" s="93">
        <v>364330227</v>
      </c>
      <c r="E2299" s="93">
        <v>374809538</v>
      </c>
    </row>
    <row r="2300" spans="1:5" x14ac:dyDescent="0.25">
      <c r="A2300" s="93" t="s">
        <v>2430</v>
      </c>
      <c r="B2300" s="93"/>
      <c r="C2300" s="93"/>
      <c r="D2300" s="93">
        <v>479012</v>
      </c>
      <c r="E2300" s="93">
        <v>1125</v>
      </c>
    </row>
    <row r="2301" spans="1:5" x14ac:dyDescent="0.25">
      <c r="A2301" s="93" t="s">
        <v>2430</v>
      </c>
      <c r="B2301" s="93"/>
      <c r="C2301" s="93"/>
      <c r="D2301" s="93">
        <v>1119734</v>
      </c>
      <c r="E2301" s="93">
        <v>1234036</v>
      </c>
    </row>
    <row r="2302" spans="1:5" x14ac:dyDescent="0.25">
      <c r="A2302" s="93" t="s">
        <v>2431</v>
      </c>
      <c r="B2302" s="93"/>
      <c r="C2302" s="93"/>
      <c r="D2302" s="93">
        <v>806308</v>
      </c>
      <c r="E2302" s="93">
        <v>1986823</v>
      </c>
    </row>
    <row r="2303" spans="1:5" x14ac:dyDescent="0.25">
      <c r="A2303" s="93" t="s">
        <v>2431</v>
      </c>
      <c r="B2303" s="93"/>
      <c r="C2303" s="93"/>
      <c r="D2303" s="93">
        <v>0</v>
      </c>
      <c r="E2303" s="93">
        <v>27773</v>
      </c>
    </row>
    <row r="2304" spans="1:5" x14ac:dyDescent="0.25">
      <c r="A2304" s="93" t="s">
        <v>2431</v>
      </c>
      <c r="B2304" s="93"/>
      <c r="C2304" s="93"/>
      <c r="D2304" s="93">
        <v>104734</v>
      </c>
      <c r="E2304" s="93">
        <v>108598</v>
      </c>
    </row>
    <row r="2305" spans="1:5" x14ac:dyDescent="0.25">
      <c r="A2305" s="93" t="s">
        <v>1726</v>
      </c>
      <c r="B2305" s="93"/>
      <c r="C2305" s="93"/>
      <c r="D2305" s="93">
        <v>0</v>
      </c>
      <c r="E2305" s="93">
        <v>-8</v>
      </c>
    </row>
    <row r="2306" spans="1:5" x14ac:dyDescent="0.25">
      <c r="A2306" s="93" t="s">
        <v>1726</v>
      </c>
      <c r="B2306" s="93"/>
      <c r="C2306" s="93"/>
      <c r="D2306" s="93">
        <v>156018339</v>
      </c>
      <c r="E2306" s="93">
        <v>139531185</v>
      </c>
    </row>
    <row r="2307" spans="1:5" x14ac:dyDescent="0.25">
      <c r="A2307" s="93" t="s">
        <v>1726</v>
      </c>
      <c r="B2307" s="93"/>
      <c r="C2307" s="93"/>
      <c r="D2307" s="93">
        <v>511429</v>
      </c>
      <c r="E2307" s="93">
        <v>469164</v>
      </c>
    </row>
    <row r="2308" spans="1:5" x14ac:dyDescent="0.25">
      <c r="A2308" s="93" t="s">
        <v>1726</v>
      </c>
      <c r="B2308" s="93"/>
      <c r="C2308" s="93"/>
      <c r="D2308" s="93">
        <v>919995</v>
      </c>
      <c r="E2308" s="93">
        <v>823309</v>
      </c>
    </row>
    <row r="2309" spans="1:5" x14ac:dyDescent="0.25">
      <c r="A2309" s="93" t="s">
        <v>1727</v>
      </c>
      <c r="B2309" s="93"/>
      <c r="C2309" s="93"/>
      <c r="D2309" s="93">
        <v>-1657</v>
      </c>
      <c r="E2309" s="93">
        <v>-945</v>
      </c>
    </row>
    <row r="2310" spans="1:5" x14ac:dyDescent="0.25">
      <c r="A2310" s="93" t="s">
        <v>1727</v>
      </c>
      <c r="B2310" s="93"/>
      <c r="C2310" s="93"/>
      <c r="D2310" s="93">
        <v>37971741</v>
      </c>
      <c r="E2310" s="93">
        <v>36915233</v>
      </c>
    </row>
    <row r="2311" spans="1:5" x14ac:dyDescent="0.25">
      <c r="A2311" s="93" t="s">
        <v>1727</v>
      </c>
      <c r="B2311" s="93"/>
      <c r="C2311" s="93"/>
      <c r="D2311" s="93">
        <v>6510922</v>
      </c>
      <c r="E2311" s="93">
        <v>6883611</v>
      </c>
    </row>
    <row r="2312" spans="1:5" x14ac:dyDescent="0.25">
      <c r="A2312" s="93" t="s">
        <v>1727</v>
      </c>
      <c r="B2312" s="93"/>
      <c r="C2312" s="93"/>
      <c r="D2312" s="93">
        <v>7547908</v>
      </c>
      <c r="E2312" s="93">
        <v>7258301</v>
      </c>
    </row>
    <row r="2313" spans="1:5" x14ac:dyDescent="0.25">
      <c r="A2313" s="93" t="s">
        <v>1727</v>
      </c>
      <c r="B2313" s="93"/>
      <c r="C2313" s="93"/>
      <c r="D2313" s="93">
        <v>223</v>
      </c>
      <c r="E2313" s="93">
        <v>198</v>
      </c>
    </row>
    <row r="2314" spans="1:5" x14ac:dyDescent="0.25">
      <c r="A2314" s="93" t="s">
        <v>2432</v>
      </c>
      <c r="B2314" s="93"/>
      <c r="C2314" s="93"/>
      <c r="D2314" s="93">
        <v>26422995</v>
      </c>
      <c r="E2314" s="93">
        <v>25966166</v>
      </c>
    </row>
    <row r="2315" spans="1:5" x14ac:dyDescent="0.25">
      <c r="A2315" s="93" t="s">
        <v>2432</v>
      </c>
      <c r="B2315" s="93"/>
      <c r="C2315" s="93"/>
      <c r="D2315" s="93">
        <v>7126000</v>
      </c>
      <c r="E2315" s="93">
        <v>7108063</v>
      </c>
    </row>
    <row r="2316" spans="1:5" x14ac:dyDescent="0.25">
      <c r="A2316" s="93" t="s">
        <v>2433</v>
      </c>
      <c r="B2316" s="93"/>
      <c r="C2316" s="93"/>
      <c r="D2316" s="93">
        <v>91623603</v>
      </c>
      <c r="E2316" s="93">
        <v>76649786</v>
      </c>
    </row>
    <row r="2317" spans="1:5" x14ac:dyDescent="0.25">
      <c r="A2317" s="93" t="s">
        <v>2433</v>
      </c>
      <c r="B2317" s="93"/>
      <c r="C2317" s="93"/>
      <c r="D2317" s="93">
        <v>17811182</v>
      </c>
      <c r="E2317" s="93">
        <v>18230273</v>
      </c>
    </row>
    <row r="2318" spans="1:5" x14ac:dyDescent="0.25">
      <c r="A2318" s="93" t="s">
        <v>2433</v>
      </c>
      <c r="B2318" s="93"/>
      <c r="C2318" s="93"/>
      <c r="D2318" s="93">
        <v>0</v>
      </c>
      <c r="E2318" s="93">
        <v>66537</v>
      </c>
    </row>
    <row r="2319" spans="1:5" x14ac:dyDescent="0.25">
      <c r="A2319" s="93" t="s">
        <v>2433</v>
      </c>
      <c r="B2319" s="93"/>
      <c r="C2319" s="93"/>
      <c r="D2319" s="93">
        <v>492</v>
      </c>
      <c r="E2319" s="93">
        <v>486</v>
      </c>
    </row>
    <row r="2320" spans="1:5" x14ac:dyDescent="0.25">
      <c r="A2320" s="93" t="s">
        <v>1938</v>
      </c>
      <c r="B2320" s="93"/>
      <c r="C2320" s="93"/>
      <c r="D2320" s="93">
        <v>0</v>
      </c>
      <c r="E2320" s="93">
        <v>-9779</v>
      </c>
    </row>
    <row r="2321" spans="1:5" x14ac:dyDescent="0.25">
      <c r="A2321" s="93" t="s">
        <v>1938</v>
      </c>
      <c r="B2321" s="93"/>
      <c r="C2321" s="93"/>
      <c r="D2321" s="93">
        <v>166029653</v>
      </c>
      <c r="E2321" s="93">
        <v>124585576</v>
      </c>
    </row>
    <row r="2322" spans="1:5" x14ac:dyDescent="0.25">
      <c r="A2322" s="93" t="s">
        <v>1938</v>
      </c>
      <c r="B2322" s="93"/>
      <c r="C2322" s="93"/>
      <c r="D2322" s="93">
        <v>1062673</v>
      </c>
      <c r="E2322" s="93">
        <v>914485</v>
      </c>
    </row>
    <row r="2323" spans="1:5" x14ac:dyDescent="0.25">
      <c r="A2323" s="93" t="s">
        <v>1938</v>
      </c>
      <c r="B2323" s="93"/>
      <c r="C2323" s="93"/>
      <c r="D2323" s="93">
        <v>491</v>
      </c>
      <c r="E2323" s="93">
        <v>505</v>
      </c>
    </row>
    <row r="2324" spans="1:5" x14ac:dyDescent="0.25">
      <c r="A2324" s="93" t="s">
        <v>2434</v>
      </c>
      <c r="B2324" s="93"/>
      <c r="C2324" s="93"/>
      <c r="D2324" s="93">
        <v>98989</v>
      </c>
      <c r="E2324" s="93">
        <v>189380</v>
      </c>
    </row>
    <row r="2325" spans="1:5" x14ac:dyDescent="0.25">
      <c r="A2325" s="93" t="s">
        <v>2434</v>
      </c>
      <c r="B2325" s="93"/>
      <c r="C2325" s="93"/>
      <c r="D2325" s="93">
        <v>7721159</v>
      </c>
      <c r="E2325" s="93">
        <v>8402816</v>
      </c>
    </row>
    <row r="2326" spans="1:5" x14ac:dyDescent="0.25">
      <c r="A2326" s="93" t="s">
        <v>2434</v>
      </c>
      <c r="B2326" s="93"/>
      <c r="C2326" s="93"/>
      <c r="D2326" s="93">
        <v>0</v>
      </c>
      <c r="E2326" s="93">
        <v>66537</v>
      </c>
    </row>
    <row r="2327" spans="1:5" x14ac:dyDescent="0.25">
      <c r="A2327" s="93" t="s">
        <v>2434</v>
      </c>
      <c r="B2327" s="93"/>
      <c r="C2327" s="93"/>
      <c r="D2327" s="93">
        <v>55105</v>
      </c>
      <c r="E2327" s="93">
        <v>60716</v>
      </c>
    </row>
    <row r="2328" spans="1:5" x14ac:dyDescent="0.25">
      <c r="A2328" s="93" t="s">
        <v>1728</v>
      </c>
      <c r="B2328" s="93"/>
      <c r="C2328" s="93"/>
      <c r="D2328" s="93">
        <v>-16697</v>
      </c>
      <c r="E2328" s="93">
        <v>-20376</v>
      </c>
    </row>
    <row r="2329" spans="1:5" x14ac:dyDescent="0.25">
      <c r="A2329" s="93" t="s">
        <v>1728</v>
      </c>
      <c r="B2329" s="93"/>
      <c r="C2329" s="93"/>
      <c r="D2329" s="93">
        <v>2916667</v>
      </c>
      <c r="E2329" s="93">
        <v>3277778</v>
      </c>
    </row>
    <row r="2330" spans="1:5" x14ac:dyDescent="0.25">
      <c r="A2330" s="93" t="s">
        <v>1728</v>
      </c>
      <c r="B2330" s="93"/>
      <c r="C2330" s="93"/>
      <c r="D2330" s="93">
        <v>11096563</v>
      </c>
      <c r="E2330" s="93">
        <v>9408069</v>
      </c>
    </row>
    <row r="2331" spans="1:5" x14ac:dyDescent="0.25">
      <c r="A2331" s="93" t="s">
        <v>2435</v>
      </c>
      <c r="B2331" s="93"/>
      <c r="C2331" s="93"/>
      <c r="D2331" s="93">
        <v>100899891</v>
      </c>
      <c r="E2331" s="93">
        <v>99807284</v>
      </c>
    </row>
    <row r="2332" spans="1:5" x14ac:dyDescent="0.25">
      <c r="A2332" s="93" t="s">
        <v>2435</v>
      </c>
      <c r="B2332" s="93"/>
      <c r="C2332" s="93"/>
      <c r="D2332" s="93">
        <v>114443505</v>
      </c>
      <c r="E2332" s="93">
        <v>106957315</v>
      </c>
    </row>
    <row r="2333" spans="1:5" x14ac:dyDescent="0.25">
      <c r="A2333" s="93" t="s">
        <v>2436</v>
      </c>
      <c r="B2333" s="93"/>
      <c r="C2333" s="93"/>
      <c r="D2333" s="93">
        <v>1813219</v>
      </c>
      <c r="E2333" s="93">
        <v>1916652</v>
      </c>
    </row>
    <row r="2334" spans="1:5" x14ac:dyDescent="0.25">
      <c r="A2334" s="93" t="s">
        <v>2436</v>
      </c>
      <c r="B2334" s="93"/>
      <c r="C2334" s="93"/>
      <c r="D2334" s="93">
        <v>62159780</v>
      </c>
      <c r="E2334" s="93">
        <v>62159780</v>
      </c>
    </row>
    <row r="2335" spans="1:5" x14ac:dyDescent="0.25">
      <c r="A2335" s="93" t="s">
        <v>1729</v>
      </c>
      <c r="B2335" s="93"/>
      <c r="C2335" s="93"/>
      <c r="D2335" s="93">
        <v>-18315</v>
      </c>
      <c r="E2335" s="93">
        <v>-31107</v>
      </c>
    </row>
    <row r="2336" spans="1:5" x14ac:dyDescent="0.25">
      <c r="A2336" s="93" t="s">
        <v>1729</v>
      </c>
      <c r="B2336" s="93"/>
      <c r="C2336" s="93"/>
      <c r="D2336" s="93">
        <v>58501447</v>
      </c>
      <c r="E2336" s="93">
        <v>17602470</v>
      </c>
    </row>
    <row r="2337" spans="1:5" x14ac:dyDescent="0.25">
      <c r="A2337" s="93" t="s">
        <v>1729</v>
      </c>
      <c r="B2337" s="93"/>
      <c r="C2337" s="93"/>
      <c r="D2337" s="93">
        <v>62003000</v>
      </c>
      <c r="E2337" s="93">
        <v>62003000</v>
      </c>
    </row>
    <row r="2338" spans="1:5" x14ac:dyDescent="0.25">
      <c r="A2338" s="93" t="s">
        <v>2437</v>
      </c>
      <c r="B2338" s="93"/>
      <c r="C2338" s="93"/>
      <c r="D2338" s="93">
        <v>1582754</v>
      </c>
      <c r="E2338" s="93">
        <v>1566816</v>
      </c>
    </row>
    <row r="2339" spans="1:5" x14ac:dyDescent="0.25">
      <c r="A2339" s="93" t="s">
        <v>2438</v>
      </c>
      <c r="B2339" s="93"/>
      <c r="C2339" s="93"/>
      <c r="D2339" s="93">
        <v>216686</v>
      </c>
      <c r="E2339" s="93">
        <v>225196</v>
      </c>
    </row>
    <row r="2340" spans="1:5" x14ac:dyDescent="0.25">
      <c r="A2340" s="93" t="s">
        <v>2438</v>
      </c>
      <c r="B2340" s="93"/>
      <c r="C2340" s="93"/>
      <c r="D2340" s="93">
        <v>156780</v>
      </c>
      <c r="E2340" s="93">
        <v>156780</v>
      </c>
    </row>
    <row r="2341" spans="1:5" x14ac:dyDescent="0.25">
      <c r="A2341" s="93" t="s">
        <v>2439</v>
      </c>
      <c r="B2341" s="93"/>
      <c r="C2341" s="93"/>
      <c r="D2341" s="93">
        <v>2337733</v>
      </c>
      <c r="E2341" s="93">
        <v>2518949</v>
      </c>
    </row>
    <row r="2342" spans="1:5" x14ac:dyDescent="0.25">
      <c r="A2342" s="93" t="s">
        <v>1730</v>
      </c>
      <c r="B2342" s="93"/>
      <c r="C2342" s="93"/>
      <c r="D2342" s="93">
        <v>2306</v>
      </c>
      <c r="E2342" s="93">
        <v>2657</v>
      </c>
    </row>
    <row r="2343" spans="1:5" x14ac:dyDescent="0.25">
      <c r="A2343" s="93" t="s">
        <v>1730</v>
      </c>
      <c r="B2343" s="93"/>
      <c r="C2343" s="93"/>
      <c r="D2343" s="93">
        <v>83640</v>
      </c>
      <c r="E2343" s="93">
        <v>83230</v>
      </c>
    </row>
    <row r="2344" spans="1:5" x14ac:dyDescent="0.25">
      <c r="A2344" s="93" t="s">
        <v>1730</v>
      </c>
      <c r="B2344" s="93"/>
      <c r="C2344" s="93"/>
      <c r="D2344" s="93">
        <v>0</v>
      </c>
      <c r="E2344" s="93">
        <v>66537</v>
      </c>
    </row>
    <row r="2345" spans="1:5" x14ac:dyDescent="0.25">
      <c r="A2345" s="93" t="s">
        <v>1731</v>
      </c>
      <c r="B2345" s="93"/>
      <c r="C2345" s="93"/>
      <c r="D2345" s="93">
        <v>6829</v>
      </c>
      <c r="E2345" s="93">
        <v>13550</v>
      </c>
    </row>
    <row r="2346" spans="1:5" x14ac:dyDescent="0.25">
      <c r="A2346" s="93" t="s">
        <v>1731</v>
      </c>
      <c r="B2346" s="93"/>
      <c r="C2346" s="93"/>
      <c r="D2346" s="93">
        <v>38782853</v>
      </c>
      <c r="E2346" s="93">
        <v>27473294</v>
      </c>
    </row>
    <row r="2347" spans="1:5" x14ac:dyDescent="0.25">
      <c r="A2347" s="93" t="s">
        <v>1732</v>
      </c>
      <c r="B2347" s="93"/>
      <c r="C2347" s="93"/>
      <c r="D2347" s="93">
        <v>13642</v>
      </c>
      <c r="E2347" s="93">
        <v>12296</v>
      </c>
    </row>
    <row r="2348" spans="1:5" x14ac:dyDescent="0.25">
      <c r="A2348" s="93" t="s">
        <v>1732</v>
      </c>
      <c r="B2348" s="93"/>
      <c r="C2348" s="93"/>
      <c r="D2348" s="93">
        <v>36831684</v>
      </c>
      <c r="E2348" s="93">
        <v>25522125</v>
      </c>
    </row>
    <row r="2349" spans="1:5" x14ac:dyDescent="0.25">
      <c r="A2349" s="93" t="s">
        <v>1732</v>
      </c>
      <c r="B2349" s="93"/>
      <c r="C2349" s="93"/>
      <c r="D2349" s="93">
        <v>21771377</v>
      </c>
      <c r="E2349" s="93">
        <v>24007986</v>
      </c>
    </row>
    <row r="2350" spans="1:5" x14ac:dyDescent="0.25">
      <c r="A2350" s="93" t="s">
        <v>2440</v>
      </c>
      <c r="B2350" s="93"/>
      <c r="C2350" s="93"/>
      <c r="D2350" s="93">
        <v>36322470</v>
      </c>
      <c r="E2350" s="93">
        <v>36679273</v>
      </c>
    </row>
    <row r="2351" spans="1:5" x14ac:dyDescent="0.25">
      <c r="A2351" s="93" t="s">
        <v>2440</v>
      </c>
      <c r="B2351" s="93"/>
      <c r="C2351" s="93"/>
      <c r="D2351" s="93">
        <v>1951169</v>
      </c>
      <c r="E2351" s="93">
        <v>1951169</v>
      </c>
    </row>
    <row r="2352" spans="1:5" x14ac:dyDescent="0.25">
      <c r="A2352" s="93" t="s">
        <v>2440</v>
      </c>
      <c r="B2352" s="93"/>
      <c r="C2352" s="93"/>
      <c r="D2352" s="93">
        <v>15590038</v>
      </c>
      <c r="E2352" s="93">
        <v>22119864</v>
      </c>
    </row>
    <row r="2353" spans="1:5" x14ac:dyDescent="0.25">
      <c r="A2353" s="93" t="s">
        <v>2441</v>
      </c>
      <c r="B2353" s="93"/>
      <c r="C2353" s="93"/>
      <c r="D2353" s="93">
        <v>35379802</v>
      </c>
      <c r="E2353" s="93">
        <v>35769178</v>
      </c>
    </row>
    <row r="2354" spans="1:5" x14ac:dyDescent="0.25">
      <c r="A2354" s="93" t="s">
        <v>2441</v>
      </c>
      <c r="B2354" s="93"/>
      <c r="C2354" s="93"/>
      <c r="D2354" s="93">
        <v>14518454</v>
      </c>
      <c r="E2354" s="93">
        <v>17231533</v>
      </c>
    </row>
    <row r="2355" spans="1:5" x14ac:dyDescent="0.25">
      <c r="A2355" s="93" t="s">
        <v>1733</v>
      </c>
      <c r="B2355" s="93"/>
      <c r="C2355" s="93"/>
      <c r="D2355" s="93">
        <v>-9119</v>
      </c>
      <c r="E2355" s="93">
        <v>-1403</v>
      </c>
    </row>
    <row r="2356" spans="1:5" x14ac:dyDescent="0.25">
      <c r="A2356" s="93" t="s">
        <v>1733</v>
      </c>
      <c r="B2356" s="93"/>
      <c r="C2356" s="93"/>
      <c r="D2356" s="93">
        <v>32594132</v>
      </c>
      <c r="E2356" s="93">
        <v>32703440</v>
      </c>
    </row>
    <row r="2357" spans="1:5" x14ac:dyDescent="0.25">
      <c r="A2357" s="93" t="s">
        <v>1733</v>
      </c>
      <c r="B2357" s="93"/>
      <c r="C2357" s="93"/>
      <c r="D2357" s="93">
        <v>646410</v>
      </c>
      <c r="E2357" s="93">
        <v>4555279</v>
      </c>
    </row>
    <row r="2358" spans="1:5" x14ac:dyDescent="0.25">
      <c r="A2358" s="93" t="s">
        <v>1734</v>
      </c>
      <c r="B2358" s="93"/>
      <c r="C2358" s="93"/>
      <c r="D2358" s="93">
        <v>-39202</v>
      </c>
      <c r="E2358" s="93">
        <v>-108678</v>
      </c>
    </row>
    <row r="2359" spans="1:5" x14ac:dyDescent="0.25">
      <c r="A2359" s="93" t="s">
        <v>1734</v>
      </c>
      <c r="B2359" s="93"/>
      <c r="C2359" s="93"/>
      <c r="D2359" s="93">
        <v>2312801</v>
      </c>
      <c r="E2359" s="93">
        <v>1776803</v>
      </c>
    </row>
    <row r="2360" spans="1:5" x14ac:dyDescent="0.25">
      <c r="A2360" s="93" t="s">
        <v>1734</v>
      </c>
      <c r="B2360" s="93"/>
      <c r="C2360" s="93"/>
      <c r="D2360" s="93">
        <v>6590153</v>
      </c>
      <c r="E2360" s="93">
        <v>6014682</v>
      </c>
    </row>
    <row r="2361" spans="1:5" x14ac:dyDescent="0.25">
      <c r="A2361" s="93" t="s">
        <v>1734</v>
      </c>
      <c r="B2361" s="93"/>
      <c r="C2361" s="93"/>
      <c r="D2361" s="93">
        <v>316378</v>
      </c>
      <c r="E2361" s="93">
        <v>242585</v>
      </c>
    </row>
    <row r="2362" spans="1:5" x14ac:dyDescent="0.25">
      <c r="A2362" s="93" t="s">
        <v>1735</v>
      </c>
      <c r="B2362" s="93"/>
      <c r="C2362" s="93"/>
      <c r="D2362" s="93">
        <v>332637</v>
      </c>
      <c r="E2362" s="93">
        <v>338291</v>
      </c>
    </row>
    <row r="2363" spans="1:5" x14ac:dyDescent="0.25">
      <c r="A2363" s="93" t="s">
        <v>1735</v>
      </c>
      <c r="B2363" s="93"/>
      <c r="C2363" s="93"/>
      <c r="D2363" s="93">
        <v>4335672</v>
      </c>
      <c r="E2363" s="93">
        <v>4338741</v>
      </c>
    </row>
    <row r="2364" spans="1:5" x14ac:dyDescent="0.25">
      <c r="A2364" s="93" t="s">
        <v>1735</v>
      </c>
      <c r="B2364" s="93"/>
      <c r="C2364" s="93"/>
      <c r="D2364" s="93">
        <v>35663</v>
      </c>
      <c r="E2364" s="93">
        <v>14124</v>
      </c>
    </row>
    <row r="2365" spans="1:5" x14ac:dyDescent="0.25">
      <c r="A2365" s="93" t="s">
        <v>1736</v>
      </c>
      <c r="B2365" s="93"/>
      <c r="C2365" s="93"/>
      <c r="D2365" s="93">
        <v>669</v>
      </c>
      <c r="E2365" s="93">
        <v>953</v>
      </c>
    </row>
    <row r="2366" spans="1:5" x14ac:dyDescent="0.25">
      <c r="A2366" s="93" t="s">
        <v>1736</v>
      </c>
      <c r="B2366" s="93"/>
      <c r="C2366" s="93"/>
      <c r="D2366" s="93">
        <v>472869</v>
      </c>
      <c r="E2366" s="93">
        <v>1288935</v>
      </c>
    </row>
    <row r="2367" spans="1:5" x14ac:dyDescent="0.25">
      <c r="A2367" s="93" t="s">
        <v>1736</v>
      </c>
      <c r="B2367" s="93"/>
      <c r="C2367" s="93"/>
      <c r="D2367" s="93">
        <v>2254481</v>
      </c>
      <c r="E2367" s="93">
        <v>1675941</v>
      </c>
    </row>
    <row r="2368" spans="1:5" x14ac:dyDescent="0.25">
      <c r="A2368" s="93" t="s">
        <v>1736</v>
      </c>
      <c r="B2368" s="93"/>
      <c r="C2368" s="93"/>
      <c r="D2368" s="93">
        <v>18028</v>
      </c>
      <c r="E2368" s="93">
        <v>15627</v>
      </c>
    </row>
    <row r="2369" spans="1:5" x14ac:dyDescent="0.25">
      <c r="A2369" s="93" t="s">
        <v>1737</v>
      </c>
      <c r="B2369" s="93"/>
      <c r="C2369" s="93"/>
      <c r="D2369" s="93">
        <v>294104</v>
      </c>
      <c r="E2369" s="93">
        <v>230566</v>
      </c>
    </row>
    <row r="2370" spans="1:5" x14ac:dyDescent="0.25">
      <c r="A2370" s="93" t="s">
        <v>1737</v>
      </c>
      <c r="B2370" s="93"/>
      <c r="C2370" s="93"/>
      <c r="D2370" s="93">
        <v>353892</v>
      </c>
      <c r="E2370" s="93">
        <v>323460</v>
      </c>
    </row>
    <row r="2371" spans="1:5" x14ac:dyDescent="0.25">
      <c r="A2371" s="93" t="s">
        <v>1737</v>
      </c>
      <c r="B2371" s="93"/>
      <c r="C2371" s="93"/>
      <c r="D2371" s="93">
        <v>32797300</v>
      </c>
      <c r="E2371" s="93">
        <v>40708051</v>
      </c>
    </row>
    <row r="2372" spans="1:5" x14ac:dyDescent="0.25">
      <c r="A2372" s="93" t="s">
        <v>2450</v>
      </c>
      <c r="B2372" s="93"/>
      <c r="C2372" s="93"/>
      <c r="D2372" s="93">
        <v>6910719</v>
      </c>
      <c r="E2372" s="93">
        <v>11309559</v>
      </c>
    </row>
    <row r="2373" spans="1:5" x14ac:dyDescent="0.25">
      <c r="A2373" s="93" t="s">
        <v>2450</v>
      </c>
      <c r="B2373" s="93"/>
      <c r="C2373" s="93"/>
      <c r="D2373" s="93">
        <v>19762725</v>
      </c>
      <c r="E2373" s="93">
        <v>21501765</v>
      </c>
    </row>
    <row r="2374" spans="1:5" x14ac:dyDescent="0.25">
      <c r="A2374" s="93" t="s">
        <v>2451</v>
      </c>
      <c r="B2374" s="93"/>
      <c r="C2374" s="93"/>
      <c r="D2374" s="93">
        <v>6907650</v>
      </c>
      <c r="E2374" s="93">
        <v>11276799</v>
      </c>
    </row>
    <row r="2375" spans="1:5" x14ac:dyDescent="0.25">
      <c r="A2375" s="93" t="s">
        <v>2451</v>
      </c>
      <c r="B2375" s="93"/>
      <c r="C2375" s="93"/>
      <c r="D2375" s="93">
        <v>325762</v>
      </c>
      <c r="E2375" s="93">
        <v>5364329</v>
      </c>
    </row>
    <row r="2376" spans="1:5" x14ac:dyDescent="0.25">
      <c r="A2376" s="93" t="s">
        <v>2452</v>
      </c>
      <c r="B2376" s="93"/>
      <c r="C2376" s="93"/>
      <c r="D2376" s="93">
        <v>3069</v>
      </c>
      <c r="E2376" s="93">
        <v>32760</v>
      </c>
    </row>
    <row r="2377" spans="1:5" x14ac:dyDescent="0.25">
      <c r="A2377" s="93" t="s">
        <v>2452</v>
      </c>
      <c r="B2377" s="93"/>
      <c r="C2377" s="93"/>
      <c r="D2377" s="93">
        <v>0</v>
      </c>
      <c r="E2377" s="93">
        <v>125550</v>
      </c>
    </row>
    <row r="2378" spans="1:5" x14ac:dyDescent="0.25">
      <c r="A2378" s="93" t="s">
        <v>2442</v>
      </c>
      <c r="B2378" s="93"/>
      <c r="C2378" s="93"/>
      <c r="D2378" s="93">
        <v>353892</v>
      </c>
      <c r="E2378" s="93">
        <v>323460</v>
      </c>
    </row>
    <row r="2379" spans="1:5" x14ac:dyDescent="0.25">
      <c r="A2379" s="93" t="s">
        <v>2457</v>
      </c>
      <c r="B2379" s="93"/>
      <c r="C2379" s="93"/>
      <c r="D2379" s="93">
        <v>5982280</v>
      </c>
      <c r="E2379" s="93">
        <v>6075939</v>
      </c>
    </row>
    <row r="2380" spans="1:5" x14ac:dyDescent="0.25">
      <c r="A2380" s="93" t="s">
        <v>2443</v>
      </c>
      <c r="B2380" s="93"/>
      <c r="C2380" s="93"/>
      <c r="D2380" s="93">
        <v>588776</v>
      </c>
      <c r="E2380" s="93">
        <v>586635</v>
      </c>
    </row>
    <row r="2381" spans="1:5" x14ac:dyDescent="0.25">
      <c r="A2381" s="93" t="s">
        <v>2443</v>
      </c>
      <c r="B2381" s="93"/>
      <c r="C2381" s="93"/>
      <c r="D2381" s="93">
        <v>54615</v>
      </c>
      <c r="E2381" s="93">
        <v>46634</v>
      </c>
    </row>
    <row r="2382" spans="1:5" x14ac:dyDescent="0.25">
      <c r="A2382" s="93" t="s">
        <v>2444</v>
      </c>
      <c r="B2382" s="93"/>
      <c r="C2382" s="93"/>
      <c r="D2382" s="93">
        <v>1128482574</v>
      </c>
      <c r="E2382" s="93">
        <v>1110426079</v>
      </c>
    </row>
    <row r="2383" spans="1:5" x14ac:dyDescent="0.25">
      <c r="A2383" s="93" t="s">
        <v>2444</v>
      </c>
      <c r="B2383" s="93"/>
      <c r="C2383" s="93"/>
      <c r="D2383" s="93">
        <v>1135787</v>
      </c>
      <c r="E2383" s="93">
        <v>1856682</v>
      </c>
    </row>
    <row r="2384" spans="1:5" x14ac:dyDescent="0.25">
      <c r="A2384" s="93" t="s">
        <v>2445</v>
      </c>
      <c r="B2384" s="93"/>
      <c r="C2384" s="93"/>
      <c r="D2384" s="93">
        <v>225131328</v>
      </c>
      <c r="E2384" s="93">
        <v>236364891</v>
      </c>
    </row>
    <row r="2385" spans="1:5" x14ac:dyDescent="0.25">
      <c r="A2385" s="93" t="s">
        <v>2445</v>
      </c>
      <c r="B2385" s="93"/>
      <c r="C2385" s="93"/>
      <c r="D2385" s="93">
        <v>539522</v>
      </c>
      <c r="E2385" s="93">
        <v>649117</v>
      </c>
    </row>
    <row r="2386" spans="1:5" x14ac:dyDescent="0.25">
      <c r="A2386" s="93" t="s">
        <v>2446</v>
      </c>
      <c r="B2386" s="93"/>
      <c r="C2386" s="93"/>
      <c r="D2386" s="93">
        <v>1353613902</v>
      </c>
      <c r="E2386" s="93">
        <v>1346790970</v>
      </c>
    </row>
    <row r="2387" spans="1:5" x14ac:dyDescent="0.25">
      <c r="A2387" s="93" t="s">
        <v>2446</v>
      </c>
      <c r="B2387" s="93"/>
      <c r="C2387" s="93"/>
      <c r="D2387" s="93">
        <v>888957</v>
      </c>
      <c r="E2387" s="93">
        <v>1016504</v>
      </c>
    </row>
    <row r="2388" spans="1:5" x14ac:dyDescent="0.25">
      <c r="A2388" s="93" t="s">
        <v>2453</v>
      </c>
      <c r="B2388" s="93"/>
      <c r="C2388" s="93"/>
      <c r="D2388" s="93">
        <v>1128482574</v>
      </c>
      <c r="E2388" s="93">
        <v>1110426079</v>
      </c>
    </row>
    <row r="2389" spans="1:5" x14ac:dyDescent="0.25">
      <c r="A2389" s="93" t="s">
        <v>2453</v>
      </c>
      <c r="B2389" s="93"/>
      <c r="C2389" s="93"/>
      <c r="D2389" s="93">
        <v>1139036</v>
      </c>
      <c r="E2389" s="93">
        <v>1283978</v>
      </c>
    </row>
    <row r="2390" spans="1:5" x14ac:dyDescent="0.25">
      <c r="A2390" s="93" t="s">
        <v>2454</v>
      </c>
      <c r="B2390" s="93"/>
      <c r="C2390" s="93"/>
      <c r="D2390" s="93">
        <v>225131328</v>
      </c>
      <c r="E2390" s="93">
        <v>236364891</v>
      </c>
    </row>
    <row r="2391" spans="1:5" x14ac:dyDescent="0.25">
      <c r="A2391" s="93" t="s">
        <v>2454</v>
      </c>
      <c r="B2391" s="93"/>
      <c r="C2391" s="93"/>
      <c r="D2391" s="93">
        <v>386073</v>
      </c>
      <c r="E2391" s="93">
        <v>357430</v>
      </c>
    </row>
    <row r="2392" spans="1:5" x14ac:dyDescent="0.25">
      <c r="A2392" s="93" t="s">
        <v>2455</v>
      </c>
      <c r="B2392" s="93"/>
      <c r="C2392" s="93"/>
      <c r="D2392" s="93">
        <v>1353613902</v>
      </c>
      <c r="E2392" s="93">
        <v>1346790970</v>
      </c>
    </row>
    <row r="2393" spans="1:5" x14ac:dyDescent="0.25">
      <c r="A2393" s="93" t="s">
        <v>2455</v>
      </c>
      <c r="B2393" s="93"/>
      <c r="C2393" s="93"/>
      <c r="D2393" s="93">
        <v>1671567</v>
      </c>
      <c r="E2393" s="93">
        <v>1597976</v>
      </c>
    </row>
    <row r="2394" spans="1:5" x14ac:dyDescent="0.25">
      <c r="A2394" s="93" t="s">
        <v>2458</v>
      </c>
      <c r="B2394" s="93"/>
      <c r="C2394" s="93"/>
      <c r="D2394" s="93">
        <v>904269</v>
      </c>
      <c r="E2394" s="93">
        <v>828892</v>
      </c>
    </row>
    <row r="2395" spans="1:5" x14ac:dyDescent="0.25">
      <c r="A2395" s="93" t="s">
        <v>2459</v>
      </c>
      <c r="B2395" s="93"/>
      <c r="C2395" s="93"/>
      <c r="D2395" s="93">
        <v>6707</v>
      </c>
      <c r="E2395" s="93">
        <v>3255</v>
      </c>
    </row>
    <row r="2396" spans="1:5" x14ac:dyDescent="0.25">
      <c r="A2396" s="93" t="s">
        <v>2460</v>
      </c>
      <c r="B2396" s="93"/>
      <c r="C2396" s="93"/>
      <c r="D2396" s="93">
        <v>17207262</v>
      </c>
      <c r="E2396" s="93">
        <v>18588187</v>
      </c>
    </row>
    <row r="2397" spans="1:5" x14ac:dyDescent="0.25">
      <c r="A2397" s="93" t="s">
        <v>2461</v>
      </c>
      <c r="B2397" s="93"/>
      <c r="C2397" s="93"/>
      <c r="D2397" s="93">
        <v>2435259</v>
      </c>
      <c r="E2397" s="93">
        <v>470306</v>
      </c>
    </row>
    <row r="2398" spans="1:5" x14ac:dyDescent="0.25">
      <c r="A2398" s="93" t="s">
        <v>2462</v>
      </c>
      <c r="B2398" s="93"/>
      <c r="C2398" s="93"/>
      <c r="D2398" s="93">
        <v>2235286</v>
      </c>
      <c r="E2398" s="93">
        <v>306560</v>
      </c>
    </row>
    <row r="2399" spans="1:5" x14ac:dyDescent="0.25">
      <c r="A2399" s="93" t="s">
        <v>2463</v>
      </c>
      <c r="B2399" s="93"/>
      <c r="C2399" s="93"/>
      <c r="D2399" s="93">
        <v>60312</v>
      </c>
      <c r="E2399" s="93">
        <v>17273</v>
      </c>
    </row>
    <row r="2400" spans="1:5" x14ac:dyDescent="0.25">
      <c r="A2400" s="93" t="s">
        <v>2464</v>
      </c>
      <c r="B2400" s="93"/>
      <c r="C2400" s="93"/>
      <c r="D2400" s="93">
        <v>83710</v>
      </c>
      <c r="E2400" s="93">
        <v>123157</v>
      </c>
    </row>
    <row r="2401" spans="1:5" x14ac:dyDescent="0.25">
      <c r="A2401" s="93" t="s">
        <v>2465</v>
      </c>
      <c r="B2401" s="93"/>
      <c r="C2401" s="93"/>
      <c r="D2401" s="93">
        <v>38768</v>
      </c>
      <c r="E2401" s="93">
        <v>1127</v>
      </c>
    </row>
    <row r="2402" spans="1:5" x14ac:dyDescent="0.25">
      <c r="A2402" s="93" t="s">
        <v>2466</v>
      </c>
      <c r="B2402" s="93"/>
      <c r="C2402" s="93"/>
      <c r="D2402" s="93">
        <v>8490</v>
      </c>
      <c r="E2402" s="93">
        <v>0</v>
      </c>
    </row>
    <row r="2403" spans="1:5" x14ac:dyDescent="0.25">
      <c r="A2403" s="93" t="s">
        <v>2467</v>
      </c>
      <c r="B2403" s="93"/>
      <c r="C2403" s="93"/>
      <c r="D2403" s="93">
        <v>8693</v>
      </c>
      <c r="E2403" s="93">
        <v>22189</v>
      </c>
    </row>
    <row r="2404" spans="1:5" x14ac:dyDescent="0.25">
      <c r="A2404" s="93" t="s">
        <v>2468</v>
      </c>
      <c r="B2404" s="93"/>
      <c r="C2404" s="93"/>
      <c r="D2404" s="93">
        <v>20856</v>
      </c>
      <c r="E2404" s="93">
        <v>19726</v>
      </c>
    </row>
    <row r="2405" spans="1:5" x14ac:dyDescent="0.25">
      <c r="A2405" s="93" t="s">
        <v>2469</v>
      </c>
      <c r="B2405" s="93"/>
      <c r="C2405" s="93"/>
      <c r="D2405" s="93">
        <v>2400</v>
      </c>
      <c r="E2405" s="93">
        <v>5582</v>
      </c>
    </row>
    <row r="2406" spans="1:5" x14ac:dyDescent="0.25">
      <c r="A2406" s="93" t="s">
        <v>2470</v>
      </c>
      <c r="B2406" s="93"/>
      <c r="C2406" s="93"/>
      <c r="D2406" s="93">
        <v>3082</v>
      </c>
      <c r="E2406" s="93">
        <v>484</v>
      </c>
    </row>
    <row r="2407" spans="1:5" x14ac:dyDescent="0.25">
      <c r="A2407" s="93" t="s">
        <v>2471</v>
      </c>
      <c r="B2407" s="93"/>
      <c r="C2407" s="93"/>
      <c r="D2407" s="93">
        <v>15374</v>
      </c>
      <c r="E2407" s="93">
        <v>13660</v>
      </c>
    </row>
    <row r="2408" spans="1:5" x14ac:dyDescent="0.25">
      <c r="A2408" s="93" t="s">
        <v>2472</v>
      </c>
      <c r="B2408" s="93"/>
      <c r="C2408" s="93"/>
      <c r="D2408" s="93">
        <v>2414403</v>
      </c>
      <c r="E2408" s="93">
        <v>450580</v>
      </c>
    </row>
    <row r="2409" spans="1:5" x14ac:dyDescent="0.25">
      <c r="A2409" s="93" t="s">
        <v>2473</v>
      </c>
      <c r="B2409" s="93"/>
      <c r="C2409" s="93"/>
      <c r="D2409" s="93">
        <v>6978518</v>
      </c>
      <c r="E2409" s="93">
        <v>5870379</v>
      </c>
    </row>
    <row r="2410" spans="1:5" x14ac:dyDescent="0.25">
      <c r="A2410" s="93" t="s">
        <v>2474</v>
      </c>
      <c r="B2410" s="93"/>
      <c r="C2410" s="93"/>
      <c r="D2410" s="93">
        <v>3105439</v>
      </c>
      <c r="E2410" s="93">
        <v>2563723</v>
      </c>
    </row>
    <row r="2411" spans="1:5" x14ac:dyDescent="0.25">
      <c r="A2411" s="93" t="s">
        <v>2475</v>
      </c>
      <c r="B2411" s="93"/>
      <c r="C2411" s="93"/>
      <c r="D2411" s="93">
        <v>0</v>
      </c>
      <c r="E2411" s="93">
        <v>4799</v>
      </c>
    </row>
    <row r="2412" spans="1:5" x14ac:dyDescent="0.25">
      <c r="A2412" s="93" t="s">
        <v>2476</v>
      </c>
      <c r="B2412" s="93"/>
      <c r="C2412" s="93"/>
      <c r="D2412" s="93">
        <v>3105439</v>
      </c>
      <c r="E2412" s="93">
        <v>2558924</v>
      </c>
    </row>
    <row r="2413" spans="1:5" x14ac:dyDescent="0.25">
      <c r="A2413" s="93" t="s">
        <v>2477</v>
      </c>
      <c r="B2413" s="93"/>
      <c r="C2413" s="93"/>
      <c r="D2413" s="93">
        <v>2435634</v>
      </c>
      <c r="E2413" s="93">
        <v>1613397</v>
      </c>
    </row>
    <row r="2414" spans="1:5" x14ac:dyDescent="0.25">
      <c r="A2414" s="93" t="s">
        <v>2478</v>
      </c>
      <c r="B2414" s="93"/>
      <c r="C2414" s="93"/>
      <c r="D2414" s="93">
        <v>0</v>
      </c>
      <c r="E2414" s="93">
        <v>7635</v>
      </c>
    </row>
    <row r="2415" spans="1:5" x14ac:dyDescent="0.25">
      <c r="A2415" s="93" t="s">
        <v>2479</v>
      </c>
      <c r="B2415" s="93"/>
      <c r="C2415" s="93"/>
      <c r="D2415" s="93">
        <v>2435634</v>
      </c>
      <c r="E2415" s="93">
        <v>1605762</v>
      </c>
    </row>
    <row r="2416" spans="1:5" x14ac:dyDescent="0.25">
      <c r="A2416" s="93" t="s">
        <v>2480</v>
      </c>
      <c r="B2416" s="93"/>
      <c r="C2416" s="93"/>
      <c r="D2416" s="93">
        <v>669805</v>
      </c>
      <c r="E2416" s="93">
        <v>950326</v>
      </c>
    </row>
    <row r="2417" spans="1:5" x14ac:dyDescent="0.25">
      <c r="A2417" s="93" t="s">
        <v>2481</v>
      </c>
      <c r="B2417" s="93"/>
      <c r="C2417" s="93"/>
      <c r="D2417" s="93">
        <v>7648323</v>
      </c>
      <c r="E2417" s="93">
        <v>6820705</v>
      </c>
    </row>
    <row r="2418" spans="1:5" x14ac:dyDescent="0.25">
      <c r="A2418" s="93" t="s">
        <v>2482</v>
      </c>
      <c r="B2418" s="93"/>
      <c r="C2418" s="93"/>
      <c r="D2418" s="93">
        <v>764832</v>
      </c>
      <c r="E2418" s="93">
        <v>682070</v>
      </c>
    </row>
    <row r="2419" spans="1:5" x14ac:dyDescent="0.25">
      <c r="A2419" s="93" t="s">
        <v>2483</v>
      </c>
      <c r="B2419" s="93"/>
      <c r="C2419" s="93"/>
      <c r="D2419" s="93">
        <v>53573</v>
      </c>
      <c r="E2419" s="93">
        <v>37041</v>
      </c>
    </row>
    <row r="2420" spans="1:5" x14ac:dyDescent="0.25">
      <c r="A2420" s="93" t="s">
        <v>2484</v>
      </c>
      <c r="B2420" s="93"/>
      <c r="C2420" s="93"/>
      <c r="D2420" s="93">
        <v>29414</v>
      </c>
      <c r="E2420" s="93">
        <v>14736</v>
      </c>
    </row>
    <row r="2421" spans="1:5" x14ac:dyDescent="0.25">
      <c r="A2421" s="93" t="s">
        <v>2485</v>
      </c>
      <c r="B2421" s="93"/>
      <c r="C2421" s="93"/>
      <c r="D2421" s="93">
        <v>6907650</v>
      </c>
      <c r="E2421" s="93">
        <v>6160940</v>
      </c>
    </row>
    <row r="2422" spans="1:5" x14ac:dyDescent="0.25">
      <c r="A2422" s="93" t="s">
        <v>2486</v>
      </c>
      <c r="B2422" s="93"/>
      <c r="C2422" s="93"/>
      <c r="D2422" s="93">
        <v>645891</v>
      </c>
      <c r="E2422" s="93">
        <v>634555</v>
      </c>
    </row>
    <row r="2423" spans="1:5" x14ac:dyDescent="0.25">
      <c r="A2423" s="11" t="s">
        <v>1738</v>
      </c>
      <c r="B2423" s="11">
        <v>554331499</v>
      </c>
      <c r="C2423" s="11">
        <v>20650325</v>
      </c>
      <c r="D2423" s="11">
        <v>533681174</v>
      </c>
      <c r="E2423" s="11">
        <v>493590257</v>
      </c>
    </row>
    <row r="2424" spans="1:5" x14ac:dyDescent="0.25">
      <c r="A2424" s="11" t="s">
        <v>1739</v>
      </c>
      <c r="B2424" s="11">
        <v>28215469</v>
      </c>
      <c r="C2424" s="11">
        <v>1235765</v>
      </c>
      <c r="D2424" s="11">
        <v>26979704</v>
      </c>
      <c r="E2424" s="11">
        <v>33024990</v>
      </c>
    </row>
    <row r="2425" spans="1:5" x14ac:dyDescent="0.25">
      <c r="A2425" s="11" t="s">
        <v>1740</v>
      </c>
      <c r="B2425" s="11">
        <v>5463510</v>
      </c>
      <c r="C2425" s="11">
        <v>0</v>
      </c>
      <c r="D2425" s="11">
        <v>5463510</v>
      </c>
      <c r="E2425" s="11">
        <v>5325448</v>
      </c>
    </row>
    <row r="2426" spans="1:5" x14ac:dyDescent="0.25">
      <c r="A2426" s="11" t="s">
        <v>1741</v>
      </c>
      <c r="B2426" s="11">
        <v>1825208</v>
      </c>
      <c r="C2426" s="11">
        <v>961759</v>
      </c>
      <c r="D2426" s="11">
        <v>863449</v>
      </c>
      <c r="E2426" s="11">
        <v>539368</v>
      </c>
    </row>
    <row r="2427" spans="1:5" x14ac:dyDescent="0.25">
      <c r="A2427" s="11" t="s">
        <v>1988</v>
      </c>
      <c r="B2427" s="11">
        <v>20629259</v>
      </c>
      <c r="C2427" s="11">
        <v>13319</v>
      </c>
      <c r="D2427" s="11">
        <v>20615940</v>
      </c>
      <c r="E2427" s="11">
        <v>27101126</v>
      </c>
    </row>
    <row r="2428" spans="1:5" x14ac:dyDescent="0.25">
      <c r="A2428" s="11" t="s">
        <v>1742</v>
      </c>
      <c r="B2428" s="11">
        <v>297492</v>
      </c>
      <c r="C2428" s="11">
        <v>260687</v>
      </c>
      <c r="D2428" s="11">
        <v>36805</v>
      </c>
      <c r="E2428" s="11">
        <v>59048</v>
      </c>
    </row>
    <row r="2429" spans="1:5" x14ac:dyDescent="0.25">
      <c r="A2429" s="11" t="s">
        <v>1743</v>
      </c>
      <c r="B2429" s="11">
        <v>36837479</v>
      </c>
      <c r="C2429" s="11">
        <v>0</v>
      </c>
      <c r="D2429" s="11">
        <v>36837479</v>
      </c>
      <c r="E2429" s="11">
        <v>28405926</v>
      </c>
    </row>
    <row r="2430" spans="1:5" x14ac:dyDescent="0.25">
      <c r="A2430" s="11" t="s">
        <v>1744</v>
      </c>
      <c r="B2430" s="11">
        <v>36837479</v>
      </c>
      <c r="C2430" s="11">
        <v>0</v>
      </c>
      <c r="D2430" s="11">
        <v>36837479</v>
      </c>
      <c r="E2430" s="11">
        <v>28405926</v>
      </c>
    </row>
    <row r="2431" spans="1:5" x14ac:dyDescent="0.25">
      <c r="A2431" s="11" t="s">
        <v>1745</v>
      </c>
      <c r="B2431" s="11">
        <v>4382535</v>
      </c>
      <c r="C2431" s="11">
        <v>1633212</v>
      </c>
      <c r="D2431" s="11">
        <v>2749323</v>
      </c>
      <c r="E2431" s="11">
        <v>2300373</v>
      </c>
    </row>
    <row r="2432" spans="1:5" x14ac:dyDescent="0.25">
      <c r="A2432" s="11" t="s">
        <v>1746</v>
      </c>
      <c r="B2432" s="11">
        <v>4332474</v>
      </c>
      <c r="C2432" s="11">
        <v>1611732</v>
      </c>
      <c r="D2432" s="11">
        <v>2720742</v>
      </c>
      <c r="E2432" s="11">
        <v>2272108</v>
      </c>
    </row>
    <row r="2433" spans="1:5" x14ac:dyDescent="0.25">
      <c r="A2433" s="11" t="s">
        <v>1747</v>
      </c>
      <c r="B2433" s="11">
        <v>50061</v>
      </c>
      <c r="C2433" s="11">
        <v>21480</v>
      </c>
      <c r="D2433" s="11">
        <v>28581</v>
      </c>
      <c r="E2433" s="11">
        <v>28265</v>
      </c>
    </row>
    <row r="2434" spans="1:5" x14ac:dyDescent="0.25">
      <c r="A2434" s="11" t="s">
        <v>1748</v>
      </c>
      <c r="B2434" s="11">
        <v>376146782</v>
      </c>
      <c r="C2434" s="11">
        <v>2187144</v>
      </c>
      <c r="D2434" s="11">
        <v>373959638</v>
      </c>
      <c r="E2434" s="11">
        <v>350506471</v>
      </c>
    </row>
    <row r="2435" spans="1:5" x14ac:dyDescent="0.25">
      <c r="A2435" s="11" t="s">
        <v>1749</v>
      </c>
      <c r="B2435" s="11">
        <v>133052651</v>
      </c>
      <c r="C2435" s="11">
        <v>415781</v>
      </c>
      <c r="D2435" s="11">
        <v>132636870</v>
      </c>
      <c r="E2435" s="11">
        <v>127106342</v>
      </c>
    </row>
    <row r="2436" spans="1:5" x14ac:dyDescent="0.25">
      <c r="A2436" s="11" t="s">
        <v>1750</v>
      </c>
      <c r="B2436" s="11">
        <v>230764545</v>
      </c>
      <c r="C2436" s="11">
        <v>1762845</v>
      </c>
      <c r="D2436" s="11">
        <v>229001700</v>
      </c>
      <c r="E2436" s="11">
        <v>208636659</v>
      </c>
    </row>
    <row r="2437" spans="1:5" x14ac:dyDescent="0.25">
      <c r="A2437" s="11" t="s">
        <v>1751</v>
      </c>
      <c r="B2437" s="11">
        <v>12329586</v>
      </c>
      <c r="C2437" s="11">
        <v>8518</v>
      </c>
      <c r="D2437" s="11">
        <v>12321068</v>
      </c>
      <c r="E2437" s="11">
        <v>14763470</v>
      </c>
    </row>
    <row r="2438" spans="1:5" x14ac:dyDescent="0.25">
      <c r="A2438" s="11" t="s">
        <v>1752</v>
      </c>
      <c r="B2438" s="11">
        <v>3271630</v>
      </c>
      <c r="C2438" s="11">
        <v>907</v>
      </c>
      <c r="D2438" s="11">
        <v>3270723</v>
      </c>
      <c r="E2438" s="11">
        <v>438178</v>
      </c>
    </row>
    <row r="2439" spans="1:5" x14ac:dyDescent="0.25">
      <c r="A2439" s="11" t="s">
        <v>1753</v>
      </c>
      <c r="B2439" s="11">
        <v>404200</v>
      </c>
      <c r="C2439" s="11">
        <v>907</v>
      </c>
      <c r="D2439" s="11">
        <v>403293</v>
      </c>
      <c r="E2439" s="11">
        <v>414317</v>
      </c>
    </row>
    <row r="2440" spans="1:5" x14ac:dyDescent="0.25">
      <c r="A2440" s="11" t="s">
        <v>1989</v>
      </c>
      <c r="B2440" s="11">
        <v>2843569</v>
      </c>
      <c r="C2440" s="11">
        <v>0</v>
      </c>
      <c r="D2440" s="11">
        <v>2843569</v>
      </c>
      <c r="E2440" s="11">
        <v>0</v>
      </c>
    </row>
    <row r="2441" spans="1:5" x14ac:dyDescent="0.25">
      <c r="A2441" s="11" t="s">
        <v>1754</v>
      </c>
      <c r="B2441" s="11">
        <v>23861</v>
      </c>
      <c r="C2441" s="11">
        <v>0</v>
      </c>
      <c r="D2441" s="11">
        <v>23861</v>
      </c>
      <c r="E2441" s="11">
        <v>23861</v>
      </c>
    </row>
    <row r="2442" spans="1:5" x14ac:dyDescent="0.25">
      <c r="A2442" s="11" t="s">
        <v>1755</v>
      </c>
      <c r="B2442" s="11">
        <v>103536658</v>
      </c>
      <c r="C2442" s="11">
        <v>15508573</v>
      </c>
      <c r="D2442" s="11">
        <v>88028085</v>
      </c>
      <c r="E2442" s="11">
        <v>77602126</v>
      </c>
    </row>
    <row r="2443" spans="1:5" x14ac:dyDescent="0.25">
      <c r="A2443" s="11" t="s">
        <v>1990</v>
      </c>
      <c r="B2443" s="11">
        <v>1378735</v>
      </c>
      <c r="C2443" s="11">
        <v>1378735</v>
      </c>
      <c r="D2443" s="11">
        <v>0</v>
      </c>
      <c r="E2443" s="11">
        <v>0</v>
      </c>
    </row>
    <row r="2444" spans="1:5" x14ac:dyDescent="0.25">
      <c r="A2444" s="11" t="s">
        <v>1756</v>
      </c>
      <c r="B2444" s="11">
        <v>100649604</v>
      </c>
      <c r="C2444" s="11">
        <v>14122928</v>
      </c>
      <c r="D2444" s="11">
        <v>86526676</v>
      </c>
      <c r="E2444" s="11">
        <v>76142075</v>
      </c>
    </row>
    <row r="2445" spans="1:5" x14ac:dyDescent="0.25">
      <c r="A2445" s="11" t="s">
        <v>1757</v>
      </c>
      <c r="B2445" s="11">
        <v>1121672</v>
      </c>
      <c r="C2445" s="11">
        <v>4555</v>
      </c>
      <c r="D2445" s="11">
        <v>1117117</v>
      </c>
      <c r="E2445" s="11">
        <v>950210</v>
      </c>
    </row>
    <row r="2446" spans="1:5" x14ac:dyDescent="0.25">
      <c r="A2446" s="11" t="s">
        <v>1758</v>
      </c>
      <c r="B2446" s="11">
        <v>262857</v>
      </c>
      <c r="C2446" s="11">
        <v>74</v>
      </c>
      <c r="D2446" s="11">
        <v>262783</v>
      </c>
      <c r="E2446" s="11">
        <v>273918</v>
      </c>
    </row>
    <row r="2447" spans="1:5" x14ac:dyDescent="0.25">
      <c r="A2447" s="11" t="s">
        <v>1759</v>
      </c>
      <c r="B2447" s="11">
        <v>112951</v>
      </c>
      <c r="C2447" s="11">
        <v>2281</v>
      </c>
      <c r="D2447" s="11">
        <v>110670</v>
      </c>
      <c r="E2447" s="11">
        <v>235182</v>
      </c>
    </row>
    <row r="2448" spans="1:5" x14ac:dyDescent="0.25">
      <c r="A2448" s="11" t="s">
        <v>1760</v>
      </c>
      <c r="B2448" s="11">
        <v>10839</v>
      </c>
      <c r="C2448" s="11">
        <v>0</v>
      </c>
      <c r="D2448" s="11">
        <v>10839</v>
      </c>
      <c r="E2448" s="11">
        <v>741</v>
      </c>
    </row>
    <row r="2449" spans="1:5" x14ac:dyDescent="0.25">
      <c r="A2449" s="11" t="s">
        <v>1761</v>
      </c>
      <c r="B2449" s="11">
        <v>344160</v>
      </c>
      <c r="C2449" s="11">
        <v>84724</v>
      </c>
      <c r="D2449" s="11">
        <v>259436</v>
      </c>
      <c r="E2449" s="11">
        <v>53318</v>
      </c>
    </row>
    <row r="2450" spans="1:5" x14ac:dyDescent="0.25">
      <c r="A2450" s="11" t="s">
        <v>1991</v>
      </c>
      <c r="B2450" s="11">
        <v>1301286</v>
      </c>
      <c r="C2450" s="11">
        <v>0</v>
      </c>
      <c r="D2450" s="11">
        <v>1301286</v>
      </c>
      <c r="E2450" s="11">
        <v>963375</v>
      </c>
    </row>
    <row r="2451" spans="1:5" x14ac:dyDescent="0.25">
      <c r="A2451" s="11" t="s">
        <v>1939</v>
      </c>
      <c r="B2451" s="11">
        <v>295500</v>
      </c>
      <c r="C2451" s="11">
        <v>0</v>
      </c>
      <c r="D2451" s="11">
        <v>295500</v>
      </c>
      <c r="E2451" s="11">
        <v>295500</v>
      </c>
    </row>
    <row r="2452" spans="1:5" x14ac:dyDescent="0.25">
      <c r="A2452" s="11" t="s">
        <v>1762</v>
      </c>
      <c r="B2452" s="11">
        <v>18980153</v>
      </c>
      <c r="C2452" s="11">
        <v>8905055</v>
      </c>
      <c r="D2452" s="11">
        <v>10075098</v>
      </c>
      <c r="E2452" s="11">
        <v>8774291</v>
      </c>
    </row>
    <row r="2453" spans="1:5" x14ac:dyDescent="0.25">
      <c r="A2453" s="11" t="s">
        <v>1763</v>
      </c>
      <c r="B2453" s="11">
        <v>13256507</v>
      </c>
      <c r="C2453" s="11">
        <v>6015112</v>
      </c>
      <c r="D2453" s="11">
        <v>7241395</v>
      </c>
      <c r="E2453" s="11">
        <v>6878794</v>
      </c>
    </row>
    <row r="2454" spans="1:5" x14ac:dyDescent="0.25">
      <c r="A2454" s="11" t="s">
        <v>1764</v>
      </c>
      <c r="B2454" s="11">
        <v>12825978</v>
      </c>
      <c r="C2454" s="11">
        <v>6015112</v>
      </c>
      <c r="D2454" s="11">
        <v>6810866</v>
      </c>
      <c r="E2454" s="11">
        <v>6620078</v>
      </c>
    </row>
    <row r="2455" spans="1:5" x14ac:dyDescent="0.25">
      <c r="A2455" s="11" t="s">
        <v>1765</v>
      </c>
      <c r="B2455" s="11">
        <v>430529</v>
      </c>
      <c r="C2455" s="11">
        <v>0</v>
      </c>
      <c r="D2455" s="11">
        <v>430529</v>
      </c>
      <c r="E2455" s="11">
        <v>258716</v>
      </c>
    </row>
    <row r="2456" spans="1:5" x14ac:dyDescent="0.25">
      <c r="A2456" s="11" t="s">
        <v>1766</v>
      </c>
      <c r="B2456" s="11">
        <v>5723646</v>
      </c>
      <c r="C2456" s="11">
        <v>2889943</v>
      </c>
      <c r="D2456" s="11">
        <v>2833703</v>
      </c>
      <c r="E2456" s="11">
        <v>1895497</v>
      </c>
    </row>
    <row r="2457" spans="1:5" x14ac:dyDescent="0.25">
      <c r="A2457" s="11" t="s">
        <v>1767</v>
      </c>
      <c r="B2457" s="11">
        <v>5429598</v>
      </c>
      <c r="C2457" s="11">
        <v>2889943</v>
      </c>
      <c r="D2457" s="11">
        <v>2539655</v>
      </c>
      <c r="E2457" s="11">
        <v>1110036</v>
      </c>
    </row>
    <row r="2458" spans="1:5" x14ac:dyDescent="0.25">
      <c r="A2458" s="11" t="s">
        <v>1768</v>
      </c>
      <c r="B2458" s="11">
        <v>294048</v>
      </c>
      <c r="C2458" s="11">
        <v>0</v>
      </c>
      <c r="D2458" s="11">
        <v>294048</v>
      </c>
      <c r="E2458" s="11">
        <v>785461</v>
      </c>
    </row>
    <row r="2459" spans="1:5" x14ac:dyDescent="0.25">
      <c r="A2459" s="11" t="s">
        <v>1769</v>
      </c>
      <c r="B2459" s="11">
        <v>573311652</v>
      </c>
      <c r="C2459" s="11">
        <v>29555380</v>
      </c>
      <c r="D2459" s="11">
        <v>543756272</v>
      </c>
      <c r="E2459" s="11">
        <v>502364548</v>
      </c>
    </row>
    <row r="2460" spans="1:5" x14ac:dyDescent="0.25">
      <c r="A2460" s="11" t="s">
        <v>1992</v>
      </c>
      <c r="B2460" s="11">
        <v>128465212</v>
      </c>
      <c r="C2460" s="11">
        <v>0</v>
      </c>
      <c r="D2460" s="11">
        <v>128465212</v>
      </c>
      <c r="E2460" s="11">
        <v>114255921</v>
      </c>
    </row>
    <row r="2461" spans="1:5" x14ac:dyDescent="0.25">
      <c r="A2461" s="11" t="s">
        <v>1770</v>
      </c>
      <c r="B2461" s="11">
        <v>701776864</v>
      </c>
      <c r="C2461" s="11">
        <v>29555380</v>
      </c>
      <c r="D2461" s="11">
        <v>672221484</v>
      </c>
      <c r="E2461" s="11">
        <v>616620469</v>
      </c>
    </row>
    <row r="2462" spans="1:5" x14ac:dyDescent="0.25">
      <c r="A2462" s="93" t="s">
        <v>2488</v>
      </c>
      <c r="B2462" s="93"/>
      <c r="C2462" s="93"/>
      <c r="D2462" s="93">
        <v>533681174</v>
      </c>
      <c r="E2462" s="93">
        <v>493590257</v>
      </c>
    </row>
    <row r="2463" spans="1:5" x14ac:dyDescent="0.25">
      <c r="A2463" s="93" t="s">
        <v>2489</v>
      </c>
      <c r="B2463" s="93"/>
      <c r="C2463" s="93"/>
      <c r="D2463" s="93">
        <v>26979704</v>
      </c>
      <c r="E2463" s="93">
        <v>33024990</v>
      </c>
    </row>
    <row r="2464" spans="1:5" x14ac:dyDescent="0.25">
      <c r="A2464" s="93" t="s">
        <v>2490</v>
      </c>
      <c r="B2464" s="93"/>
      <c r="C2464" s="93"/>
      <c r="D2464" s="93">
        <v>5463510</v>
      </c>
      <c r="E2464" s="93">
        <v>5325448</v>
      </c>
    </row>
    <row r="2465" spans="1:5" x14ac:dyDescent="0.25">
      <c r="A2465" s="93" t="s">
        <v>2491</v>
      </c>
      <c r="B2465" s="93"/>
      <c r="C2465" s="93"/>
      <c r="D2465" s="93">
        <v>863449</v>
      </c>
      <c r="E2465" s="93">
        <v>539368</v>
      </c>
    </row>
    <row r="2466" spans="1:5" x14ac:dyDescent="0.25">
      <c r="A2466" s="93" t="s">
        <v>2492</v>
      </c>
      <c r="B2466" s="93"/>
      <c r="C2466" s="93"/>
      <c r="D2466" s="93">
        <v>20615940</v>
      </c>
      <c r="E2466" s="93">
        <v>27101126</v>
      </c>
    </row>
    <row r="2467" spans="1:5" x14ac:dyDescent="0.25">
      <c r="A2467" s="93" t="s">
        <v>2493</v>
      </c>
      <c r="B2467" s="93"/>
      <c r="C2467" s="93"/>
      <c r="D2467" s="93">
        <v>36805</v>
      </c>
      <c r="E2467" s="93">
        <v>59048</v>
      </c>
    </row>
    <row r="2468" spans="1:5" x14ac:dyDescent="0.25">
      <c r="A2468" s="93" t="s">
        <v>2494</v>
      </c>
      <c r="B2468" s="93"/>
      <c r="C2468" s="93"/>
      <c r="D2468" s="93">
        <v>36837479</v>
      </c>
      <c r="E2468" s="93">
        <v>28405926</v>
      </c>
    </row>
    <row r="2469" spans="1:5" x14ac:dyDescent="0.25">
      <c r="A2469" s="93" t="s">
        <v>2495</v>
      </c>
      <c r="B2469" s="93"/>
      <c r="C2469" s="93"/>
      <c r="D2469" s="93">
        <v>36837479</v>
      </c>
      <c r="E2469" s="93">
        <v>28405926</v>
      </c>
    </row>
    <row r="2470" spans="1:5" x14ac:dyDescent="0.25">
      <c r="A2470" s="11" t="s">
        <v>1771</v>
      </c>
      <c r="B2470" s="11"/>
      <c r="C2470" s="11"/>
      <c r="D2470" s="11">
        <v>459214560</v>
      </c>
      <c r="E2470" s="11">
        <v>434616776</v>
      </c>
    </row>
    <row r="2471" spans="1:5" x14ac:dyDescent="0.25">
      <c r="A2471" s="11" t="s">
        <v>1772</v>
      </c>
      <c r="B2471" s="11"/>
      <c r="C2471" s="11"/>
      <c r="D2471" s="11">
        <v>442850242</v>
      </c>
      <c r="E2471" s="11">
        <v>416022099</v>
      </c>
    </row>
    <row r="2472" spans="1:5" x14ac:dyDescent="0.25">
      <c r="A2472" s="11" t="s">
        <v>1773</v>
      </c>
      <c r="B2472" s="11"/>
      <c r="C2472" s="11"/>
      <c r="D2472" s="11">
        <v>124655465</v>
      </c>
      <c r="E2472" s="11">
        <v>113088808</v>
      </c>
    </row>
    <row r="2473" spans="1:5" x14ac:dyDescent="0.25">
      <c r="A2473" s="11" t="s">
        <v>1774</v>
      </c>
      <c r="B2473" s="11"/>
      <c r="C2473" s="11"/>
      <c r="D2473" s="11">
        <v>125552822</v>
      </c>
      <c r="E2473" s="11">
        <v>104554217</v>
      </c>
    </row>
    <row r="2474" spans="1:5" x14ac:dyDescent="0.25">
      <c r="A2474" s="11" t="s">
        <v>1775</v>
      </c>
      <c r="B2474" s="11"/>
      <c r="C2474" s="11"/>
      <c r="D2474" s="11">
        <v>192641955</v>
      </c>
      <c r="E2474" s="11">
        <v>198379074</v>
      </c>
    </row>
    <row r="2475" spans="1:5" x14ac:dyDescent="0.25">
      <c r="A2475" s="11" t="s">
        <v>1776</v>
      </c>
      <c r="B2475" s="11"/>
      <c r="C2475" s="11"/>
      <c r="D2475" s="11">
        <v>264589</v>
      </c>
      <c r="E2475" s="11">
        <v>227700</v>
      </c>
    </row>
    <row r="2476" spans="1:5" x14ac:dyDescent="0.25">
      <c r="A2476" s="11" t="s">
        <v>1777</v>
      </c>
      <c r="B2476" s="11"/>
      <c r="C2476" s="11"/>
      <c r="D2476" s="11">
        <v>239337</v>
      </c>
      <c r="E2476" s="11">
        <v>197933</v>
      </c>
    </row>
    <row r="2477" spans="1:5" x14ac:dyDescent="0.25">
      <c r="A2477" s="11" t="s">
        <v>1778</v>
      </c>
      <c r="B2477" s="11"/>
      <c r="C2477" s="11"/>
      <c r="D2477" s="11">
        <v>25252</v>
      </c>
      <c r="E2477" s="11">
        <v>29767</v>
      </c>
    </row>
    <row r="2478" spans="1:5" x14ac:dyDescent="0.25">
      <c r="A2478" s="11" t="s">
        <v>1779</v>
      </c>
      <c r="B2478" s="11"/>
      <c r="C2478" s="11"/>
      <c r="D2478" s="11">
        <v>16099729</v>
      </c>
      <c r="E2478" s="11">
        <v>18366977</v>
      </c>
    </row>
    <row r="2479" spans="1:5" x14ac:dyDescent="0.25">
      <c r="A2479" s="11" t="s">
        <v>1780</v>
      </c>
      <c r="B2479" s="11"/>
      <c r="C2479" s="11"/>
      <c r="D2479" s="11">
        <v>0</v>
      </c>
      <c r="E2479" s="11">
        <v>16902</v>
      </c>
    </row>
    <row r="2480" spans="1:5" x14ac:dyDescent="0.25">
      <c r="A2480" s="11" t="s">
        <v>1781</v>
      </c>
      <c r="B2480" s="11"/>
      <c r="C2480" s="11"/>
      <c r="D2480" s="11">
        <v>2395422</v>
      </c>
      <c r="E2480" s="11">
        <v>2474637</v>
      </c>
    </row>
    <row r="2481" spans="1:5" x14ac:dyDescent="0.25">
      <c r="A2481" s="11" t="s">
        <v>1782</v>
      </c>
      <c r="B2481" s="11"/>
      <c r="C2481" s="11"/>
      <c r="D2481" s="11">
        <v>45741</v>
      </c>
      <c r="E2481" s="11">
        <v>174459</v>
      </c>
    </row>
    <row r="2482" spans="1:5" x14ac:dyDescent="0.25">
      <c r="A2482" s="11" t="s">
        <v>1783</v>
      </c>
      <c r="B2482" s="11"/>
      <c r="C2482" s="11"/>
      <c r="D2482" s="11">
        <v>91578</v>
      </c>
      <c r="E2482" s="11">
        <v>157083</v>
      </c>
    </row>
    <row r="2483" spans="1:5" x14ac:dyDescent="0.25">
      <c r="A2483" s="11" t="s">
        <v>1784</v>
      </c>
      <c r="B2483" s="11"/>
      <c r="C2483" s="11"/>
      <c r="D2483" s="11">
        <v>125513</v>
      </c>
      <c r="E2483" s="11">
        <v>126188</v>
      </c>
    </row>
    <row r="2484" spans="1:5" x14ac:dyDescent="0.25">
      <c r="A2484" s="11" t="s">
        <v>1785</v>
      </c>
      <c r="B2484" s="11"/>
      <c r="C2484" s="11"/>
      <c r="D2484" s="11">
        <v>643270</v>
      </c>
      <c r="E2484" s="11">
        <v>640668</v>
      </c>
    </row>
    <row r="2485" spans="1:5" x14ac:dyDescent="0.25">
      <c r="A2485" s="11" t="s">
        <v>1786</v>
      </c>
      <c r="B2485" s="11"/>
      <c r="C2485" s="11"/>
      <c r="D2485" s="11">
        <v>5336469</v>
      </c>
      <c r="E2485" s="11">
        <v>3815129</v>
      </c>
    </row>
    <row r="2486" spans="1:5" x14ac:dyDescent="0.25">
      <c r="A2486" s="11" t="s">
        <v>1787</v>
      </c>
      <c r="B2486" s="11"/>
      <c r="C2486" s="11"/>
      <c r="D2486" s="11">
        <v>4000000</v>
      </c>
      <c r="E2486" s="11">
        <v>4000000</v>
      </c>
    </row>
    <row r="2487" spans="1:5" x14ac:dyDescent="0.25">
      <c r="A2487" s="11" t="s">
        <v>1788</v>
      </c>
      <c r="B2487" s="11"/>
      <c r="C2487" s="11"/>
      <c r="D2487" s="11">
        <v>52597</v>
      </c>
      <c r="E2487" s="11">
        <v>414141</v>
      </c>
    </row>
    <row r="2488" spans="1:5" x14ac:dyDescent="0.25">
      <c r="A2488" s="11" t="s">
        <v>1789</v>
      </c>
      <c r="B2488" s="11"/>
      <c r="C2488" s="11"/>
      <c r="D2488" s="11">
        <v>3409139</v>
      </c>
      <c r="E2488" s="11">
        <v>2636110</v>
      </c>
    </row>
    <row r="2489" spans="1:5" x14ac:dyDescent="0.25">
      <c r="A2489" s="11" t="s">
        <v>1993</v>
      </c>
      <c r="B2489" s="11"/>
      <c r="C2489" s="11"/>
      <c r="D2489" s="11">
        <v>0</v>
      </c>
      <c r="E2489" s="11">
        <v>3911660</v>
      </c>
    </row>
    <row r="2490" spans="1:5" x14ac:dyDescent="0.25">
      <c r="A2490" s="11" t="s">
        <v>1790</v>
      </c>
      <c r="B2490" s="11"/>
      <c r="C2490" s="11"/>
      <c r="D2490" s="11">
        <v>84541712</v>
      </c>
      <c r="E2490" s="11">
        <v>67747772</v>
      </c>
    </row>
    <row r="2491" spans="1:5" x14ac:dyDescent="0.25">
      <c r="A2491" s="11" t="s">
        <v>1791</v>
      </c>
      <c r="B2491" s="11"/>
      <c r="C2491" s="11"/>
      <c r="D2491" s="11">
        <v>53963200</v>
      </c>
      <c r="E2491" s="11">
        <v>38963200</v>
      </c>
    </row>
    <row r="2492" spans="1:5" x14ac:dyDescent="0.25">
      <c r="A2492" s="11" t="s">
        <v>1792</v>
      </c>
      <c r="B2492" s="11"/>
      <c r="C2492" s="11"/>
      <c r="D2492" s="11">
        <v>38728000</v>
      </c>
      <c r="E2492" s="11">
        <v>23728000</v>
      </c>
    </row>
    <row r="2493" spans="1:5" x14ac:dyDescent="0.25">
      <c r="A2493" s="11" t="s">
        <v>1793</v>
      </c>
      <c r="B2493" s="11"/>
      <c r="C2493" s="11"/>
      <c r="D2493" s="11">
        <v>15235200</v>
      </c>
      <c r="E2493" s="11">
        <v>15235200</v>
      </c>
    </row>
    <row r="2494" spans="1:5" x14ac:dyDescent="0.25">
      <c r="A2494" s="11" t="s">
        <v>1794</v>
      </c>
      <c r="B2494" s="11"/>
      <c r="C2494" s="11"/>
      <c r="D2494" s="11">
        <v>23049001</v>
      </c>
      <c r="E2494" s="11">
        <v>20908770</v>
      </c>
    </row>
    <row r="2495" spans="1:5" x14ac:dyDescent="0.25">
      <c r="A2495" s="11" t="s">
        <v>1795</v>
      </c>
      <c r="B2495" s="11"/>
      <c r="C2495" s="11"/>
      <c r="D2495" s="11">
        <v>2892318</v>
      </c>
      <c r="E2495" s="11">
        <v>2847809</v>
      </c>
    </row>
    <row r="2496" spans="1:5" x14ac:dyDescent="0.25">
      <c r="A2496" s="11" t="s">
        <v>1796</v>
      </c>
      <c r="B2496" s="11"/>
      <c r="C2496" s="11"/>
      <c r="D2496" s="11">
        <v>20156683</v>
      </c>
      <c r="E2496" s="11">
        <v>18060961</v>
      </c>
    </row>
    <row r="2497" spans="1:5" x14ac:dyDescent="0.25">
      <c r="A2497" s="11" t="s">
        <v>1797</v>
      </c>
      <c r="B2497" s="11"/>
      <c r="C2497" s="11"/>
      <c r="D2497" s="11">
        <v>1129621</v>
      </c>
      <c r="E2497" s="11">
        <v>1135687</v>
      </c>
    </row>
    <row r="2498" spans="1:5" x14ac:dyDescent="0.25">
      <c r="A2498" s="11" t="s">
        <v>1798</v>
      </c>
      <c r="B2498" s="11"/>
      <c r="C2498" s="11"/>
      <c r="D2498" s="11">
        <v>1129621</v>
      </c>
      <c r="E2498" s="11">
        <v>1135687</v>
      </c>
    </row>
    <row r="2499" spans="1:5" x14ac:dyDescent="0.25">
      <c r="A2499" s="11" t="s">
        <v>1799</v>
      </c>
      <c r="B2499" s="11"/>
      <c r="C2499" s="11"/>
      <c r="D2499" s="11">
        <v>6399890</v>
      </c>
      <c r="E2499" s="11">
        <v>6740115</v>
      </c>
    </row>
    <row r="2500" spans="1:5" x14ac:dyDescent="0.25">
      <c r="A2500" s="11" t="s">
        <v>1800</v>
      </c>
      <c r="B2500" s="11"/>
      <c r="C2500" s="11"/>
      <c r="D2500" s="11">
        <v>1793940</v>
      </c>
      <c r="E2500" s="11">
        <v>2985895</v>
      </c>
    </row>
    <row r="2501" spans="1:5" x14ac:dyDescent="0.25">
      <c r="A2501" s="11" t="s">
        <v>1801</v>
      </c>
      <c r="B2501" s="11"/>
      <c r="C2501" s="11"/>
      <c r="D2501" s="11">
        <v>4605950</v>
      </c>
      <c r="E2501" s="11">
        <v>3754220</v>
      </c>
    </row>
    <row r="2502" spans="1:5" x14ac:dyDescent="0.25">
      <c r="A2502" s="11" t="s">
        <v>1802</v>
      </c>
      <c r="B2502" s="11"/>
      <c r="C2502" s="11"/>
      <c r="D2502" s="11">
        <v>543756272</v>
      </c>
      <c r="E2502" s="11">
        <v>502364548</v>
      </c>
    </row>
    <row r="2503" spans="1:5" x14ac:dyDescent="0.25">
      <c r="A2503" s="11" t="s">
        <v>1994</v>
      </c>
      <c r="B2503" s="11"/>
      <c r="C2503" s="11"/>
      <c r="D2503" s="11">
        <v>128465212</v>
      </c>
      <c r="E2503" s="11">
        <v>114255921</v>
      </c>
    </row>
    <row r="2504" spans="1:5" x14ac:dyDescent="0.25">
      <c r="A2504" s="11" t="s">
        <v>1803</v>
      </c>
      <c r="B2504" s="11"/>
      <c r="C2504" s="11"/>
      <c r="D2504" s="11">
        <v>672221484</v>
      </c>
      <c r="E2504" s="11">
        <v>616620469</v>
      </c>
    </row>
    <row r="2505" spans="1:5" x14ac:dyDescent="0.25">
      <c r="A2505" s="11" t="s">
        <v>1804</v>
      </c>
      <c r="B2505" s="11"/>
      <c r="C2505" s="11"/>
      <c r="D2505" s="11">
        <v>15105429</v>
      </c>
      <c r="E2505" s="11">
        <v>12643141</v>
      </c>
    </row>
    <row r="2506" spans="1:5" x14ac:dyDescent="0.25">
      <c r="A2506" s="11" t="s">
        <v>1805</v>
      </c>
      <c r="B2506" s="11"/>
      <c r="C2506" s="11"/>
      <c r="D2506" s="11">
        <v>4748984</v>
      </c>
      <c r="E2506" s="11">
        <v>3593805</v>
      </c>
    </row>
    <row r="2507" spans="1:5" x14ac:dyDescent="0.25">
      <c r="A2507" s="11" t="s">
        <v>1806</v>
      </c>
      <c r="B2507" s="11"/>
      <c r="C2507" s="11"/>
      <c r="D2507" s="11">
        <v>10321003</v>
      </c>
      <c r="E2507" s="11">
        <v>9008611</v>
      </c>
    </row>
    <row r="2508" spans="1:5" x14ac:dyDescent="0.25">
      <c r="A2508" s="11" t="s">
        <v>1807</v>
      </c>
      <c r="B2508" s="11"/>
      <c r="C2508" s="11"/>
      <c r="D2508" s="11">
        <v>35442</v>
      </c>
      <c r="E2508" s="11">
        <v>40725</v>
      </c>
    </row>
    <row r="2509" spans="1:5" x14ac:dyDescent="0.25">
      <c r="A2509" s="11" t="s">
        <v>1808</v>
      </c>
      <c r="B2509" s="11"/>
      <c r="C2509" s="11"/>
      <c r="D2509" s="11">
        <v>5978857</v>
      </c>
      <c r="E2509" s="11">
        <v>4755076</v>
      </c>
    </row>
    <row r="2510" spans="1:5" x14ac:dyDescent="0.25">
      <c r="A2510" s="11" t="s">
        <v>1809</v>
      </c>
      <c r="B2510" s="11"/>
      <c r="C2510" s="11"/>
      <c r="D2510" s="11">
        <v>1463286</v>
      </c>
      <c r="E2510" s="11">
        <v>665690</v>
      </c>
    </row>
    <row r="2511" spans="1:5" x14ac:dyDescent="0.25">
      <c r="A2511" s="11" t="s">
        <v>1810</v>
      </c>
      <c r="B2511" s="11"/>
      <c r="C2511" s="11"/>
      <c r="D2511" s="11">
        <v>1415836</v>
      </c>
      <c r="E2511" s="11">
        <v>1251610</v>
      </c>
    </row>
    <row r="2512" spans="1:5" x14ac:dyDescent="0.25">
      <c r="A2512" s="11" t="s">
        <v>1811</v>
      </c>
      <c r="B2512" s="11"/>
      <c r="C2512" s="11"/>
      <c r="D2512" s="11">
        <v>3099735</v>
      </c>
      <c r="E2512" s="11">
        <v>2837776</v>
      </c>
    </row>
    <row r="2513" spans="1:5" x14ac:dyDescent="0.25">
      <c r="A2513" s="11" t="s">
        <v>1812</v>
      </c>
      <c r="B2513" s="11"/>
      <c r="C2513" s="11"/>
      <c r="D2513" s="11">
        <v>9126572</v>
      </c>
      <c r="E2513" s="11">
        <v>7888065</v>
      </c>
    </row>
    <row r="2514" spans="1:5" x14ac:dyDescent="0.25">
      <c r="A2514" s="11" t="s">
        <v>1813</v>
      </c>
      <c r="B2514" s="11"/>
      <c r="C2514" s="11"/>
      <c r="D2514" s="11">
        <v>4683819</v>
      </c>
      <c r="E2514" s="11">
        <v>4053415</v>
      </c>
    </row>
    <row r="2515" spans="1:5" x14ac:dyDescent="0.25">
      <c r="A2515" s="11" t="s">
        <v>1814</v>
      </c>
      <c r="B2515" s="11"/>
      <c r="C2515" s="11"/>
      <c r="D2515" s="11">
        <v>1496139</v>
      </c>
      <c r="E2515" s="11">
        <v>1343606</v>
      </c>
    </row>
    <row r="2516" spans="1:5" x14ac:dyDescent="0.25">
      <c r="A2516" s="11" t="s">
        <v>1815</v>
      </c>
      <c r="B2516" s="11"/>
      <c r="C2516" s="11"/>
      <c r="D2516" s="11">
        <v>1481857</v>
      </c>
      <c r="E2516" s="11">
        <v>1307144</v>
      </c>
    </row>
    <row r="2517" spans="1:5" x14ac:dyDescent="0.25">
      <c r="A2517" s="11" t="s">
        <v>1816</v>
      </c>
      <c r="B2517" s="11"/>
      <c r="C2517" s="11"/>
      <c r="D2517" s="11">
        <v>1705823</v>
      </c>
      <c r="E2517" s="11">
        <v>1402665</v>
      </c>
    </row>
    <row r="2518" spans="1:5" x14ac:dyDescent="0.25">
      <c r="A2518" s="11" t="s">
        <v>1817</v>
      </c>
      <c r="B2518" s="11"/>
      <c r="C2518" s="11"/>
      <c r="D2518" s="11">
        <v>770976</v>
      </c>
      <c r="E2518" s="11">
        <v>502123</v>
      </c>
    </row>
    <row r="2519" spans="1:5" x14ac:dyDescent="0.25">
      <c r="A2519" s="11" t="s">
        <v>1818</v>
      </c>
      <c r="B2519" s="11"/>
      <c r="C2519" s="11"/>
      <c r="D2519" s="11">
        <v>700929</v>
      </c>
      <c r="E2519" s="11">
        <v>486600</v>
      </c>
    </row>
    <row r="2520" spans="1:5" x14ac:dyDescent="0.25">
      <c r="A2520" s="11" t="s">
        <v>1819</v>
      </c>
      <c r="B2520" s="11"/>
      <c r="C2520" s="11"/>
      <c r="D2520" s="11">
        <v>34345</v>
      </c>
      <c r="E2520" s="11">
        <v>15523</v>
      </c>
    </row>
    <row r="2521" spans="1:5" x14ac:dyDescent="0.25">
      <c r="A2521" s="11" t="s">
        <v>1995</v>
      </c>
      <c r="B2521" s="11"/>
      <c r="C2521" s="11"/>
      <c r="D2521" s="11">
        <v>35702</v>
      </c>
      <c r="E2521" s="11">
        <v>0</v>
      </c>
    </row>
    <row r="2522" spans="1:5" x14ac:dyDescent="0.25">
      <c r="A2522" s="11" t="s">
        <v>1820</v>
      </c>
      <c r="B2522" s="11"/>
      <c r="C2522" s="11"/>
      <c r="D2522" s="11">
        <v>3912843</v>
      </c>
      <c r="E2522" s="11">
        <v>3551292</v>
      </c>
    </row>
    <row r="2523" spans="1:5" x14ac:dyDescent="0.25">
      <c r="A2523" s="11" t="s">
        <v>1821</v>
      </c>
      <c r="B2523" s="11"/>
      <c r="C2523" s="11"/>
      <c r="D2523" s="11">
        <v>13039415</v>
      </c>
      <c r="E2523" s="11">
        <v>11439357</v>
      </c>
    </row>
    <row r="2524" spans="1:5" x14ac:dyDescent="0.25">
      <c r="A2524" s="11" t="s">
        <v>1822</v>
      </c>
      <c r="B2524" s="11"/>
      <c r="C2524" s="11"/>
      <c r="D2524" s="11">
        <v>5391645</v>
      </c>
      <c r="E2524" s="11">
        <v>6082089</v>
      </c>
    </row>
    <row r="2525" spans="1:5" x14ac:dyDescent="0.25">
      <c r="A2525" s="11" t="s">
        <v>1823</v>
      </c>
      <c r="B2525" s="11"/>
      <c r="C2525" s="11"/>
      <c r="D2525" s="11">
        <v>4910153</v>
      </c>
      <c r="E2525" s="11">
        <v>5475069</v>
      </c>
    </row>
    <row r="2526" spans="1:5" x14ac:dyDescent="0.25">
      <c r="A2526" s="11" t="s">
        <v>1824</v>
      </c>
      <c r="B2526" s="11"/>
      <c r="C2526" s="11"/>
      <c r="D2526" s="11">
        <v>481492</v>
      </c>
      <c r="E2526" s="11">
        <v>477020</v>
      </c>
    </row>
    <row r="2527" spans="1:5" x14ac:dyDescent="0.25">
      <c r="A2527" s="11" t="s">
        <v>1825</v>
      </c>
      <c r="B2527" s="11"/>
      <c r="C2527" s="11"/>
      <c r="D2527" s="11">
        <v>0</v>
      </c>
      <c r="E2527" s="11">
        <v>130000</v>
      </c>
    </row>
    <row r="2528" spans="1:5" x14ac:dyDescent="0.25">
      <c r="A2528" s="11" t="s">
        <v>1826</v>
      </c>
      <c r="B2528" s="11"/>
      <c r="C2528" s="11"/>
      <c r="D2528" s="11">
        <v>16359761</v>
      </c>
      <c r="E2528" s="11">
        <v>15756405</v>
      </c>
    </row>
    <row r="2529" spans="1:5" x14ac:dyDescent="0.25">
      <c r="A2529" s="11" t="s">
        <v>1827</v>
      </c>
      <c r="B2529" s="11"/>
      <c r="C2529" s="11"/>
      <c r="D2529" s="11">
        <v>6522964</v>
      </c>
      <c r="E2529" s="11">
        <v>6976224</v>
      </c>
    </row>
    <row r="2530" spans="1:5" x14ac:dyDescent="0.25">
      <c r="A2530" s="11" t="s">
        <v>1828</v>
      </c>
      <c r="B2530" s="11"/>
      <c r="C2530" s="11"/>
      <c r="D2530" s="11">
        <v>449092</v>
      </c>
      <c r="E2530" s="11">
        <v>492916</v>
      </c>
    </row>
    <row r="2531" spans="1:5" x14ac:dyDescent="0.25">
      <c r="A2531" s="11" t="s">
        <v>1829</v>
      </c>
      <c r="B2531" s="11"/>
      <c r="C2531" s="11"/>
      <c r="D2531" s="11">
        <v>0</v>
      </c>
      <c r="E2531" s="11">
        <v>120350</v>
      </c>
    </row>
    <row r="2532" spans="1:5" x14ac:dyDescent="0.25">
      <c r="A2532" s="11" t="s">
        <v>1996</v>
      </c>
      <c r="B2532" s="11"/>
      <c r="C2532" s="11"/>
      <c r="D2532" s="11">
        <v>45554</v>
      </c>
      <c r="E2532" s="11">
        <v>0</v>
      </c>
    </row>
    <row r="2533" spans="1:5" x14ac:dyDescent="0.25">
      <c r="A2533" s="11" t="s">
        <v>1830</v>
      </c>
      <c r="B2533" s="11"/>
      <c r="C2533" s="11"/>
      <c r="D2533" s="11">
        <v>3692709</v>
      </c>
      <c r="E2533" s="11">
        <v>3406054</v>
      </c>
    </row>
    <row r="2534" spans="1:5" x14ac:dyDescent="0.25">
      <c r="A2534" s="11" t="s">
        <v>1831</v>
      </c>
      <c r="B2534" s="11"/>
      <c r="C2534" s="11"/>
      <c r="D2534" s="11">
        <v>5756</v>
      </c>
      <c r="E2534" s="11">
        <v>276</v>
      </c>
    </row>
    <row r="2535" spans="1:5" x14ac:dyDescent="0.25">
      <c r="A2535" s="11" t="s">
        <v>1832</v>
      </c>
      <c r="B2535" s="11"/>
      <c r="C2535" s="11"/>
      <c r="D2535" s="11">
        <v>335852</v>
      </c>
      <c r="E2535" s="11">
        <v>193250</v>
      </c>
    </row>
    <row r="2536" spans="1:5" x14ac:dyDescent="0.25">
      <c r="A2536" s="11" t="s">
        <v>1833</v>
      </c>
      <c r="B2536" s="11"/>
      <c r="C2536" s="11"/>
      <c r="D2536" s="11">
        <v>424106</v>
      </c>
      <c r="E2536" s="11">
        <v>369284</v>
      </c>
    </row>
    <row r="2537" spans="1:5" x14ac:dyDescent="0.25">
      <c r="A2537" s="11" t="s">
        <v>1834</v>
      </c>
      <c r="B2537" s="11"/>
      <c r="C2537" s="11"/>
      <c r="D2537" s="11">
        <v>2047198</v>
      </c>
      <c r="E2537" s="11">
        <v>1867610</v>
      </c>
    </row>
    <row r="2538" spans="1:5" x14ac:dyDescent="0.25">
      <c r="A2538" s="11" t="s">
        <v>1835</v>
      </c>
      <c r="B2538" s="11"/>
      <c r="C2538" s="11"/>
      <c r="D2538" s="11">
        <v>718542</v>
      </c>
      <c r="E2538" s="11">
        <v>493278</v>
      </c>
    </row>
    <row r="2539" spans="1:5" x14ac:dyDescent="0.25">
      <c r="A2539" s="11" t="s">
        <v>1836</v>
      </c>
      <c r="B2539" s="11"/>
      <c r="C2539" s="11"/>
      <c r="D2539" s="11">
        <v>1700203</v>
      </c>
      <c r="E2539" s="11">
        <v>1622489</v>
      </c>
    </row>
    <row r="2540" spans="1:5" x14ac:dyDescent="0.25">
      <c r="A2540" s="11" t="s">
        <v>1837</v>
      </c>
      <c r="B2540" s="11"/>
      <c r="C2540" s="11"/>
      <c r="D2540" s="11">
        <v>272114</v>
      </c>
      <c r="E2540" s="11">
        <v>214674</v>
      </c>
    </row>
    <row r="2541" spans="1:5" x14ac:dyDescent="0.25">
      <c r="A2541" s="11" t="s">
        <v>1997</v>
      </c>
      <c r="B2541" s="11"/>
      <c r="C2541" s="11"/>
      <c r="D2541" s="11">
        <v>145671</v>
      </c>
      <c r="E2541" s="11">
        <v>0</v>
      </c>
    </row>
    <row r="2542" spans="1:5" x14ac:dyDescent="0.25">
      <c r="A2542" s="11" t="s">
        <v>1838</v>
      </c>
      <c r="B2542" s="11"/>
      <c r="C2542" s="11"/>
      <c r="D2542" s="11">
        <v>10968116</v>
      </c>
      <c r="E2542" s="11">
        <v>9674316</v>
      </c>
    </row>
    <row r="2543" spans="1:5" x14ac:dyDescent="0.25">
      <c r="A2543" s="11" t="s">
        <v>1839</v>
      </c>
      <c r="B2543" s="11"/>
      <c r="C2543" s="11"/>
      <c r="D2543" s="11">
        <v>49301</v>
      </c>
      <c r="E2543" s="11">
        <v>22682</v>
      </c>
    </row>
    <row r="2544" spans="1:5" x14ac:dyDescent="0.25">
      <c r="A2544" s="11" t="s">
        <v>1840</v>
      </c>
      <c r="B2544" s="11"/>
      <c r="C2544" s="11"/>
      <c r="D2544" s="11">
        <v>500</v>
      </c>
      <c r="E2544" s="11">
        <v>220</v>
      </c>
    </row>
    <row r="2545" spans="1:5" x14ac:dyDescent="0.25">
      <c r="A2545" s="11" t="s">
        <v>1841</v>
      </c>
      <c r="B2545" s="11"/>
      <c r="C2545" s="11"/>
      <c r="D2545" s="11">
        <v>4139</v>
      </c>
      <c r="E2545" s="11">
        <v>0</v>
      </c>
    </row>
    <row r="2546" spans="1:5" x14ac:dyDescent="0.25">
      <c r="A2546" s="11" t="s">
        <v>1842</v>
      </c>
      <c r="B2546" s="11"/>
      <c r="C2546" s="11"/>
      <c r="D2546" s="11">
        <v>34011</v>
      </c>
      <c r="E2546" s="11">
        <v>22071</v>
      </c>
    </row>
    <row r="2547" spans="1:5" x14ac:dyDescent="0.25">
      <c r="A2547" s="11" t="s">
        <v>1843</v>
      </c>
      <c r="B2547" s="11"/>
      <c r="C2547" s="11"/>
      <c r="D2547" s="11">
        <v>10651</v>
      </c>
      <c r="E2547" s="11">
        <v>391</v>
      </c>
    </row>
    <row r="2548" spans="1:5" x14ac:dyDescent="0.25">
      <c r="A2548" s="11" t="s">
        <v>1844</v>
      </c>
      <c r="B2548" s="11"/>
      <c r="C2548" s="11"/>
      <c r="D2548" s="11">
        <v>8155</v>
      </c>
      <c r="E2548" s="11">
        <v>72275</v>
      </c>
    </row>
    <row r="2549" spans="1:5" x14ac:dyDescent="0.25">
      <c r="A2549" s="11" t="s">
        <v>1845</v>
      </c>
      <c r="B2549" s="11"/>
      <c r="C2549" s="11"/>
      <c r="D2549" s="11">
        <v>5902</v>
      </c>
      <c r="E2549" s="11">
        <v>50160</v>
      </c>
    </row>
    <row r="2550" spans="1:5" x14ac:dyDescent="0.25">
      <c r="A2550" s="11" t="s">
        <v>1846</v>
      </c>
      <c r="B2550" s="11"/>
      <c r="C2550" s="11"/>
      <c r="D2550" s="11">
        <v>715</v>
      </c>
      <c r="E2550" s="11">
        <v>1867</v>
      </c>
    </row>
    <row r="2551" spans="1:5" x14ac:dyDescent="0.25">
      <c r="A2551" s="11" t="s">
        <v>1847</v>
      </c>
      <c r="B2551" s="11"/>
      <c r="C2551" s="11"/>
      <c r="D2551" s="11">
        <v>1538</v>
      </c>
      <c r="E2551" s="11">
        <v>20248</v>
      </c>
    </row>
    <row r="2552" spans="1:5" x14ac:dyDescent="0.25">
      <c r="A2552" s="11" t="s">
        <v>1998</v>
      </c>
      <c r="B2552" s="11"/>
      <c r="C2552" s="11"/>
      <c r="D2552" s="11">
        <v>41146</v>
      </c>
      <c r="E2552" s="11">
        <v>0</v>
      </c>
    </row>
    <row r="2553" spans="1:5" x14ac:dyDescent="0.25">
      <c r="A2553" s="11" t="s">
        <v>1848</v>
      </c>
      <c r="B2553" s="11"/>
      <c r="C2553" s="11"/>
      <c r="D2553" s="11">
        <v>0</v>
      </c>
      <c r="E2553" s="11">
        <v>49593</v>
      </c>
    </row>
    <row r="2554" spans="1:5" x14ac:dyDescent="0.25">
      <c r="A2554" s="11" t="s">
        <v>1849</v>
      </c>
      <c r="B2554" s="11"/>
      <c r="C2554" s="11"/>
      <c r="D2554" s="11">
        <v>2112445</v>
      </c>
      <c r="E2554" s="11">
        <v>1715448</v>
      </c>
    </row>
    <row r="2555" spans="1:5" x14ac:dyDescent="0.25">
      <c r="A2555" s="11" t="s">
        <v>1850</v>
      </c>
      <c r="B2555" s="11"/>
      <c r="C2555" s="11"/>
      <c r="D2555" s="11">
        <v>1595586</v>
      </c>
      <c r="E2555" s="11">
        <v>918256</v>
      </c>
    </row>
    <row r="2556" spans="1:5" x14ac:dyDescent="0.25">
      <c r="A2556" s="11" t="s">
        <v>1851</v>
      </c>
      <c r="B2556" s="11"/>
      <c r="C2556" s="11"/>
      <c r="D2556" s="11">
        <v>1595586</v>
      </c>
      <c r="E2556" s="11">
        <v>918256</v>
      </c>
    </row>
    <row r="2557" spans="1:5" x14ac:dyDescent="0.25">
      <c r="A2557" s="11" t="s">
        <v>1852</v>
      </c>
      <c r="B2557" s="11"/>
      <c r="C2557" s="11"/>
      <c r="D2557" s="11">
        <v>1530976</v>
      </c>
      <c r="E2557" s="11">
        <v>895422</v>
      </c>
    </row>
    <row r="2558" spans="1:5" x14ac:dyDescent="0.25">
      <c r="A2558" s="11" t="s">
        <v>1853</v>
      </c>
      <c r="B2558" s="11"/>
      <c r="C2558" s="11"/>
      <c r="D2558" s="11">
        <v>1530976</v>
      </c>
      <c r="E2558" s="11">
        <v>895422</v>
      </c>
    </row>
    <row r="2559" spans="1:5" x14ac:dyDescent="0.25">
      <c r="A2559" s="11" t="s">
        <v>1854</v>
      </c>
      <c r="B2559" s="11"/>
      <c r="C2559" s="11"/>
      <c r="D2559" s="11">
        <v>64610</v>
      </c>
      <c r="E2559" s="11">
        <v>22834</v>
      </c>
    </row>
    <row r="2560" spans="1:5" x14ac:dyDescent="0.25">
      <c r="A2560" s="11" t="s">
        <v>1855</v>
      </c>
      <c r="B2560" s="11"/>
      <c r="C2560" s="11"/>
      <c r="D2560" s="11">
        <v>2177055</v>
      </c>
      <c r="E2560" s="11">
        <v>1738282</v>
      </c>
    </row>
    <row r="2561" spans="1:5" x14ac:dyDescent="0.25">
      <c r="A2561" s="11" t="s">
        <v>1856</v>
      </c>
      <c r="B2561" s="11"/>
      <c r="C2561" s="11"/>
      <c r="D2561" s="11">
        <v>383789</v>
      </c>
      <c r="E2561" s="11">
        <v>308860</v>
      </c>
    </row>
    <row r="2562" spans="1:5" x14ac:dyDescent="0.25">
      <c r="A2562" s="11" t="s">
        <v>1857</v>
      </c>
      <c r="B2562" s="11"/>
      <c r="C2562" s="11"/>
      <c r="D2562" s="11">
        <v>674</v>
      </c>
      <c r="E2562" s="11">
        <v>905</v>
      </c>
    </row>
    <row r="2563" spans="1:5" x14ac:dyDescent="0.25">
      <c r="A2563" s="11" t="s">
        <v>1858</v>
      </c>
      <c r="B2563" s="11"/>
      <c r="C2563" s="11"/>
      <c r="D2563" s="11">
        <v>1793940</v>
      </c>
      <c r="E2563" s="11">
        <v>1430327</v>
      </c>
    </row>
    <row r="2564" spans="1:5" x14ac:dyDescent="0.25">
      <c r="A2564" s="11" t="s">
        <v>1859</v>
      </c>
      <c r="B2564" s="11"/>
      <c r="C2564" s="11"/>
      <c r="D2564" s="11">
        <v>1793940</v>
      </c>
      <c r="E2564" s="11">
        <v>1430327</v>
      </c>
    </row>
    <row r="2565" spans="1:5" x14ac:dyDescent="0.25">
      <c r="A2565" s="11" t="s">
        <v>1860</v>
      </c>
      <c r="B2565" s="11"/>
      <c r="C2565" s="11"/>
      <c r="D2565" s="11">
        <v>75</v>
      </c>
      <c r="E2565" s="11">
        <v>60</v>
      </c>
    </row>
    <row r="2566" spans="1:5" x14ac:dyDescent="0.25">
      <c r="A2566" s="11" t="s">
        <v>1861</v>
      </c>
      <c r="B2566" s="11"/>
      <c r="C2566" s="11"/>
      <c r="D2566" s="11">
        <v>75</v>
      </c>
      <c r="E2566" s="11">
        <v>60</v>
      </c>
    </row>
    <row r="2567" spans="1:5" x14ac:dyDescent="0.25">
      <c r="A2567" s="11" t="s">
        <v>1862</v>
      </c>
      <c r="B2567" s="11"/>
      <c r="C2567" s="11"/>
      <c r="D2567" s="11">
        <v>265</v>
      </c>
      <c r="E2567" s="11">
        <v>240</v>
      </c>
    </row>
    <row r="2568" spans="1:5" x14ac:dyDescent="0.25">
      <c r="A2568" s="11" t="s">
        <v>1863</v>
      </c>
      <c r="B2568" s="11"/>
      <c r="C2568" s="11"/>
      <c r="D2568" s="11">
        <v>271</v>
      </c>
      <c r="E2568" s="11">
        <v>241</v>
      </c>
    </row>
    <row r="2569" spans="1:5" x14ac:dyDescent="0.25">
      <c r="A2569" s="93" t="s">
        <v>1864</v>
      </c>
      <c r="B2569" s="93"/>
      <c r="C2569" s="93"/>
      <c r="D2569" s="93">
        <v>18217</v>
      </c>
      <c r="E2569" s="93">
        <v>15609</v>
      </c>
    </row>
    <row r="2570" spans="1:5" x14ac:dyDescent="0.25">
      <c r="A2570" s="93" t="s">
        <v>1864</v>
      </c>
      <c r="B2570" s="93"/>
      <c r="C2570" s="93"/>
      <c r="D2570" s="93">
        <v>459214560</v>
      </c>
      <c r="E2570" s="93">
        <v>434616776</v>
      </c>
    </row>
    <row r="2571" spans="1:5" x14ac:dyDescent="0.25">
      <c r="A2571" s="93" t="s">
        <v>1864</v>
      </c>
      <c r="B2571" s="93"/>
      <c r="C2571" s="93"/>
      <c r="D2571" s="93">
        <v>15105429</v>
      </c>
      <c r="E2571" s="93">
        <v>12643141</v>
      </c>
    </row>
    <row r="2572" spans="1:5" x14ac:dyDescent="0.25">
      <c r="A2572" s="93" t="s">
        <v>1865</v>
      </c>
      <c r="B2572" s="93"/>
      <c r="C2572" s="93"/>
      <c r="D2572" s="93">
        <v>3648</v>
      </c>
      <c r="E2572" s="93">
        <v>5601</v>
      </c>
    </row>
    <row r="2573" spans="1:5" x14ac:dyDescent="0.25">
      <c r="A2573" s="93" t="s">
        <v>1865</v>
      </c>
      <c r="B2573" s="93"/>
      <c r="C2573" s="93"/>
      <c r="D2573" s="93">
        <v>442850242</v>
      </c>
      <c r="E2573" s="93">
        <v>416022099</v>
      </c>
    </row>
    <row r="2574" spans="1:5" x14ac:dyDescent="0.25">
      <c r="A2574" s="93" t="s">
        <v>1865</v>
      </c>
      <c r="B2574" s="93"/>
      <c r="C2574" s="93"/>
      <c r="D2574" s="93">
        <v>4748984</v>
      </c>
      <c r="E2574" s="93">
        <v>3593805</v>
      </c>
    </row>
    <row r="2575" spans="1:5" x14ac:dyDescent="0.25">
      <c r="A2575" s="93" t="s">
        <v>2517</v>
      </c>
      <c r="B2575" s="93"/>
      <c r="C2575" s="93"/>
      <c r="D2575" s="93">
        <v>124655465</v>
      </c>
      <c r="E2575" s="93">
        <v>113088808</v>
      </c>
    </row>
    <row r="2576" spans="1:5" x14ac:dyDescent="0.25">
      <c r="A2576" s="93" t="s">
        <v>2517</v>
      </c>
      <c r="B2576" s="93"/>
      <c r="C2576" s="93"/>
      <c r="D2576" s="93">
        <v>10321003</v>
      </c>
      <c r="E2576" s="93">
        <v>9008611</v>
      </c>
    </row>
    <row r="2577" spans="1:5" x14ac:dyDescent="0.25">
      <c r="A2577" s="93" t="s">
        <v>1866</v>
      </c>
      <c r="B2577" s="93"/>
      <c r="C2577" s="93"/>
      <c r="D2577" s="93">
        <v>9461</v>
      </c>
      <c r="E2577" s="93">
        <v>5747</v>
      </c>
    </row>
    <row r="2578" spans="1:5" x14ac:dyDescent="0.25">
      <c r="A2578" s="93" t="s">
        <v>1866</v>
      </c>
      <c r="B2578" s="93"/>
      <c r="C2578" s="93"/>
      <c r="D2578" s="93">
        <v>125552822</v>
      </c>
      <c r="E2578" s="93">
        <v>104554217</v>
      </c>
    </row>
    <row r="2579" spans="1:5" x14ac:dyDescent="0.25">
      <c r="A2579" s="93" t="s">
        <v>1866</v>
      </c>
      <c r="B2579" s="93"/>
      <c r="C2579" s="93"/>
      <c r="D2579" s="93">
        <v>35442</v>
      </c>
      <c r="E2579" s="93">
        <v>40725</v>
      </c>
    </row>
    <row r="2580" spans="1:5" x14ac:dyDescent="0.25">
      <c r="A2580" s="93" t="s">
        <v>2518</v>
      </c>
      <c r="B2580" s="93"/>
      <c r="C2580" s="93"/>
      <c r="D2580" s="93">
        <v>192641955</v>
      </c>
      <c r="E2580" s="93">
        <v>198379074</v>
      </c>
    </row>
    <row r="2581" spans="1:5" x14ac:dyDescent="0.25">
      <c r="A2581" s="93" t="s">
        <v>2518</v>
      </c>
      <c r="B2581" s="93"/>
      <c r="C2581" s="93"/>
      <c r="D2581" s="93">
        <v>5978857</v>
      </c>
      <c r="E2581" s="93">
        <v>4755076</v>
      </c>
    </row>
    <row r="2582" spans="1:5" x14ac:dyDescent="0.25">
      <c r="A2582" s="93" t="s">
        <v>1867</v>
      </c>
      <c r="B2582" s="93"/>
      <c r="C2582" s="93"/>
      <c r="D2582" s="93">
        <v>48</v>
      </c>
      <c r="E2582" s="93">
        <v>24</v>
      </c>
    </row>
    <row r="2583" spans="1:5" x14ac:dyDescent="0.25">
      <c r="A2583" s="93" t="s">
        <v>1867</v>
      </c>
      <c r="B2583" s="93"/>
      <c r="C2583" s="93"/>
      <c r="D2583" s="93">
        <v>264589</v>
      </c>
      <c r="E2583" s="93">
        <v>227700</v>
      </c>
    </row>
    <row r="2584" spans="1:5" x14ac:dyDescent="0.25">
      <c r="A2584" s="93" t="s">
        <v>1867</v>
      </c>
      <c r="B2584" s="93"/>
      <c r="C2584" s="93"/>
      <c r="D2584" s="93">
        <v>1463286</v>
      </c>
      <c r="E2584" s="93">
        <v>665690</v>
      </c>
    </row>
    <row r="2585" spans="1:5" x14ac:dyDescent="0.25">
      <c r="A2585" s="93" t="s">
        <v>2011</v>
      </c>
      <c r="B2585" s="93"/>
      <c r="C2585" s="93"/>
      <c r="D2585" s="93">
        <v>-40311</v>
      </c>
      <c r="E2585" s="93">
        <v>-38562</v>
      </c>
    </row>
    <row r="2586" spans="1:5" x14ac:dyDescent="0.25">
      <c r="A2586" s="93" t="s">
        <v>2011</v>
      </c>
      <c r="B2586" s="93"/>
      <c r="C2586" s="93"/>
      <c r="D2586" s="93">
        <v>239337</v>
      </c>
      <c r="E2586" s="93">
        <v>197933</v>
      </c>
    </row>
    <row r="2587" spans="1:5" x14ac:dyDescent="0.25">
      <c r="A2587" s="93" t="s">
        <v>2011</v>
      </c>
      <c r="B2587" s="93"/>
      <c r="C2587" s="93"/>
      <c r="D2587" s="93">
        <v>1415836</v>
      </c>
      <c r="E2587" s="93">
        <v>1251610</v>
      </c>
    </row>
    <row r="2588" spans="1:5" x14ac:dyDescent="0.25">
      <c r="A2588" s="93" t="s">
        <v>1868</v>
      </c>
      <c r="B2588" s="93"/>
      <c r="C2588" s="93"/>
      <c r="D2588" s="93">
        <v>-3755</v>
      </c>
      <c r="E2588" s="93">
        <v>-264</v>
      </c>
    </row>
    <row r="2589" spans="1:5" x14ac:dyDescent="0.25">
      <c r="A2589" s="93" t="s">
        <v>1868</v>
      </c>
      <c r="B2589" s="93"/>
      <c r="C2589" s="93"/>
      <c r="D2589" s="93">
        <v>25252</v>
      </c>
      <c r="E2589" s="93">
        <v>29767</v>
      </c>
    </row>
    <row r="2590" spans="1:5" x14ac:dyDescent="0.25">
      <c r="A2590" s="93" t="s">
        <v>1868</v>
      </c>
      <c r="B2590" s="93"/>
      <c r="C2590" s="93"/>
      <c r="D2590" s="93">
        <v>3099735</v>
      </c>
      <c r="E2590" s="93">
        <v>2837776</v>
      </c>
    </row>
    <row r="2591" spans="1:5" x14ac:dyDescent="0.25">
      <c r="A2591" s="93" t="s">
        <v>1869</v>
      </c>
      <c r="B2591" s="93"/>
      <c r="C2591" s="93"/>
      <c r="D2591" s="93">
        <v>25130</v>
      </c>
      <c r="E2591" s="93">
        <v>-4779</v>
      </c>
    </row>
    <row r="2592" spans="1:5" x14ac:dyDescent="0.25">
      <c r="A2592" s="93" t="s">
        <v>1869</v>
      </c>
      <c r="B2592" s="93"/>
      <c r="C2592" s="93"/>
      <c r="D2592" s="93">
        <v>9126572</v>
      </c>
      <c r="E2592" s="93">
        <v>7888065</v>
      </c>
    </row>
    <row r="2593" spans="1:5" x14ac:dyDescent="0.25">
      <c r="A2593" s="93" t="s">
        <v>1870</v>
      </c>
      <c r="B2593" s="93"/>
      <c r="C2593" s="93"/>
      <c r="D2593" s="93">
        <v>450</v>
      </c>
      <c r="E2593" s="93">
        <v>216</v>
      </c>
    </row>
    <row r="2594" spans="1:5" x14ac:dyDescent="0.25">
      <c r="A2594" s="93" t="s">
        <v>1870</v>
      </c>
      <c r="B2594" s="93"/>
      <c r="C2594" s="93"/>
      <c r="D2594" s="93">
        <v>2749323</v>
      </c>
      <c r="E2594" s="93">
        <v>2300373</v>
      </c>
    </row>
    <row r="2595" spans="1:5" x14ac:dyDescent="0.25">
      <c r="A2595" s="93" t="s">
        <v>1870</v>
      </c>
      <c r="B2595" s="93"/>
      <c r="C2595" s="93"/>
      <c r="D2595" s="93">
        <v>4683819</v>
      </c>
      <c r="E2595" s="93">
        <v>4053415</v>
      </c>
    </row>
    <row r="2596" spans="1:5" x14ac:dyDescent="0.25">
      <c r="A2596" s="93" t="s">
        <v>1871</v>
      </c>
      <c r="B2596" s="93"/>
      <c r="C2596" s="93"/>
      <c r="D2596" s="93">
        <v>-14230</v>
      </c>
      <c r="E2596" s="93">
        <v>-39536</v>
      </c>
    </row>
    <row r="2597" spans="1:5" x14ac:dyDescent="0.25">
      <c r="A2597" s="93" t="s">
        <v>1871</v>
      </c>
      <c r="B2597" s="93"/>
      <c r="C2597" s="93"/>
      <c r="D2597" s="93">
        <v>2720742</v>
      </c>
      <c r="E2597" s="93">
        <v>2272108</v>
      </c>
    </row>
    <row r="2598" spans="1:5" x14ac:dyDescent="0.25">
      <c r="A2598" s="93" t="s">
        <v>1871</v>
      </c>
      <c r="B2598" s="93"/>
      <c r="C2598" s="93"/>
      <c r="D2598" s="93">
        <v>1496139</v>
      </c>
      <c r="E2598" s="93">
        <v>1343606</v>
      </c>
    </row>
    <row r="2599" spans="1:5" x14ac:dyDescent="0.25">
      <c r="A2599" s="93" t="s">
        <v>2496</v>
      </c>
      <c r="B2599" s="93"/>
      <c r="C2599" s="93"/>
      <c r="D2599" s="93">
        <v>28581</v>
      </c>
      <c r="E2599" s="93">
        <v>28265</v>
      </c>
    </row>
    <row r="2600" spans="1:5" x14ac:dyDescent="0.25">
      <c r="A2600" s="93" t="s">
        <v>2496</v>
      </c>
      <c r="B2600" s="93"/>
      <c r="C2600" s="93"/>
      <c r="D2600" s="93">
        <v>16099729</v>
      </c>
      <c r="E2600" s="93">
        <v>18366977</v>
      </c>
    </row>
    <row r="2601" spans="1:5" x14ac:dyDescent="0.25">
      <c r="A2601" s="93" t="s">
        <v>2496</v>
      </c>
      <c r="B2601" s="93"/>
      <c r="C2601" s="93"/>
      <c r="D2601" s="93">
        <v>1481857</v>
      </c>
      <c r="E2601" s="93">
        <v>1307144</v>
      </c>
    </row>
    <row r="2602" spans="1:5" x14ac:dyDescent="0.25">
      <c r="A2602" s="93" t="s">
        <v>2497</v>
      </c>
      <c r="B2602" s="93"/>
      <c r="C2602" s="93"/>
      <c r="D2602" s="93">
        <v>373959638</v>
      </c>
      <c r="E2602" s="93">
        <v>350506471</v>
      </c>
    </row>
    <row r="2603" spans="1:5" x14ac:dyDescent="0.25">
      <c r="A2603" s="93" t="s">
        <v>2497</v>
      </c>
      <c r="B2603" s="93"/>
      <c r="C2603" s="93"/>
      <c r="D2603" s="93">
        <v>0</v>
      </c>
      <c r="E2603" s="93">
        <v>16902</v>
      </c>
    </row>
    <row r="2604" spans="1:5" x14ac:dyDescent="0.25">
      <c r="A2604" s="93" t="s">
        <v>2497</v>
      </c>
      <c r="B2604" s="93"/>
      <c r="C2604" s="93"/>
      <c r="D2604" s="93">
        <v>1705823</v>
      </c>
      <c r="E2604" s="93">
        <v>1402665</v>
      </c>
    </row>
    <row r="2605" spans="1:5" x14ac:dyDescent="0.25">
      <c r="A2605" s="93" t="s">
        <v>2498</v>
      </c>
      <c r="B2605" s="93"/>
      <c r="C2605" s="93"/>
      <c r="D2605" s="93">
        <v>132636870</v>
      </c>
      <c r="E2605" s="93">
        <v>127106342</v>
      </c>
    </row>
    <row r="2606" spans="1:5" x14ac:dyDescent="0.25">
      <c r="A2606" s="93" t="s">
        <v>2498</v>
      </c>
      <c r="B2606" s="93"/>
      <c r="C2606" s="93"/>
      <c r="D2606" s="93">
        <v>2395422</v>
      </c>
      <c r="E2606" s="93">
        <v>2474637</v>
      </c>
    </row>
    <row r="2607" spans="1:5" x14ac:dyDescent="0.25">
      <c r="A2607" s="93" t="s">
        <v>2498</v>
      </c>
      <c r="B2607" s="93"/>
      <c r="C2607" s="93"/>
      <c r="D2607" s="93">
        <v>770976</v>
      </c>
      <c r="E2607" s="93">
        <v>502123</v>
      </c>
    </row>
    <row r="2608" spans="1:5" x14ac:dyDescent="0.25">
      <c r="A2608" s="93" t="s">
        <v>2498</v>
      </c>
      <c r="B2608" s="93"/>
      <c r="C2608" s="93"/>
      <c r="D2608" s="93">
        <v>1793940</v>
      </c>
      <c r="E2608" s="93">
        <v>1430327</v>
      </c>
    </row>
    <row r="2609" spans="1:5" x14ac:dyDescent="0.25">
      <c r="A2609" s="93" t="s">
        <v>2499</v>
      </c>
      <c r="B2609" s="93"/>
      <c r="C2609" s="93"/>
      <c r="D2609" s="93">
        <v>229001700</v>
      </c>
      <c r="E2609" s="93">
        <v>208636659</v>
      </c>
    </row>
    <row r="2610" spans="1:5" x14ac:dyDescent="0.25">
      <c r="A2610" s="93" t="s">
        <v>2499</v>
      </c>
      <c r="B2610" s="93"/>
      <c r="C2610" s="93"/>
      <c r="D2610" s="93">
        <v>45741</v>
      </c>
      <c r="E2610" s="93">
        <v>174459</v>
      </c>
    </row>
    <row r="2611" spans="1:5" x14ac:dyDescent="0.25">
      <c r="A2611" s="93" t="s">
        <v>2499</v>
      </c>
      <c r="B2611" s="93"/>
      <c r="C2611" s="93"/>
      <c r="D2611" s="93">
        <v>700929</v>
      </c>
      <c r="E2611" s="93">
        <v>486600</v>
      </c>
    </row>
    <row r="2612" spans="1:5" x14ac:dyDescent="0.25">
      <c r="A2612" s="93" t="s">
        <v>2500</v>
      </c>
      <c r="B2612" s="93"/>
      <c r="C2612" s="93"/>
      <c r="D2612" s="93">
        <v>12321068</v>
      </c>
      <c r="E2612" s="93">
        <v>14763470</v>
      </c>
    </row>
    <row r="2613" spans="1:5" x14ac:dyDescent="0.25">
      <c r="A2613" s="93" t="s">
        <v>2500</v>
      </c>
      <c r="B2613" s="93"/>
      <c r="C2613" s="93"/>
      <c r="D2613" s="93">
        <v>91578</v>
      </c>
      <c r="E2613" s="93">
        <v>157083</v>
      </c>
    </row>
    <row r="2614" spans="1:5" x14ac:dyDescent="0.25">
      <c r="A2614" s="93" t="s">
        <v>2500</v>
      </c>
      <c r="B2614" s="93"/>
      <c r="C2614" s="93"/>
      <c r="D2614" s="93">
        <v>34345</v>
      </c>
      <c r="E2614" s="93">
        <v>15523</v>
      </c>
    </row>
    <row r="2615" spans="1:5" x14ac:dyDescent="0.25">
      <c r="A2615" s="93" t="s">
        <v>1872</v>
      </c>
      <c r="B2615" s="93"/>
      <c r="C2615" s="93"/>
      <c r="D2615" s="93">
        <v>-1211</v>
      </c>
      <c r="E2615" s="93">
        <v>-452</v>
      </c>
    </row>
    <row r="2616" spans="1:5" x14ac:dyDescent="0.25">
      <c r="A2616" s="93" t="s">
        <v>1872</v>
      </c>
      <c r="B2616" s="93"/>
      <c r="C2616" s="93"/>
      <c r="D2616" s="93">
        <v>3270723</v>
      </c>
      <c r="E2616" s="93">
        <v>438178</v>
      </c>
    </row>
    <row r="2617" spans="1:5" x14ac:dyDescent="0.25">
      <c r="A2617" s="93" t="s">
        <v>1872</v>
      </c>
      <c r="B2617" s="93"/>
      <c r="C2617" s="93"/>
      <c r="D2617" s="93">
        <v>125513</v>
      </c>
      <c r="E2617" s="93">
        <v>126188</v>
      </c>
    </row>
    <row r="2618" spans="1:5" x14ac:dyDescent="0.25">
      <c r="A2618" s="93" t="s">
        <v>1872</v>
      </c>
      <c r="B2618" s="93"/>
      <c r="C2618" s="93"/>
      <c r="D2618" s="93">
        <v>35702</v>
      </c>
      <c r="E2618" s="93">
        <v>0</v>
      </c>
    </row>
    <row r="2619" spans="1:5" x14ac:dyDescent="0.25">
      <c r="A2619" s="93" t="s">
        <v>1873</v>
      </c>
      <c r="B2619" s="93"/>
      <c r="C2619" s="93"/>
      <c r="D2619" s="93">
        <v>-808</v>
      </c>
      <c r="E2619" s="93">
        <v>-475</v>
      </c>
    </row>
    <row r="2620" spans="1:5" x14ac:dyDescent="0.25">
      <c r="A2620" s="93" t="s">
        <v>1873</v>
      </c>
      <c r="B2620" s="93"/>
      <c r="C2620" s="93"/>
      <c r="D2620" s="93">
        <v>403293</v>
      </c>
      <c r="E2620" s="93">
        <v>414317</v>
      </c>
    </row>
    <row r="2621" spans="1:5" x14ac:dyDescent="0.25">
      <c r="A2621" s="93" t="s">
        <v>1873</v>
      </c>
      <c r="B2621" s="93"/>
      <c r="C2621" s="93"/>
      <c r="D2621" s="93">
        <v>643270</v>
      </c>
      <c r="E2621" s="93">
        <v>640668</v>
      </c>
    </row>
    <row r="2622" spans="1:5" x14ac:dyDescent="0.25">
      <c r="A2622" s="93" t="s">
        <v>1873</v>
      </c>
      <c r="B2622" s="93"/>
      <c r="C2622" s="93"/>
      <c r="D2622" s="93">
        <v>3912843</v>
      </c>
      <c r="E2622" s="93">
        <v>3551292</v>
      </c>
    </row>
    <row r="2623" spans="1:5" x14ac:dyDescent="0.25">
      <c r="A2623" s="93" t="s">
        <v>1873</v>
      </c>
      <c r="B2623" s="93"/>
      <c r="C2623" s="93"/>
      <c r="D2623" s="93">
        <v>75</v>
      </c>
      <c r="E2623" s="93">
        <v>60</v>
      </c>
    </row>
    <row r="2624" spans="1:5" x14ac:dyDescent="0.25">
      <c r="A2624" s="93" t="s">
        <v>2501</v>
      </c>
      <c r="B2624" s="93"/>
      <c r="C2624" s="93"/>
      <c r="D2624" s="93">
        <v>2843569</v>
      </c>
      <c r="E2624" s="93">
        <v>0</v>
      </c>
    </row>
    <row r="2625" spans="1:5" x14ac:dyDescent="0.25">
      <c r="A2625" s="93" t="s">
        <v>2501</v>
      </c>
      <c r="B2625" s="93"/>
      <c r="C2625" s="93"/>
      <c r="D2625" s="93">
        <v>5336469</v>
      </c>
      <c r="E2625" s="93">
        <v>3815129</v>
      </c>
    </row>
    <row r="2626" spans="1:5" x14ac:dyDescent="0.25">
      <c r="A2626" s="93" t="s">
        <v>2501</v>
      </c>
      <c r="B2626" s="93"/>
      <c r="C2626" s="93"/>
      <c r="D2626" s="93">
        <v>75</v>
      </c>
      <c r="E2626" s="93">
        <v>60</v>
      </c>
    </row>
    <row r="2627" spans="1:5" x14ac:dyDescent="0.25">
      <c r="A2627" s="93" t="s">
        <v>2502</v>
      </c>
      <c r="B2627" s="93"/>
      <c r="C2627" s="93"/>
      <c r="D2627" s="93">
        <v>23861</v>
      </c>
      <c r="E2627" s="93">
        <v>23861</v>
      </c>
    </row>
    <row r="2628" spans="1:5" x14ac:dyDescent="0.25">
      <c r="A2628" s="93" t="s">
        <v>2502</v>
      </c>
      <c r="B2628" s="93"/>
      <c r="C2628" s="93"/>
      <c r="D2628" s="93">
        <v>4000000</v>
      </c>
      <c r="E2628" s="93">
        <v>4000000</v>
      </c>
    </row>
    <row r="2629" spans="1:5" x14ac:dyDescent="0.25">
      <c r="A2629" s="93" t="s">
        <v>2502</v>
      </c>
      <c r="B2629" s="93"/>
      <c r="C2629" s="93"/>
      <c r="D2629" s="93">
        <v>265</v>
      </c>
      <c r="E2629" s="93">
        <v>240</v>
      </c>
    </row>
    <row r="2630" spans="1:5" x14ac:dyDescent="0.25">
      <c r="A2630" s="93" t="s">
        <v>2503</v>
      </c>
      <c r="B2630" s="93"/>
      <c r="C2630" s="93"/>
      <c r="D2630" s="93">
        <v>88028085</v>
      </c>
      <c r="E2630" s="93">
        <v>77602126</v>
      </c>
    </row>
    <row r="2631" spans="1:5" x14ac:dyDescent="0.25">
      <c r="A2631" s="93" t="s">
        <v>2503</v>
      </c>
      <c r="B2631" s="93"/>
      <c r="C2631" s="93"/>
      <c r="D2631" s="93">
        <v>52597</v>
      </c>
      <c r="E2631" s="93">
        <v>414141</v>
      </c>
    </row>
    <row r="2632" spans="1:5" x14ac:dyDescent="0.25">
      <c r="A2632" s="93" t="s">
        <v>2503</v>
      </c>
      <c r="B2632" s="93"/>
      <c r="C2632" s="93"/>
      <c r="D2632" s="93">
        <v>271</v>
      </c>
      <c r="E2632" s="93">
        <v>241</v>
      </c>
    </row>
    <row r="2633" spans="1:5" x14ac:dyDescent="0.25">
      <c r="A2633" s="93" t="s">
        <v>2504</v>
      </c>
      <c r="B2633" s="93"/>
      <c r="C2633" s="93"/>
      <c r="D2633" s="93">
        <v>0</v>
      </c>
      <c r="E2633" s="93">
        <v>0</v>
      </c>
    </row>
    <row r="2634" spans="1:5" x14ac:dyDescent="0.25">
      <c r="A2634" s="93" t="s">
        <v>2504</v>
      </c>
      <c r="B2634" s="93"/>
      <c r="C2634" s="93"/>
      <c r="D2634" s="93">
        <v>3409139</v>
      </c>
      <c r="E2634" s="93">
        <v>2636110</v>
      </c>
    </row>
    <row r="2635" spans="1:5" x14ac:dyDescent="0.25">
      <c r="A2635" s="93" t="s">
        <v>1874</v>
      </c>
      <c r="B2635" s="93"/>
      <c r="C2635" s="93"/>
      <c r="D2635" s="93">
        <v>-2861</v>
      </c>
      <c r="E2635" s="93">
        <v>12</v>
      </c>
    </row>
    <row r="2636" spans="1:5" x14ac:dyDescent="0.25">
      <c r="A2636" s="93" t="s">
        <v>1874</v>
      </c>
      <c r="B2636" s="93"/>
      <c r="C2636" s="93"/>
      <c r="D2636" s="93">
        <v>0</v>
      </c>
      <c r="E2636" s="93">
        <v>3911660</v>
      </c>
    </row>
    <row r="2637" spans="1:5" x14ac:dyDescent="0.25">
      <c r="A2637" s="93" t="s">
        <v>2505</v>
      </c>
      <c r="B2637" s="93"/>
      <c r="C2637" s="93"/>
      <c r="D2637" s="93">
        <v>86526676</v>
      </c>
      <c r="E2637" s="93">
        <v>76142075</v>
      </c>
    </row>
    <row r="2638" spans="1:5" x14ac:dyDescent="0.25">
      <c r="A2638" s="93" t="s">
        <v>2505</v>
      </c>
      <c r="B2638" s="93"/>
      <c r="C2638" s="93"/>
      <c r="D2638" s="93">
        <v>84541712</v>
      </c>
      <c r="E2638" s="93">
        <v>67747772</v>
      </c>
    </row>
    <row r="2639" spans="1:5" x14ac:dyDescent="0.25">
      <c r="A2639" s="93" t="s">
        <v>2506</v>
      </c>
      <c r="B2639" s="93"/>
      <c r="C2639" s="93"/>
      <c r="D2639" s="93">
        <v>1117117</v>
      </c>
      <c r="E2639" s="93">
        <v>950210</v>
      </c>
    </row>
    <row r="2640" spans="1:5" x14ac:dyDescent="0.25">
      <c r="A2640" s="93" t="s">
        <v>2506</v>
      </c>
      <c r="B2640" s="93"/>
      <c r="C2640" s="93"/>
      <c r="D2640" s="93">
        <v>53963200</v>
      </c>
      <c r="E2640" s="93">
        <v>38963200</v>
      </c>
    </row>
    <row r="2641" spans="1:5" x14ac:dyDescent="0.25">
      <c r="A2641" s="93" t="s">
        <v>1875</v>
      </c>
      <c r="B2641" s="93"/>
      <c r="C2641" s="93"/>
      <c r="D2641" s="93">
        <v>-4880</v>
      </c>
      <c r="E2641" s="93">
        <v>-915</v>
      </c>
    </row>
    <row r="2642" spans="1:5" x14ac:dyDescent="0.25">
      <c r="A2642" s="93" t="s">
        <v>1875</v>
      </c>
      <c r="B2642" s="93"/>
      <c r="C2642" s="93"/>
      <c r="D2642" s="93">
        <v>262783</v>
      </c>
      <c r="E2642" s="93">
        <v>273918</v>
      </c>
    </row>
    <row r="2643" spans="1:5" x14ac:dyDescent="0.25">
      <c r="A2643" s="93" t="s">
        <v>1875</v>
      </c>
      <c r="B2643" s="93"/>
      <c r="C2643" s="93"/>
      <c r="D2643" s="93">
        <v>38728000</v>
      </c>
      <c r="E2643" s="93">
        <v>23728000</v>
      </c>
    </row>
    <row r="2644" spans="1:5" x14ac:dyDescent="0.25">
      <c r="A2644" s="93" t="s">
        <v>2012</v>
      </c>
      <c r="B2644" s="93"/>
      <c r="C2644" s="93"/>
      <c r="D2644" s="93">
        <v>15000</v>
      </c>
      <c r="E2644" s="93">
        <v>0</v>
      </c>
    </row>
    <row r="2645" spans="1:5" x14ac:dyDescent="0.25">
      <c r="A2645" s="93" t="s">
        <v>2012</v>
      </c>
      <c r="B2645" s="93"/>
      <c r="C2645" s="93"/>
      <c r="D2645" s="93">
        <v>110670</v>
      </c>
      <c r="E2645" s="93">
        <v>235182</v>
      </c>
    </row>
    <row r="2646" spans="1:5" x14ac:dyDescent="0.25">
      <c r="A2646" s="93" t="s">
        <v>2507</v>
      </c>
      <c r="B2646" s="93"/>
      <c r="C2646" s="93"/>
      <c r="D2646" s="93">
        <v>10839</v>
      </c>
      <c r="E2646" s="93">
        <v>741</v>
      </c>
    </row>
    <row r="2647" spans="1:5" x14ac:dyDescent="0.25">
      <c r="A2647" s="93" t="s">
        <v>2507</v>
      </c>
      <c r="B2647" s="93"/>
      <c r="C2647" s="93"/>
      <c r="D2647" s="93">
        <v>15235200</v>
      </c>
      <c r="E2647" s="93">
        <v>15235200</v>
      </c>
    </row>
    <row r="2648" spans="1:5" x14ac:dyDescent="0.25">
      <c r="A2648" s="93" t="s">
        <v>2508</v>
      </c>
      <c r="B2648" s="93"/>
      <c r="C2648" s="93"/>
      <c r="D2648" s="93">
        <v>259436</v>
      </c>
      <c r="E2648" s="93">
        <v>53318</v>
      </c>
    </row>
    <row r="2649" spans="1:5" x14ac:dyDescent="0.25">
      <c r="A2649" s="93" t="s">
        <v>2509</v>
      </c>
      <c r="B2649" s="93"/>
      <c r="C2649" s="93"/>
      <c r="D2649" s="93">
        <v>1301286</v>
      </c>
      <c r="E2649" s="93">
        <v>963375</v>
      </c>
    </row>
    <row r="2650" spans="1:5" x14ac:dyDescent="0.25">
      <c r="A2650" s="93" t="s">
        <v>1876</v>
      </c>
      <c r="B2650" s="93"/>
      <c r="C2650" s="93"/>
      <c r="D2650" s="93">
        <v>0</v>
      </c>
      <c r="E2650" s="93">
        <v>3852</v>
      </c>
    </row>
    <row r="2651" spans="1:5" x14ac:dyDescent="0.25">
      <c r="A2651" s="93" t="s">
        <v>1876</v>
      </c>
      <c r="B2651" s="93"/>
      <c r="C2651" s="93"/>
      <c r="D2651" s="93">
        <v>23049001</v>
      </c>
      <c r="E2651" s="93">
        <v>20908770</v>
      </c>
    </row>
    <row r="2652" spans="1:5" x14ac:dyDescent="0.25">
      <c r="A2652" s="93" t="s">
        <v>2013</v>
      </c>
      <c r="B2652" s="93"/>
      <c r="C2652" s="93"/>
      <c r="D2652" s="93">
        <v>3411</v>
      </c>
      <c r="E2652" s="93">
        <v>0</v>
      </c>
    </row>
    <row r="2653" spans="1:5" x14ac:dyDescent="0.25">
      <c r="A2653" s="93" t="s">
        <v>2013</v>
      </c>
      <c r="B2653" s="93"/>
      <c r="C2653" s="93"/>
      <c r="D2653" s="93">
        <v>295500</v>
      </c>
      <c r="E2653" s="93">
        <v>295500</v>
      </c>
    </row>
    <row r="2654" spans="1:5" x14ac:dyDescent="0.25">
      <c r="A2654" s="93" t="s">
        <v>2013</v>
      </c>
      <c r="B2654" s="93"/>
      <c r="C2654" s="93"/>
      <c r="D2654" s="93">
        <v>2892318</v>
      </c>
      <c r="E2654" s="93">
        <v>2847809</v>
      </c>
    </row>
    <row r="2655" spans="1:5" x14ac:dyDescent="0.25">
      <c r="A2655" s="93" t="s">
        <v>2013</v>
      </c>
      <c r="B2655" s="93"/>
      <c r="C2655" s="93"/>
      <c r="D2655" s="93">
        <v>13039415</v>
      </c>
      <c r="E2655" s="93">
        <v>11439357</v>
      </c>
    </row>
    <row r="2656" spans="1:5" x14ac:dyDescent="0.25">
      <c r="A2656" s="93" t="s">
        <v>2510</v>
      </c>
      <c r="B2656" s="93"/>
      <c r="C2656" s="93"/>
      <c r="D2656" s="93">
        <v>10075098</v>
      </c>
      <c r="E2656" s="93">
        <v>8774291</v>
      </c>
    </row>
    <row r="2657" spans="1:5" x14ac:dyDescent="0.25">
      <c r="A2657" s="93" t="s">
        <v>2510</v>
      </c>
      <c r="B2657" s="93"/>
      <c r="C2657" s="93"/>
      <c r="D2657" s="93">
        <v>20156683</v>
      </c>
      <c r="E2657" s="93">
        <v>18060961</v>
      </c>
    </row>
    <row r="2658" spans="1:5" x14ac:dyDescent="0.25">
      <c r="A2658" s="93" t="s">
        <v>2510</v>
      </c>
      <c r="B2658" s="93"/>
      <c r="C2658" s="93"/>
      <c r="D2658" s="93">
        <v>5391645</v>
      </c>
      <c r="E2658" s="93">
        <v>6082089</v>
      </c>
    </row>
    <row r="2659" spans="1:5" x14ac:dyDescent="0.25">
      <c r="A2659" s="93" t="s">
        <v>2511</v>
      </c>
      <c r="B2659" s="93"/>
      <c r="C2659" s="93"/>
      <c r="D2659" s="93">
        <v>7241395</v>
      </c>
      <c r="E2659" s="93">
        <v>6878794</v>
      </c>
    </row>
    <row r="2660" spans="1:5" x14ac:dyDescent="0.25">
      <c r="A2660" s="93" t="s">
        <v>2511</v>
      </c>
      <c r="B2660" s="93"/>
      <c r="C2660" s="93"/>
      <c r="D2660" s="93">
        <v>4910153</v>
      </c>
      <c r="E2660" s="93">
        <v>5475069</v>
      </c>
    </row>
    <row r="2661" spans="1:5" x14ac:dyDescent="0.25">
      <c r="A2661" s="93" t="s">
        <v>1877</v>
      </c>
      <c r="B2661" s="93"/>
      <c r="C2661" s="93"/>
      <c r="D2661" s="93">
        <v>11589</v>
      </c>
      <c r="E2661" s="93">
        <v>3852</v>
      </c>
    </row>
    <row r="2662" spans="1:5" x14ac:dyDescent="0.25">
      <c r="A2662" s="93" t="s">
        <v>1877</v>
      </c>
      <c r="B2662" s="93"/>
      <c r="C2662" s="93"/>
      <c r="D2662" s="93">
        <v>6810866</v>
      </c>
      <c r="E2662" s="93">
        <v>6620078</v>
      </c>
    </row>
    <row r="2663" spans="1:5" x14ac:dyDescent="0.25">
      <c r="A2663" s="93" t="s">
        <v>1877</v>
      </c>
      <c r="B2663" s="93"/>
      <c r="C2663" s="93"/>
      <c r="D2663" s="93">
        <v>481492</v>
      </c>
      <c r="E2663" s="93">
        <v>477020</v>
      </c>
    </row>
    <row r="2664" spans="1:5" x14ac:dyDescent="0.25">
      <c r="A2664" s="93" t="s">
        <v>1878</v>
      </c>
      <c r="B2664" s="93"/>
      <c r="C2664" s="93"/>
      <c r="D2664" s="93">
        <v>-7521</v>
      </c>
      <c r="E2664" s="93">
        <v>-36599</v>
      </c>
    </row>
    <row r="2665" spans="1:5" x14ac:dyDescent="0.25">
      <c r="A2665" s="93" t="s">
        <v>1878</v>
      </c>
      <c r="B2665" s="93"/>
      <c r="C2665" s="93"/>
      <c r="D2665" s="93">
        <v>1129621</v>
      </c>
      <c r="E2665" s="93">
        <v>1135687</v>
      </c>
    </row>
    <row r="2666" spans="1:5" x14ac:dyDescent="0.25">
      <c r="A2666" s="93" t="s">
        <v>1879</v>
      </c>
      <c r="B2666" s="93"/>
      <c r="C2666" s="93"/>
      <c r="D2666" s="93">
        <v>50808</v>
      </c>
      <c r="E2666" s="93">
        <v>65969</v>
      </c>
    </row>
    <row r="2667" spans="1:5" x14ac:dyDescent="0.25">
      <c r="A2667" s="93" t="s">
        <v>1879</v>
      </c>
      <c r="B2667" s="93"/>
      <c r="C2667" s="93"/>
      <c r="D2667" s="93">
        <v>1129621</v>
      </c>
      <c r="E2667" s="93">
        <v>1135687</v>
      </c>
    </row>
    <row r="2668" spans="1:5" x14ac:dyDescent="0.25">
      <c r="A2668" s="93" t="s">
        <v>1879</v>
      </c>
      <c r="B2668" s="93"/>
      <c r="C2668" s="93"/>
      <c r="D2668" s="93">
        <v>0</v>
      </c>
      <c r="E2668" s="93">
        <v>130000</v>
      </c>
    </row>
    <row r="2669" spans="1:5" x14ac:dyDescent="0.25">
      <c r="A2669" s="93" t="s">
        <v>1880</v>
      </c>
      <c r="B2669" s="93"/>
      <c r="C2669" s="93"/>
      <c r="D2669" s="93">
        <v>79</v>
      </c>
      <c r="E2669" s="93">
        <v>174</v>
      </c>
    </row>
    <row r="2670" spans="1:5" x14ac:dyDescent="0.25">
      <c r="A2670" s="93" t="s">
        <v>1880</v>
      </c>
      <c r="B2670" s="93"/>
      <c r="C2670" s="93"/>
      <c r="D2670" s="93">
        <v>430529</v>
      </c>
      <c r="E2670" s="93">
        <v>258716</v>
      </c>
    </row>
    <row r="2671" spans="1:5" x14ac:dyDescent="0.25">
      <c r="A2671" s="93" t="s">
        <v>1881</v>
      </c>
      <c r="B2671" s="93"/>
      <c r="C2671" s="93"/>
      <c r="D2671" s="93">
        <v>43366</v>
      </c>
      <c r="E2671" s="93">
        <v>29544</v>
      </c>
    </row>
    <row r="2672" spans="1:5" x14ac:dyDescent="0.25">
      <c r="A2672" s="93" t="s">
        <v>1881</v>
      </c>
      <c r="B2672" s="93"/>
      <c r="C2672" s="93"/>
      <c r="D2672" s="93">
        <v>2833703</v>
      </c>
      <c r="E2672" s="93">
        <v>1895497</v>
      </c>
    </row>
    <row r="2673" spans="1:5" x14ac:dyDescent="0.25">
      <c r="A2673" s="93" t="s">
        <v>1881</v>
      </c>
      <c r="B2673" s="93"/>
      <c r="C2673" s="93"/>
      <c r="D2673" s="93">
        <v>16359761</v>
      </c>
      <c r="E2673" s="93">
        <v>15756405</v>
      </c>
    </row>
    <row r="2674" spans="1:5" x14ac:dyDescent="0.25">
      <c r="A2674" s="93" t="s">
        <v>2519</v>
      </c>
      <c r="B2674" s="93"/>
      <c r="C2674" s="93"/>
      <c r="D2674" s="93">
        <v>6399890</v>
      </c>
      <c r="E2674" s="93">
        <v>6740115</v>
      </c>
    </row>
    <row r="2675" spans="1:5" x14ac:dyDescent="0.25">
      <c r="A2675" s="93" t="s">
        <v>2519</v>
      </c>
      <c r="B2675" s="93"/>
      <c r="C2675" s="93"/>
      <c r="D2675" s="93">
        <v>6522964</v>
      </c>
      <c r="E2675" s="93">
        <v>6976224</v>
      </c>
    </row>
    <row r="2676" spans="1:5" x14ac:dyDescent="0.25">
      <c r="A2676" s="93" t="s">
        <v>2520</v>
      </c>
      <c r="B2676" s="93"/>
      <c r="C2676" s="93"/>
      <c r="D2676" s="93">
        <v>1793940</v>
      </c>
      <c r="E2676" s="93">
        <v>2985895</v>
      </c>
    </row>
    <row r="2677" spans="1:5" x14ac:dyDescent="0.25">
      <c r="A2677" s="93" t="s">
        <v>2520</v>
      </c>
      <c r="B2677" s="93"/>
      <c r="C2677" s="93"/>
      <c r="D2677" s="93">
        <v>449092</v>
      </c>
      <c r="E2677" s="93">
        <v>492916</v>
      </c>
    </row>
    <row r="2678" spans="1:5" x14ac:dyDescent="0.25">
      <c r="A2678" s="93" t="s">
        <v>2521</v>
      </c>
      <c r="B2678" s="93"/>
      <c r="C2678" s="93"/>
      <c r="D2678" s="93">
        <v>4605950</v>
      </c>
      <c r="E2678" s="93">
        <v>3754220</v>
      </c>
    </row>
    <row r="2679" spans="1:5" x14ac:dyDescent="0.25">
      <c r="A2679" s="93" t="s">
        <v>2521</v>
      </c>
      <c r="B2679" s="93"/>
      <c r="C2679" s="93"/>
      <c r="D2679" s="93">
        <v>0</v>
      </c>
      <c r="E2679" s="93">
        <v>120350</v>
      </c>
    </row>
    <row r="2680" spans="1:5" x14ac:dyDescent="0.25">
      <c r="A2680" s="93" t="s">
        <v>2512</v>
      </c>
      <c r="B2680" s="93"/>
      <c r="C2680" s="93"/>
      <c r="D2680" s="93">
        <v>2539655</v>
      </c>
      <c r="E2680" s="93">
        <v>1110036</v>
      </c>
    </row>
    <row r="2681" spans="1:5" x14ac:dyDescent="0.25">
      <c r="A2681" s="93" t="s">
        <v>2512</v>
      </c>
      <c r="B2681" s="93"/>
      <c r="C2681" s="93"/>
      <c r="D2681" s="93">
        <v>45554</v>
      </c>
      <c r="E2681" s="93">
        <v>0</v>
      </c>
    </row>
    <row r="2682" spans="1:5" x14ac:dyDescent="0.25">
      <c r="A2682" s="93" t="s">
        <v>2513</v>
      </c>
      <c r="B2682" s="93"/>
      <c r="C2682" s="93"/>
      <c r="D2682" s="93">
        <v>294048</v>
      </c>
      <c r="E2682" s="93">
        <v>785461</v>
      </c>
    </row>
    <row r="2683" spans="1:5" x14ac:dyDescent="0.25">
      <c r="A2683" s="93" t="s">
        <v>2513</v>
      </c>
      <c r="B2683" s="93"/>
      <c r="C2683" s="93"/>
      <c r="D2683" s="93">
        <v>3692709</v>
      </c>
      <c r="E2683" s="93">
        <v>3406054</v>
      </c>
    </row>
    <row r="2684" spans="1:5" x14ac:dyDescent="0.25">
      <c r="A2684" s="93" t="s">
        <v>2525</v>
      </c>
      <c r="B2684" s="93"/>
      <c r="C2684" s="93"/>
      <c r="D2684" s="93">
        <v>5756</v>
      </c>
      <c r="E2684" s="93">
        <v>276</v>
      </c>
    </row>
    <row r="2685" spans="1:5" x14ac:dyDescent="0.25">
      <c r="A2685" s="93" t="s">
        <v>2514</v>
      </c>
      <c r="B2685" s="93"/>
      <c r="C2685" s="93"/>
      <c r="D2685" s="93">
        <v>543756272</v>
      </c>
      <c r="E2685" s="93">
        <v>502364548</v>
      </c>
    </row>
    <row r="2686" spans="1:5" x14ac:dyDescent="0.25">
      <c r="A2686" s="93" t="s">
        <v>2514</v>
      </c>
      <c r="B2686" s="93"/>
      <c r="C2686" s="93"/>
      <c r="D2686" s="93">
        <v>335852</v>
      </c>
      <c r="E2686" s="93">
        <v>193250</v>
      </c>
    </row>
    <row r="2687" spans="1:5" x14ac:dyDescent="0.25">
      <c r="A2687" s="93" t="s">
        <v>2515</v>
      </c>
      <c r="B2687" s="93"/>
      <c r="C2687" s="93"/>
      <c r="D2687" s="93">
        <v>128465212</v>
      </c>
      <c r="E2687" s="93">
        <v>114255921</v>
      </c>
    </row>
    <row r="2688" spans="1:5" x14ac:dyDescent="0.25">
      <c r="A2688" s="93" t="s">
        <v>2515</v>
      </c>
      <c r="B2688" s="93"/>
      <c r="C2688" s="93"/>
      <c r="D2688" s="93">
        <v>424106</v>
      </c>
      <c r="E2688" s="93">
        <v>369284</v>
      </c>
    </row>
    <row r="2689" spans="1:5" x14ac:dyDescent="0.25">
      <c r="A2689" s="93" t="s">
        <v>2516</v>
      </c>
      <c r="B2689" s="93"/>
      <c r="C2689" s="93"/>
      <c r="D2689" s="93">
        <v>672221484</v>
      </c>
      <c r="E2689" s="93">
        <v>616620469</v>
      </c>
    </row>
    <row r="2690" spans="1:5" x14ac:dyDescent="0.25">
      <c r="A2690" s="93" t="s">
        <v>2516</v>
      </c>
      <c r="B2690" s="93"/>
      <c r="C2690" s="93"/>
      <c r="D2690" s="93">
        <v>2047198</v>
      </c>
      <c r="E2690" s="93">
        <v>1867610</v>
      </c>
    </row>
    <row r="2691" spans="1:5" x14ac:dyDescent="0.25">
      <c r="A2691" s="93" t="s">
        <v>2522</v>
      </c>
      <c r="B2691" s="93"/>
      <c r="C2691" s="93"/>
      <c r="D2691" s="93">
        <v>543756272</v>
      </c>
      <c r="E2691" s="93">
        <v>502364548</v>
      </c>
    </row>
    <row r="2692" spans="1:5" x14ac:dyDescent="0.25">
      <c r="A2692" s="93" t="s">
        <v>2522</v>
      </c>
      <c r="B2692" s="93"/>
      <c r="C2692" s="93"/>
      <c r="D2692" s="93">
        <v>718542</v>
      </c>
      <c r="E2692" s="93">
        <v>493278</v>
      </c>
    </row>
    <row r="2693" spans="1:5" x14ac:dyDescent="0.25">
      <c r="A2693" s="93" t="s">
        <v>2523</v>
      </c>
      <c r="B2693" s="93"/>
      <c r="C2693" s="93"/>
      <c r="D2693" s="93">
        <v>128465212</v>
      </c>
      <c r="E2693" s="93">
        <v>114255921</v>
      </c>
    </row>
    <row r="2694" spans="1:5" x14ac:dyDescent="0.25">
      <c r="A2694" s="93" t="s">
        <v>2524</v>
      </c>
      <c r="B2694" s="93"/>
      <c r="C2694" s="93"/>
      <c r="D2694" s="93">
        <v>672221484</v>
      </c>
      <c r="E2694" s="93">
        <v>616620469</v>
      </c>
    </row>
    <row r="2695" spans="1:5" x14ac:dyDescent="0.25">
      <c r="A2695" s="93" t="s">
        <v>2524</v>
      </c>
      <c r="B2695" s="93"/>
      <c r="C2695" s="93"/>
      <c r="D2695" s="93">
        <v>1700203</v>
      </c>
      <c r="E2695" s="93">
        <v>1622489</v>
      </c>
    </row>
    <row r="2696" spans="1:5" x14ac:dyDescent="0.25">
      <c r="A2696" s="93" t="s">
        <v>2526</v>
      </c>
      <c r="B2696" s="93"/>
      <c r="C2696" s="93"/>
      <c r="D2696" s="93">
        <v>272114</v>
      </c>
      <c r="E2696" s="93">
        <v>214674</v>
      </c>
    </row>
    <row r="2697" spans="1:5" x14ac:dyDescent="0.25">
      <c r="A2697" s="93" t="s">
        <v>2527</v>
      </c>
      <c r="B2697" s="93"/>
      <c r="C2697" s="93"/>
      <c r="D2697" s="93">
        <v>145671</v>
      </c>
      <c r="E2697" s="93">
        <v>0</v>
      </c>
    </row>
    <row r="2698" spans="1:5" x14ac:dyDescent="0.25">
      <c r="A2698" s="93" t="s">
        <v>2528</v>
      </c>
      <c r="B2698" s="93"/>
      <c r="C2698" s="93"/>
      <c r="D2698" s="93">
        <v>10968116</v>
      </c>
      <c r="E2698" s="93">
        <v>9674316</v>
      </c>
    </row>
    <row r="2699" spans="1:5" x14ac:dyDescent="0.25">
      <c r="A2699" s="93" t="s">
        <v>2529</v>
      </c>
      <c r="B2699" s="93"/>
      <c r="C2699" s="93"/>
      <c r="D2699" s="93">
        <v>49301</v>
      </c>
      <c r="E2699" s="93">
        <v>22682</v>
      </c>
    </row>
    <row r="2700" spans="1:5" x14ac:dyDescent="0.25">
      <c r="A2700" s="93" t="s">
        <v>2530</v>
      </c>
      <c r="B2700" s="93"/>
      <c r="C2700" s="93"/>
      <c r="D2700" s="93">
        <v>500</v>
      </c>
      <c r="E2700" s="93">
        <v>220</v>
      </c>
    </row>
    <row r="2701" spans="1:5" x14ac:dyDescent="0.25">
      <c r="A2701" s="93" t="s">
        <v>2531</v>
      </c>
      <c r="B2701" s="93"/>
      <c r="C2701" s="93"/>
      <c r="D2701" s="93">
        <v>4139</v>
      </c>
      <c r="E2701" s="93">
        <v>0</v>
      </c>
    </row>
    <row r="2702" spans="1:5" x14ac:dyDescent="0.25">
      <c r="A2702" s="93" t="s">
        <v>2532</v>
      </c>
      <c r="B2702" s="93"/>
      <c r="C2702" s="93"/>
      <c r="D2702" s="93">
        <v>34011</v>
      </c>
      <c r="E2702" s="93">
        <v>22071</v>
      </c>
    </row>
    <row r="2703" spans="1:5" x14ac:dyDescent="0.25">
      <c r="A2703" s="93" t="s">
        <v>2533</v>
      </c>
      <c r="B2703" s="93"/>
      <c r="C2703" s="93"/>
      <c r="D2703" s="93">
        <v>10651</v>
      </c>
      <c r="E2703" s="93">
        <v>391</v>
      </c>
    </row>
    <row r="2704" spans="1:5" x14ac:dyDescent="0.25">
      <c r="A2704" s="93" t="s">
        <v>2534</v>
      </c>
      <c r="B2704" s="93"/>
      <c r="C2704" s="93"/>
      <c r="D2704" s="93">
        <v>8155</v>
      </c>
      <c r="E2704" s="93">
        <v>72275</v>
      </c>
    </row>
    <row r="2705" spans="1:5" x14ac:dyDescent="0.25">
      <c r="A2705" s="93" t="s">
        <v>2535</v>
      </c>
      <c r="B2705" s="93"/>
      <c r="C2705" s="93"/>
      <c r="D2705" s="93">
        <v>5902</v>
      </c>
      <c r="E2705" s="93">
        <v>50160</v>
      </c>
    </row>
    <row r="2706" spans="1:5" x14ac:dyDescent="0.25">
      <c r="A2706" s="93" t="s">
        <v>2536</v>
      </c>
      <c r="B2706" s="93"/>
      <c r="C2706" s="93"/>
      <c r="D2706" s="93">
        <v>715</v>
      </c>
      <c r="E2706" s="93">
        <v>1867</v>
      </c>
    </row>
    <row r="2707" spans="1:5" x14ac:dyDescent="0.25">
      <c r="A2707" s="93" t="s">
        <v>2537</v>
      </c>
      <c r="B2707" s="93"/>
      <c r="C2707" s="93"/>
      <c r="D2707" s="93">
        <v>1538</v>
      </c>
      <c r="E2707" s="93">
        <v>20248</v>
      </c>
    </row>
    <row r="2708" spans="1:5" x14ac:dyDescent="0.25">
      <c r="A2708" s="93" t="s">
        <v>2538</v>
      </c>
      <c r="B2708" s="93"/>
      <c r="C2708" s="93"/>
      <c r="D2708" s="93">
        <v>41146</v>
      </c>
      <c r="E2708" s="93">
        <v>0</v>
      </c>
    </row>
    <row r="2709" spans="1:5" x14ac:dyDescent="0.25">
      <c r="A2709" s="93" t="s">
        <v>2539</v>
      </c>
      <c r="B2709" s="93"/>
      <c r="C2709" s="93"/>
      <c r="D2709" s="93">
        <v>0</v>
      </c>
      <c r="E2709" s="93">
        <v>49593</v>
      </c>
    </row>
    <row r="2710" spans="1:5" x14ac:dyDescent="0.25">
      <c r="A2710" s="93" t="s">
        <v>2540</v>
      </c>
      <c r="B2710" s="93"/>
      <c r="C2710" s="93"/>
      <c r="D2710" s="93">
        <v>2112445</v>
      </c>
      <c r="E2710" s="93">
        <v>1715448</v>
      </c>
    </row>
    <row r="2711" spans="1:5" x14ac:dyDescent="0.25">
      <c r="A2711" s="93" t="s">
        <v>2541</v>
      </c>
      <c r="B2711" s="93"/>
      <c r="C2711" s="93"/>
      <c r="D2711" s="93">
        <v>1595586</v>
      </c>
      <c r="E2711" s="93">
        <v>918256</v>
      </c>
    </row>
    <row r="2712" spans="1:5" x14ac:dyDescent="0.25">
      <c r="A2712" s="93" t="s">
        <v>2542</v>
      </c>
      <c r="B2712" s="93"/>
      <c r="C2712" s="93"/>
      <c r="D2712" s="93">
        <v>1595586</v>
      </c>
      <c r="E2712" s="93">
        <v>918256</v>
      </c>
    </row>
    <row r="2713" spans="1:5" x14ac:dyDescent="0.25">
      <c r="A2713" s="93" t="s">
        <v>2543</v>
      </c>
      <c r="B2713" s="93"/>
      <c r="C2713" s="93"/>
      <c r="D2713" s="93">
        <v>1530976</v>
      </c>
      <c r="E2713" s="93">
        <v>895422</v>
      </c>
    </row>
    <row r="2714" spans="1:5" x14ac:dyDescent="0.25">
      <c r="A2714" s="93" t="s">
        <v>2544</v>
      </c>
      <c r="B2714" s="93"/>
      <c r="C2714" s="93"/>
      <c r="D2714" s="93">
        <v>1530976</v>
      </c>
      <c r="E2714" s="93">
        <v>895422</v>
      </c>
    </row>
    <row r="2715" spans="1:5" x14ac:dyDescent="0.25">
      <c r="A2715" s="93" t="s">
        <v>2545</v>
      </c>
      <c r="B2715" s="93"/>
      <c r="C2715" s="93"/>
      <c r="D2715" s="93">
        <v>64610</v>
      </c>
      <c r="E2715" s="93">
        <v>22834</v>
      </c>
    </row>
    <row r="2716" spans="1:5" x14ac:dyDescent="0.25">
      <c r="A2716" s="93" t="s">
        <v>2546</v>
      </c>
      <c r="B2716" s="93"/>
      <c r="C2716" s="93"/>
      <c r="D2716" s="93">
        <v>2177055</v>
      </c>
      <c r="E2716" s="93">
        <v>1738282</v>
      </c>
    </row>
    <row r="2717" spans="1:5" x14ac:dyDescent="0.25">
      <c r="A2717" s="93" t="s">
        <v>2547</v>
      </c>
      <c r="B2717" s="93"/>
      <c r="C2717" s="93"/>
      <c r="D2717" s="93">
        <v>383789</v>
      </c>
      <c r="E2717" s="93">
        <v>308860</v>
      </c>
    </row>
    <row r="2718" spans="1:5" x14ac:dyDescent="0.25">
      <c r="A2718" s="93" t="s">
        <v>2548</v>
      </c>
      <c r="B2718" s="93"/>
      <c r="C2718" s="93"/>
      <c r="D2718" s="93">
        <v>674</v>
      </c>
      <c r="E2718" s="93">
        <v>905</v>
      </c>
    </row>
    <row r="2719" spans="1:5" x14ac:dyDescent="0.25">
      <c r="A2719" s="93" t="s">
        <v>2549</v>
      </c>
      <c r="B2719" s="93"/>
      <c r="C2719" s="93"/>
      <c r="D2719" s="93">
        <v>1793940</v>
      </c>
      <c r="E2719" s="93">
        <v>1430327</v>
      </c>
    </row>
  </sheetData>
  <sheetProtection password="CBEB" sheet="1" objects="1" scenarios="1"/>
  <sortState ref="A2:E68621">
    <sortCondition ref="A1"/>
  </sortState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282"/>
  <sheetViews>
    <sheetView showGridLines="0" workbookViewId="0">
      <pane xSplit="4" ySplit="1" topLeftCell="E238" activePane="bottomRight" state="frozen"/>
      <selection activeCell="E3" sqref="E3:F3"/>
      <selection pane="topRight" activeCell="E3" sqref="E3:F3"/>
      <selection pane="bottomLeft" activeCell="E3" sqref="E3:F3"/>
      <selection pane="bottomRight" activeCell="J242" sqref="J242"/>
    </sheetView>
  </sheetViews>
  <sheetFormatPr defaultRowHeight="15" x14ac:dyDescent="0.25"/>
  <cols>
    <col min="1" max="1" width="7.5703125" style="9" bestFit="1" customWidth="1"/>
    <col min="2" max="2" width="12.5703125" style="9" bestFit="1" customWidth="1"/>
    <col min="3" max="3" width="12" style="9" bestFit="1" customWidth="1"/>
    <col min="4" max="4" width="7.140625" style="9" bestFit="1" customWidth="1"/>
    <col min="5" max="5" width="46.42578125" style="9" customWidth="1"/>
    <col min="6" max="6" width="42.28515625" style="9" bestFit="1" customWidth="1"/>
    <col min="7" max="7" width="56.28515625" style="9" customWidth="1"/>
    <col min="8" max="8" width="49.42578125" style="9" customWidth="1"/>
    <col min="9" max="16384" width="9.140625" style="9"/>
  </cols>
  <sheetData>
    <row r="1" spans="1:8" x14ac:dyDescent="0.25">
      <c r="A1" s="11" t="s">
        <v>65</v>
      </c>
      <c r="B1" s="11" t="s">
        <v>62</v>
      </c>
      <c r="C1" s="9" t="s">
        <v>63</v>
      </c>
      <c r="D1" s="27" t="s">
        <v>0</v>
      </c>
      <c r="E1" s="27" t="s">
        <v>66</v>
      </c>
      <c r="F1" s="27" t="s">
        <v>67</v>
      </c>
      <c r="G1" s="9" t="s">
        <v>72</v>
      </c>
      <c r="H1" s="9" t="s">
        <v>64</v>
      </c>
    </row>
    <row r="2" spans="1:8" x14ac:dyDescent="0.25">
      <c r="A2" s="25">
        <f t="shared" ref="A2:A65" si="0">ROW()-1</f>
        <v>1</v>
      </c>
      <c r="B2" s="26">
        <v>0</v>
      </c>
      <c r="C2" s="17" t="str">
        <f>IF(Aop_Bank[[#This Row],[AOP]]="","",TEXT(Aop_Bank[[#This Row],[AOP]],"000"))</f>
        <v/>
      </c>
      <c r="D2" s="17"/>
      <c r="E2" s="17" t="s">
        <v>321</v>
      </c>
      <c r="F2" s="17"/>
      <c r="G2" s="17" t="str">
        <f>REPT("  ",Aop_Bank[[#This Row],[Aop_Level]])&amp;IF(Jezik=2,Aop_Bank[[#This Row],[Item_en]],Aop_Bank[[#This Row],[Item_sr]])</f>
        <v>AKTIVA</v>
      </c>
      <c r="H2" s="17" t="str">
        <f>Aop_Bank[[#This Row],[AOP_Text]]&amp;" - "&amp;TRIM(Aop_Bank[[#This Row],[Balance]])</f>
        <v xml:space="preserve"> - AKTIVA</v>
      </c>
    </row>
    <row r="3" spans="1:8" x14ac:dyDescent="0.25">
      <c r="A3" s="25">
        <f t="shared" si="0"/>
        <v>2</v>
      </c>
      <c r="B3" s="26">
        <v>1</v>
      </c>
      <c r="C3" s="17" t="str">
        <f>IF(Aop_Bank[[#This Row],[AOP]]="","",TEXT(Aop_Bank[[#This Row],[AOP]],"000"))</f>
        <v>001</v>
      </c>
      <c r="D3" s="17">
        <v>1</v>
      </c>
      <c r="E3" s="17" t="s">
        <v>111</v>
      </c>
      <c r="F3" s="17"/>
      <c r="G3" s="17" t="str">
        <f>REPT("  ",Aop_Bank[[#This Row],[Aop_Level]])&amp;IF(Jezik=2,Aop_Bank[[#This Row],[Item_en]],Aop_Bank[[#This Row],[Item_sr]])</f>
        <v xml:space="preserve">  A. TEKUĆA SREDSTVA (002+008+011+014+018+022+030+031+032+033+034)</v>
      </c>
      <c r="H3" s="17" t="str">
        <f>Aop_Bank[[#This Row],[AOP_Text]]&amp;" - "&amp;TRIM(Aop_Bank[[#This Row],[Balance]])</f>
        <v>001 - A. TEKUĆA SREDSTVA (002+008+011+014+018+022+030+031+032+033+034)</v>
      </c>
    </row>
    <row r="4" spans="1:8" x14ac:dyDescent="0.25">
      <c r="A4" s="25">
        <f t="shared" si="0"/>
        <v>3</v>
      </c>
      <c r="B4" s="26">
        <v>2</v>
      </c>
      <c r="C4" s="17" t="str">
        <f>IF(Aop_Bank[[#This Row],[AOP]]="","",TEXT(Aop_Bank[[#This Row],[AOP]],"000"))</f>
        <v>002</v>
      </c>
      <c r="D4" s="17">
        <v>2</v>
      </c>
      <c r="E4" s="17" t="s">
        <v>112</v>
      </c>
      <c r="F4" s="17"/>
      <c r="G4" s="17" t="str">
        <f>REPT("  ",Aop_Bank[[#This Row],[Aop_Level]])&amp;IF(Jezik=2,Aop_Bank[[#This Row],[Item_en]],Aop_Bank[[#This Row],[Item_sr]])</f>
        <v xml:space="preserve">    1. Gotovina, gotovinski ekvivalenti, zlato i potraživanja iz operativnog poslovanja (003 do 007)</v>
      </c>
      <c r="H4" s="17" t="str">
        <f>Aop_Bank[[#This Row],[AOP_Text]]&amp;" - "&amp;TRIM(Aop_Bank[[#This Row],[Balance]])</f>
        <v>002 - 1. Gotovina, gotovinski ekvivalenti, zlato i potraživanja iz operativnog poslovanja (003 do 007)</v>
      </c>
    </row>
    <row r="5" spans="1:8" x14ac:dyDescent="0.25">
      <c r="A5" s="25">
        <f t="shared" si="0"/>
        <v>4</v>
      </c>
      <c r="B5" s="26">
        <v>3</v>
      </c>
      <c r="C5" s="17" t="str">
        <f>IF(Aop_Bank[[#This Row],[AOP]]="","",TEXT(Aop_Bank[[#This Row],[AOP]],"000"))</f>
        <v>003</v>
      </c>
      <c r="D5" s="17">
        <v>3</v>
      </c>
      <c r="E5" s="17" t="s">
        <v>113</v>
      </c>
      <c r="F5" s="17"/>
      <c r="G5" s="17" t="str">
        <f>REPT("  ",Aop_Bank[[#This Row],[Aop_Level]])&amp;IF(Jezik=2,Aop_Bank[[#This Row],[Item_en]],Aop_Bank[[#This Row],[Item_sr]])</f>
        <v xml:space="preserve">      a) Gotovina i gotovinski ekvivalenti u domaćoj valuti</v>
      </c>
      <c r="H5" s="17" t="str">
        <f>Aop_Bank[[#This Row],[AOP_Text]]&amp;" - "&amp;TRIM(Aop_Bank[[#This Row],[Balance]])</f>
        <v>003 - a) Gotovina i gotovinski ekvivalenti u domaćoj valuti</v>
      </c>
    </row>
    <row r="6" spans="1:8" x14ac:dyDescent="0.25">
      <c r="A6" s="25">
        <f t="shared" si="0"/>
        <v>5</v>
      </c>
      <c r="B6" s="26">
        <v>3</v>
      </c>
      <c r="C6" s="17" t="str">
        <f>IF(Aop_Bank[[#This Row],[AOP]]="","",TEXT(Aop_Bank[[#This Row],[AOP]],"000"))</f>
        <v>004</v>
      </c>
      <c r="D6" s="17">
        <v>4</v>
      </c>
      <c r="E6" s="17" t="s">
        <v>114</v>
      </c>
      <c r="F6" s="17"/>
      <c r="G6" s="17" t="str">
        <f>REPT("  ",Aop_Bank[[#This Row],[Aop_Level]])&amp;IF(Jezik=2,Aop_Bank[[#This Row],[Item_en]],Aop_Bank[[#This Row],[Item_sr]])</f>
        <v xml:space="preserve">      b) Ostala potraživanja u domaćoj valuti</v>
      </c>
      <c r="H6" s="17" t="str">
        <f>Aop_Bank[[#This Row],[AOP_Text]]&amp;" - "&amp;TRIM(Aop_Bank[[#This Row],[Balance]])</f>
        <v>004 - b) Ostala potraživanja u domaćoj valuti</v>
      </c>
    </row>
    <row r="7" spans="1:8" x14ac:dyDescent="0.25">
      <c r="A7" s="25">
        <f t="shared" si="0"/>
        <v>6</v>
      </c>
      <c r="B7" s="26">
        <v>3</v>
      </c>
      <c r="C7" s="17" t="str">
        <f>IF(Aop_Bank[[#This Row],[AOP]]="","",TEXT(Aop_Bank[[#This Row],[AOP]],"000"))</f>
        <v>005</v>
      </c>
      <c r="D7" s="17">
        <v>5</v>
      </c>
      <c r="E7" s="17" t="s">
        <v>115</v>
      </c>
      <c r="F7" s="17"/>
      <c r="G7" s="17" t="str">
        <f>REPT("  ",Aop_Bank[[#This Row],[Aop_Level]])&amp;IF(Jezik=2,Aop_Bank[[#This Row],[Item_en]],Aop_Bank[[#This Row],[Item_sr]])</f>
        <v xml:space="preserve">      v) Gotovina i gotovinski ekvivalenti u stranoj valuti</v>
      </c>
      <c r="H7" s="17" t="str">
        <f>Aop_Bank[[#This Row],[AOP_Text]]&amp;" - "&amp;TRIM(Aop_Bank[[#This Row],[Balance]])</f>
        <v>005 - v) Gotovina i gotovinski ekvivalenti u stranoj valuti</v>
      </c>
    </row>
    <row r="8" spans="1:8" x14ac:dyDescent="0.25">
      <c r="A8" s="25">
        <f t="shared" si="0"/>
        <v>7</v>
      </c>
      <c r="B8" s="26">
        <v>3</v>
      </c>
      <c r="C8" s="17" t="str">
        <f>IF(Aop_Bank[[#This Row],[AOP]]="","",TEXT(Aop_Bank[[#This Row],[AOP]],"000"))</f>
        <v>006</v>
      </c>
      <c r="D8" s="17">
        <v>6</v>
      </c>
      <c r="E8" s="17" t="s">
        <v>116</v>
      </c>
      <c r="F8" s="17"/>
      <c r="G8" s="17" t="str">
        <f>REPT("  ",Aop_Bank[[#This Row],[Aop_Level]])&amp;IF(Jezik=2,Aop_Bank[[#This Row],[Item_en]],Aop_Bank[[#This Row],[Item_sr]])</f>
        <v xml:space="preserve">      g) Zlato i ostali plemeniti metali</v>
      </c>
      <c r="H8" s="17" t="str">
        <f>Aop_Bank[[#This Row],[AOP_Text]]&amp;" - "&amp;TRIM(Aop_Bank[[#This Row],[Balance]])</f>
        <v>006 - g) Zlato i ostali plemeniti metali</v>
      </c>
    </row>
    <row r="9" spans="1:8" x14ac:dyDescent="0.25">
      <c r="A9" s="25">
        <f t="shared" si="0"/>
        <v>8</v>
      </c>
      <c r="B9" s="26">
        <v>3</v>
      </c>
      <c r="C9" s="17" t="str">
        <f>IF(Aop_Bank[[#This Row],[AOP]]="","",TEXT(Aop_Bank[[#This Row],[AOP]],"000"))</f>
        <v>007</v>
      </c>
      <c r="D9" s="17">
        <v>7</v>
      </c>
      <c r="E9" s="17" t="s">
        <v>117</v>
      </c>
      <c r="F9" s="17"/>
      <c r="G9" s="17" t="str">
        <f>REPT("  ",Aop_Bank[[#This Row],[Aop_Level]])&amp;IF(Jezik=2,Aop_Bank[[#This Row],[Item_en]],Aop_Bank[[#This Row],[Item_sr]])</f>
        <v xml:space="preserve">      d) Ostala potraživanja u stranoj valuti</v>
      </c>
      <c r="H9" s="17" t="str">
        <f>Aop_Bank[[#This Row],[AOP_Text]]&amp;" - "&amp;TRIM(Aop_Bank[[#This Row],[Balance]])</f>
        <v>007 - d) Ostala potraživanja u stranoj valuti</v>
      </c>
    </row>
    <row r="10" spans="1:8" x14ac:dyDescent="0.25">
      <c r="A10" s="25">
        <f t="shared" si="0"/>
        <v>9</v>
      </c>
      <c r="B10" s="26">
        <v>2</v>
      </c>
      <c r="C10" s="17" t="str">
        <f>IF(Aop_Bank[[#This Row],[AOP]]="","",TEXT(Aop_Bank[[#This Row],[AOP]],"000"))</f>
        <v>008</v>
      </c>
      <c r="D10" s="17">
        <v>8</v>
      </c>
      <c r="E10" s="17" t="s">
        <v>118</v>
      </c>
      <c r="F10" s="17"/>
      <c r="G10" s="17" t="str">
        <f>REPT("  ",Aop_Bank[[#This Row],[Aop_Level]])&amp;IF(Jezik=2,Aop_Bank[[#This Row],[Item_en]],Aop_Bank[[#This Row],[Item_sr]])</f>
        <v xml:space="preserve">    2. Depoziti i krediti u domaćoj i stranoj valuti (009 + 010)</v>
      </c>
      <c r="H10" s="17" t="str">
        <f>Aop_Bank[[#This Row],[AOP_Text]]&amp;" - "&amp;TRIM(Aop_Bank[[#This Row],[Balance]])</f>
        <v>008 - 2. Depoziti i krediti u domaćoj i stranoj valuti (009 + 010)</v>
      </c>
    </row>
    <row r="11" spans="1:8" x14ac:dyDescent="0.25">
      <c r="A11" s="25">
        <f t="shared" si="0"/>
        <v>10</v>
      </c>
      <c r="B11" s="26">
        <v>3</v>
      </c>
      <c r="C11" s="17" t="str">
        <f>IF(Aop_Bank[[#This Row],[AOP]]="","",TEXT(Aop_Bank[[#This Row],[AOP]],"000"))</f>
        <v>009</v>
      </c>
      <c r="D11" s="17">
        <v>9</v>
      </c>
      <c r="E11" s="17" t="s">
        <v>322</v>
      </c>
      <c r="F11" s="17"/>
      <c r="G11" s="17" t="str">
        <f>REPT("  ",Aop_Bank[[#This Row],[Aop_Level]])&amp;IF(Jezik=2,Aop_Bank[[#This Row],[Item_en]],Aop_Bank[[#This Row],[Item_sr]])</f>
        <v xml:space="preserve">      a) Depoziti i krediti u domaćoj valuti</v>
      </c>
      <c r="H11" s="17" t="str">
        <f>Aop_Bank[[#This Row],[AOP_Text]]&amp;" - "&amp;TRIM(Aop_Bank[[#This Row],[Balance]])</f>
        <v>009 - a) Depoziti i krediti u domaćoj valuti</v>
      </c>
    </row>
    <row r="12" spans="1:8" x14ac:dyDescent="0.25">
      <c r="A12" s="25">
        <f t="shared" si="0"/>
        <v>11</v>
      </c>
      <c r="B12" s="26">
        <v>3</v>
      </c>
      <c r="C12" s="17" t="str">
        <f>IF(Aop_Bank[[#This Row],[AOP]]="","",TEXT(Aop_Bank[[#This Row],[AOP]],"000"))</f>
        <v>010</v>
      </c>
      <c r="D12" s="17">
        <v>10</v>
      </c>
      <c r="E12" s="17" t="s">
        <v>323</v>
      </c>
      <c r="F12" s="17"/>
      <c r="G12" s="17" t="str">
        <f>REPT("  ",Aop_Bank[[#This Row],[Aop_Level]])&amp;IF(Jezik=2,Aop_Bank[[#This Row],[Item_en]],Aop_Bank[[#This Row],[Item_sr]])</f>
        <v xml:space="preserve">      b) Depoziti i krediti u stranoj valuti</v>
      </c>
      <c r="H12" s="17" t="str">
        <f>Aop_Bank[[#This Row],[AOP_Text]]&amp;" - "&amp;TRIM(Aop_Bank[[#This Row],[Balance]])</f>
        <v>010 - b) Depoziti i krediti u stranoj valuti</v>
      </c>
    </row>
    <row r="13" spans="1:8" x14ac:dyDescent="0.25">
      <c r="A13" s="25">
        <f t="shared" si="0"/>
        <v>12</v>
      </c>
      <c r="B13" s="26">
        <v>2</v>
      </c>
      <c r="C13" s="17" t="str">
        <f>IF(Aop_Bank[[#This Row],[AOP]]="","",TEXT(Aop_Bank[[#This Row],[AOP]],"000"))</f>
        <v>011</v>
      </c>
      <c r="D13" s="17">
        <v>11</v>
      </c>
      <c r="E13" s="17" t="s">
        <v>119</v>
      </c>
      <c r="F13" s="17"/>
      <c r="G13" s="17" t="str">
        <f>REPT("  ",Aop_Bank[[#This Row],[Aop_Level]])&amp;IF(Jezik=2,Aop_Bank[[#This Row],[Item_en]],Aop_Bank[[#This Row],[Item_sr]])</f>
        <v xml:space="preserve">    3. Potraživanja za kamatu i naknadu, potraživanja po osnovu prodaje i druga potraživanja (012 + 013)</v>
      </c>
      <c r="H13" s="17" t="str">
        <f>Aop_Bank[[#This Row],[AOP_Text]]&amp;" - "&amp;TRIM(Aop_Bank[[#This Row],[Balance]])</f>
        <v>011 - 3. Potraživanja za kamatu i naknadu, potraživanja po osnovu prodaje i druga potraživanja (012 + 013)</v>
      </c>
    </row>
    <row r="14" spans="1:8" x14ac:dyDescent="0.25">
      <c r="A14" s="25">
        <f t="shared" si="0"/>
        <v>13</v>
      </c>
      <c r="B14" s="26">
        <v>3</v>
      </c>
      <c r="C14" s="17" t="str">
        <f>IF(Aop_Bank[[#This Row],[AOP]]="","",TEXT(Aop_Bank[[#This Row],[AOP]],"000"))</f>
        <v>012</v>
      </c>
      <c r="D14" s="17">
        <v>12</v>
      </c>
      <c r="E14" s="17" t="s">
        <v>120</v>
      </c>
      <c r="F14" s="17"/>
      <c r="G14" s="17" t="str">
        <f>REPT("  ",Aop_Bank[[#This Row],[Aop_Level]])&amp;IF(Jezik=2,Aop_Bank[[#This Row],[Item_en]],Aop_Bank[[#This Row],[Item_sr]])</f>
        <v xml:space="preserve">      a) Potraživanja za kamatu i naknadu, potraživanja po osnovu prodaje i druga potraživanja u domaćoj valuti</v>
      </c>
      <c r="H14" s="17" t="str">
        <f>Aop_Bank[[#This Row],[AOP_Text]]&amp;" - "&amp;TRIM(Aop_Bank[[#This Row],[Balance]])</f>
        <v>012 - a) Potraživanja za kamatu i naknadu, potraživanja po osnovu prodaje i druga potraživanja u domaćoj valuti</v>
      </c>
    </row>
    <row r="15" spans="1:8" x14ac:dyDescent="0.25">
      <c r="A15" s="25">
        <f t="shared" si="0"/>
        <v>14</v>
      </c>
      <c r="B15" s="26">
        <v>3</v>
      </c>
      <c r="C15" s="17" t="str">
        <f>IF(Aop_Bank[[#This Row],[AOP]]="","",TEXT(Aop_Bank[[#This Row],[AOP]],"000"))</f>
        <v>013</v>
      </c>
      <c r="D15" s="17">
        <v>13</v>
      </c>
      <c r="E15" s="17" t="s">
        <v>121</v>
      </c>
      <c r="F15" s="17"/>
      <c r="G15" s="17" t="str">
        <f>REPT("  ",Aop_Bank[[#This Row],[Aop_Level]])&amp;IF(Jezik=2,Aop_Bank[[#This Row],[Item_en]],Aop_Bank[[#This Row],[Item_sr]])</f>
        <v xml:space="preserve">      b) Potraživanja za kamatu i naknadu, potraživanja po osnovu prodaje i druga potraživanja u stranoj valuti</v>
      </c>
      <c r="H15" s="17" t="str">
        <f>Aop_Bank[[#This Row],[AOP_Text]]&amp;" - "&amp;TRIM(Aop_Bank[[#This Row],[Balance]])</f>
        <v>013 - b) Potraživanja za kamatu i naknadu, potraživanja po osnovu prodaje i druga potraživanja u stranoj valuti</v>
      </c>
    </row>
    <row r="16" spans="1:8" x14ac:dyDescent="0.25">
      <c r="A16" s="25">
        <f t="shared" si="0"/>
        <v>15</v>
      </c>
      <c r="B16" s="26">
        <v>2</v>
      </c>
      <c r="C16" s="17" t="str">
        <f>IF(Aop_Bank[[#This Row],[AOP]]="","",TEXT(Aop_Bank[[#This Row],[AOP]],"000"))</f>
        <v>014</v>
      </c>
      <c r="D16" s="17">
        <v>14</v>
      </c>
      <c r="E16" s="17" t="s">
        <v>122</v>
      </c>
      <c r="F16" s="17"/>
      <c r="G16" s="17" t="str">
        <f>REPT("  ",Aop_Bank[[#This Row],[Aop_Level]])&amp;IF(Jezik=2,Aop_Bank[[#This Row],[Item_en]],Aop_Bank[[#This Row],[Item_sr]])</f>
        <v xml:space="preserve">    4. Dati krediti i depoziti (015 do 017)</v>
      </c>
      <c r="H16" s="17" t="str">
        <f>Aop_Bank[[#This Row],[AOP_Text]]&amp;" - "&amp;TRIM(Aop_Bank[[#This Row],[Balance]])</f>
        <v>014 - 4. Dati krediti i depoziti (015 do 017)</v>
      </c>
    </row>
    <row r="17" spans="1:11" x14ac:dyDescent="0.25">
      <c r="A17" s="25">
        <f t="shared" si="0"/>
        <v>16</v>
      </c>
      <c r="B17" s="26">
        <v>3</v>
      </c>
      <c r="C17" s="17" t="str">
        <f>IF(Aop_Bank[[#This Row],[AOP]]="","",TEXT(Aop_Bank[[#This Row],[AOP]],"000"))</f>
        <v>015</v>
      </c>
      <c r="D17" s="17">
        <v>15</v>
      </c>
      <c r="E17" s="17" t="s">
        <v>123</v>
      </c>
      <c r="F17" s="17"/>
      <c r="G17" s="17" t="str">
        <f>REPT("  ",Aop_Bank[[#This Row],[Aop_Level]])&amp;IF(Jezik=2,Aop_Bank[[#This Row],[Item_en]],Aop_Bank[[#This Row],[Item_sr]])</f>
        <v xml:space="preserve">      a) Dati krediti i depoziti u domaćoj valuti</v>
      </c>
      <c r="H17" s="17" t="str">
        <f>Aop_Bank[[#This Row],[AOP_Text]]&amp;" - "&amp;TRIM(Aop_Bank[[#This Row],[Balance]])</f>
        <v>015 - a) Dati krediti i depoziti u domaćoj valuti</v>
      </c>
    </row>
    <row r="18" spans="1:11" x14ac:dyDescent="0.25">
      <c r="A18" s="25">
        <f t="shared" si="0"/>
        <v>17</v>
      </c>
      <c r="B18" s="26">
        <v>3</v>
      </c>
      <c r="C18" s="17" t="str">
        <f>IF(Aop_Bank[[#This Row],[AOP]]="","",TEXT(Aop_Bank[[#This Row],[AOP]],"000"))</f>
        <v>016</v>
      </c>
      <c r="D18" s="17">
        <v>16</v>
      </c>
      <c r="E18" s="17" t="s">
        <v>124</v>
      </c>
      <c r="F18" s="17"/>
      <c r="G18" s="17" t="str">
        <f>REPT("  ",Aop_Bank[[#This Row],[Aop_Level]])&amp;IF(Jezik=2,Aop_Bank[[#This Row],[Item_en]],Aop_Bank[[#This Row],[Item_sr]])</f>
        <v xml:space="preserve">      b) Dati krediti i depoziti sa ugovorenom zaštitom od rizika u domaćoj valuti</v>
      </c>
      <c r="H18" s="17" t="str">
        <f>Aop_Bank[[#This Row],[AOP_Text]]&amp;" - "&amp;TRIM(Aop_Bank[[#This Row],[Balance]])</f>
        <v>016 - b) Dati krediti i depoziti sa ugovorenom zaštitom od rizika u domaćoj valuti</v>
      </c>
    </row>
    <row r="19" spans="1:11" x14ac:dyDescent="0.25">
      <c r="A19" s="25">
        <f t="shared" si="0"/>
        <v>18</v>
      </c>
      <c r="B19" s="26">
        <v>3</v>
      </c>
      <c r="C19" s="17" t="str">
        <f>IF(Aop_Bank[[#This Row],[AOP]]="","",TEXT(Aop_Bank[[#This Row],[AOP]],"000"))</f>
        <v>017</v>
      </c>
      <c r="D19" s="17">
        <v>17</v>
      </c>
      <c r="E19" s="17" t="s">
        <v>125</v>
      </c>
      <c r="F19" s="17"/>
      <c r="G19" s="17" t="str">
        <f>REPT("  ",Aop_Bank[[#This Row],[Aop_Level]])&amp;IF(Jezik=2,Aop_Bank[[#This Row],[Item_en]],Aop_Bank[[#This Row],[Item_sr]])</f>
        <v xml:space="preserve">      v) Dati krediti i depoziti u stranoj valuti</v>
      </c>
      <c r="H19" s="17" t="str">
        <f>Aop_Bank[[#This Row],[AOP_Text]]&amp;" - "&amp;TRIM(Aop_Bank[[#This Row],[Balance]])</f>
        <v>017 - v) Dati krediti i depoziti u stranoj valuti</v>
      </c>
    </row>
    <row r="20" spans="1:11" x14ac:dyDescent="0.25">
      <c r="A20" s="25">
        <f t="shared" si="0"/>
        <v>19</v>
      </c>
      <c r="B20" s="26">
        <v>2</v>
      </c>
      <c r="C20" s="17" t="str">
        <f>IF(Aop_Bank[[#This Row],[AOP]]="","",TEXT(Aop_Bank[[#This Row],[AOP]],"000"))</f>
        <v>018</v>
      </c>
      <c r="D20" s="17">
        <v>18</v>
      </c>
      <c r="E20" s="17" t="s">
        <v>126</v>
      </c>
      <c r="F20" s="17"/>
      <c r="G20" s="17" t="str">
        <f>REPT("  ",Aop_Bank[[#This Row],[Aop_Level]])&amp;IF(Jezik=2,Aop_Bank[[#This Row],[Item_en]],Aop_Bank[[#This Row],[Item_sr]])</f>
        <v xml:space="preserve">    5. Hartije od vrijednosti (019 do 021)</v>
      </c>
      <c r="H20" s="17" t="str">
        <f>Aop_Bank[[#This Row],[AOP_Text]]&amp;" - "&amp;TRIM(Aop_Bank[[#This Row],[Balance]])</f>
        <v>018 - 5. Hartije od vrijednosti (019 do 021)</v>
      </c>
    </row>
    <row r="21" spans="1:11" x14ac:dyDescent="0.25">
      <c r="A21" s="25">
        <f t="shared" si="0"/>
        <v>20</v>
      </c>
      <c r="B21" s="26">
        <v>3</v>
      </c>
      <c r="C21" s="17" t="str">
        <f>IF(Aop_Bank[[#This Row],[AOP]]="","",TEXT(Aop_Bank[[#This Row],[AOP]],"000"))</f>
        <v>019</v>
      </c>
      <c r="D21" s="17">
        <v>19</v>
      </c>
      <c r="E21" s="17" t="s">
        <v>127</v>
      </c>
      <c r="F21" s="17"/>
      <c r="G21" s="17" t="str">
        <f>REPT("  ",Aop_Bank[[#This Row],[Aop_Level]])&amp;IF(Jezik=2,Aop_Bank[[#This Row],[Item_en]],Aop_Bank[[#This Row],[Item_sr]])</f>
        <v xml:space="preserve">      a) HOV u domaćoj valuti</v>
      </c>
      <c r="H21" s="17" t="str">
        <f>Aop_Bank[[#This Row],[AOP_Text]]&amp;" - "&amp;TRIM(Aop_Bank[[#This Row],[Balance]])</f>
        <v>019 - a) HOV u domaćoj valuti</v>
      </c>
    </row>
    <row r="22" spans="1:11" x14ac:dyDescent="0.25">
      <c r="A22" s="25">
        <f t="shared" si="0"/>
        <v>21</v>
      </c>
      <c r="B22" s="26">
        <v>3</v>
      </c>
      <c r="C22" s="17" t="str">
        <f>IF(Aop_Bank[[#This Row],[AOP]]="","",TEXT(Aop_Bank[[#This Row],[AOP]],"000"))</f>
        <v>020</v>
      </c>
      <c r="D22" s="17">
        <v>20</v>
      </c>
      <c r="E22" s="17" t="s">
        <v>128</v>
      </c>
      <c r="F22" s="17"/>
      <c r="G22" s="17" t="str">
        <f>REPT("  ",Aop_Bank[[#This Row],[Aop_Level]])&amp;IF(Jezik=2,Aop_Bank[[#This Row],[Item_en]],Aop_Bank[[#This Row],[Item_sr]])</f>
        <v xml:space="preserve">      b) HOV sa ugovorenom zaštitom od rizika u domaćoj valuti</v>
      </c>
      <c r="H22" s="17" t="str">
        <f>Aop_Bank[[#This Row],[AOP_Text]]&amp;" - "&amp;TRIM(Aop_Bank[[#This Row],[Balance]])</f>
        <v>020 - b) HOV sa ugovorenom zaštitom od rizika u domaćoj valuti</v>
      </c>
    </row>
    <row r="23" spans="1:11" x14ac:dyDescent="0.25">
      <c r="A23" s="25">
        <f t="shared" si="0"/>
        <v>22</v>
      </c>
      <c r="B23" s="26">
        <v>3</v>
      </c>
      <c r="C23" s="17" t="str">
        <f>IF(Aop_Bank[[#This Row],[AOP]]="","",TEXT(Aop_Bank[[#This Row],[AOP]],"000"))</f>
        <v>021</v>
      </c>
      <c r="D23" s="17">
        <v>21</v>
      </c>
      <c r="E23" s="17" t="s">
        <v>129</v>
      </c>
      <c r="F23" s="17"/>
      <c r="G23" s="17" t="str">
        <f>REPT("  ",Aop_Bank[[#This Row],[Aop_Level]])&amp;IF(Jezik=2,Aop_Bank[[#This Row],[Item_en]],Aop_Bank[[#This Row],[Item_sr]])</f>
        <v xml:space="preserve">      v) HOV u stranoj valuti</v>
      </c>
      <c r="H23" s="17" t="str">
        <f>Aop_Bank[[#This Row],[AOP_Text]]&amp;" - "&amp;TRIM(Aop_Bank[[#This Row],[Balance]])</f>
        <v>021 - v) HOV u stranoj valuti</v>
      </c>
    </row>
    <row r="24" spans="1:11" x14ac:dyDescent="0.25">
      <c r="A24" s="25">
        <f t="shared" si="0"/>
        <v>23</v>
      </c>
      <c r="B24" s="26">
        <v>2</v>
      </c>
      <c r="C24" s="17" t="str">
        <f>IF(Aop_Bank[[#This Row],[AOP]]="","",TEXT(Aop_Bank[[#This Row],[AOP]],"000"))</f>
        <v>022</v>
      </c>
      <c r="D24" s="17">
        <v>22</v>
      </c>
      <c r="E24" s="17" t="s">
        <v>130</v>
      </c>
      <c r="F24" s="17"/>
      <c r="G24" s="17" t="str">
        <f>REPT("  ",Aop_Bank[[#This Row],[Aop_Level]])&amp;IF(Jezik=2,Aop_Bank[[#This Row],[Item_en]],Aop_Bank[[#This Row],[Item_sr]])</f>
        <v xml:space="preserve">    6. Ostali plasmani i AVR (023 do 029)</v>
      </c>
      <c r="H24" s="17" t="str">
        <f>Aop_Bank[[#This Row],[AOP_Text]]&amp;" - "&amp;TRIM(Aop_Bank[[#This Row],[Balance]])</f>
        <v>022 - 6. Ostali plasmani i AVR (023 do 029)</v>
      </c>
    </row>
    <row r="25" spans="1:11" x14ac:dyDescent="0.25">
      <c r="A25" s="25">
        <f t="shared" si="0"/>
        <v>24</v>
      </c>
      <c r="B25" s="26">
        <v>3</v>
      </c>
      <c r="C25" s="17" t="str">
        <f>IF(Aop_Bank[[#This Row],[AOP]]="","",TEXT(Aop_Bank[[#This Row],[AOP]],"000"))</f>
        <v>023</v>
      </c>
      <c r="D25" s="17">
        <v>23</v>
      </c>
      <c r="E25" s="17" t="s">
        <v>131</v>
      </c>
      <c r="F25" s="17"/>
      <c r="G25" s="17" t="str">
        <f>REPT("  ",Aop_Bank[[#This Row],[Aop_Level]])&amp;IF(Jezik=2,Aop_Bank[[#This Row],[Item_en]],Aop_Bank[[#This Row],[Item_sr]])</f>
        <v xml:space="preserve">      a) Ostali plasmani u domaćoj valuti</v>
      </c>
      <c r="H25" s="17" t="str">
        <f>Aop_Bank[[#This Row],[AOP_Text]]&amp;" - "&amp;TRIM(Aop_Bank[[#This Row],[Balance]])</f>
        <v>023 - a) Ostali plasmani u domaćoj valuti</v>
      </c>
      <c r="K25" s="10"/>
    </row>
    <row r="26" spans="1:11" x14ac:dyDescent="0.25">
      <c r="A26" s="25">
        <f t="shared" si="0"/>
        <v>25</v>
      </c>
      <c r="B26" s="26">
        <v>3</v>
      </c>
      <c r="C26" s="17" t="str">
        <f>IF(Aop_Bank[[#This Row],[AOP]]="","",TEXT(Aop_Bank[[#This Row],[AOP]],"000"))</f>
        <v>024</v>
      </c>
      <c r="D26" s="17">
        <v>24</v>
      </c>
      <c r="E26" s="17" t="s">
        <v>132</v>
      </c>
      <c r="F26" s="17"/>
      <c r="G26" s="17" t="str">
        <f>REPT("  ",Aop_Bank[[#This Row],[Aop_Level]])&amp;IF(Jezik=2,Aop_Bank[[#This Row],[Item_en]],Aop_Bank[[#This Row],[Item_sr]])</f>
        <v xml:space="preserve">      b) Ostali plasmani sa ugovorenom zaštitom od rizika u domaćoj valuti</v>
      </c>
      <c r="H26" s="17" t="str">
        <f>Aop_Bank[[#This Row],[AOP_Text]]&amp;" - "&amp;TRIM(Aop_Bank[[#This Row],[Balance]])</f>
        <v>024 - b) Ostali plasmani sa ugovorenom zaštitom od rizika u domaćoj valuti</v>
      </c>
    </row>
    <row r="27" spans="1:11" x14ac:dyDescent="0.25">
      <c r="A27" s="25">
        <f t="shared" si="0"/>
        <v>26</v>
      </c>
      <c r="B27" s="26">
        <v>3</v>
      </c>
      <c r="C27" s="17" t="str">
        <f>IF(Aop_Bank[[#This Row],[AOP]]="","",TEXT(Aop_Bank[[#This Row],[AOP]],"000"))</f>
        <v>025</v>
      </c>
      <c r="D27" s="17">
        <v>25</v>
      </c>
      <c r="E27" s="17" t="s">
        <v>133</v>
      </c>
      <c r="F27" s="17"/>
      <c r="G27" s="17" t="str">
        <f>REPT("  ",Aop_Bank[[#This Row],[Aop_Level]])&amp;IF(Jezik=2,Aop_Bank[[#This Row],[Item_en]],Aop_Bank[[#This Row],[Item_sr]])</f>
        <v xml:space="preserve">      v) Dospjeli plasmani i tekuća dospijeća dugoročnih plasmana u domaćoj valuti</v>
      </c>
      <c r="H27" s="17" t="str">
        <f>Aop_Bank[[#This Row],[AOP_Text]]&amp;" - "&amp;TRIM(Aop_Bank[[#This Row],[Balance]])</f>
        <v>025 - v) Dospjeli plasmani i tekuća dospijeća dugoročnih plasmana u domaćoj valuti</v>
      </c>
    </row>
    <row r="28" spans="1:11" x14ac:dyDescent="0.25">
      <c r="A28" s="25">
        <f t="shared" si="0"/>
        <v>27</v>
      </c>
      <c r="B28" s="26">
        <v>3</v>
      </c>
      <c r="C28" s="17" t="str">
        <f>IF(Aop_Bank[[#This Row],[AOP]]="","",TEXT(Aop_Bank[[#This Row],[AOP]],"000"))</f>
        <v>026</v>
      </c>
      <c r="D28" s="17">
        <v>26</v>
      </c>
      <c r="E28" s="17" t="s">
        <v>134</v>
      </c>
      <c r="F28" s="17"/>
      <c r="G28" s="17" t="str">
        <f>REPT("  ",Aop_Bank[[#This Row],[Aop_Level]])&amp;IF(Jezik=2,Aop_Bank[[#This Row],[Item_en]],Aop_Bank[[#This Row],[Item_sr]])</f>
        <v xml:space="preserve">      g) AVR u domaćoj valuti</v>
      </c>
      <c r="H28" s="17" t="str">
        <f>Aop_Bank[[#This Row],[AOP_Text]]&amp;" - "&amp;TRIM(Aop_Bank[[#This Row],[Balance]])</f>
        <v>026 - g) AVR u domaćoj valuti</v>
      </c>
    </row>
    <row r="29" spans="1:11" x14ac:dyDescent="0.25">
      <c r="A29" s="25">
        <f t="shared" si="0"/>
        <v>28</v>
      </c>
      <c r="B29" s="26">
        <v>3</v>
      </c>
      <c r="C29" s="17" t="str">
        <f>IF(Aop_Bank[[#This Row],[AOP]]="","",TEXT(Aop_Bank[[#This Row],[AOP]],"000"))</f>
        <v>027</v>
      </c>
      <c r="D29" s="17">
        <v>27</v>
      </c>
      <c r="E29" s="17" t="s">
        <v>135</v>
      </c>
      <c r="F29" s="17"/>
      <c r="G29" s="17" t="str">
        <f>REPT("  ",Aop_Bank[[#This Row],[Aop_Level]])&amp;IF(Jezik=2,Aop_Bank[[#This Row],[Item_en]],Aop_Bank[[#This Row],[Item_sr]])</f>
        <v xml:space="preserve">      d) Ostali plasmani u stranoj valuti</v>
      </c>
      <c r="H29" s="17" t="str">
        <f>Aop_Bank[[#This Row],[AOP_Text]]&amp;" - "&amp;TRIM(Aop_Bank[[#This Row],[Balance]])</f>
        <v>027 - d) Ostali plasmani u stranoj valuti</v>
      </c>
    </row>
    <row r="30" spans="1:11" x14ac:dyDescent="0.25">
      <c r="A30" s="25">
        <f t="shared" si="0"/>
        <v>29</v>
      </c>
      <c r="B30" s="26">
        <v>3</v>
      </c>
      <c r="C30" s="17" t="str">
        <f>IF(Aop_Bank[[#This Row],[AOP]]="","",TEXT(Aop_Bank[[#This Row],[AOP]],"000"))</f>
        <v>028</v>
      </c>
      <c r="D30" s="17">
        <v>28</v>
      </c>
      <c r="E30" s="17" t="s">
        <v>136</v>
      </c>
      <c r="F30" s="17"/>
      <c r="G30" s="17" t="str">
        <f>REPT("  ",Aop_Bank[[#This Row],[Aop_Level]])&amp;IF(Jezik=2,Aop_Bank[[#This Row],[Item_en]],Aop_Bank[[#This Row],[Item_sr]])</f>
        <v xml:space="preserve">      đ) Dospjeli plasmani i tekuća dospijeća dugoročnih plasmana u stranoj valuti</v>
      </c>
      <c r="H30" s="17" t="str">
        <f>Aop_Bank[[#This Row],[AOP_Text]]&amp;" - "&amp;TRIM(Aop_Bank[[#This Row],[Balance]])</f>
        <v>028 - đ) Dospjeli plasmani i tekuća dospijeća dugoročnih plasmana u stranoj valuti</v>
      </c>
    </row>
    <row r="31" spans="1:11" x14ac:dyDescent="0.25">
      <c r="A31" s="25">
        <f t="shared" si="0"/>
        <v>30</v>
      </c>
      <c r="B31" s="26">
        <v>3</v>
      </c>
      <c r="C31" s="17" t="str">
        <f>IF(Aop_Bank[[#This Row],[AOP]]="","",TEXT(Aop_Bank[[#This Row],[AOP]],"000"))</f>
        <v>029</v>
      </c>
      <c r="D31" s="17">
        <v>29</v>
      </c>
      <c r="E31" s="17" t="s">
        <v>137</v>
      </c>
      <c r="F31" s="17"/>
      <c r="G31" s="17" t="str">
        <f>REPT("  ",Aop_Bank[[#This Row],[Aop_Level]])&amp;IF(Jezik=2,Aop_Bank[[#This Row],[Item_en]],Aop_Bank[[#This Row],[Item_sr]])</f>
        <v xml:space="preserve">      e) AVR u stranoj valuti</v>
      </c>
      <c r="H31" s="17" t="str">
        <f>Aop_Bank[[#This Row],[AOP_Text]]&amp;" - "&amp;TRIM(Aop_Bank[[#This Row],[Balance]])</f>
        <v>029 - e) AVR u stranoj valuti</v>
      </c>
    </row>
    <row r="32" spans="1:11" x14ac:dyDescent="0.25">
      <c r="A32" s="25">
        <f t="shared" si="0"/>
        <v>31</v>
      </c>
      <c r="B32" s="26">
        <v>2</v>
      </c>
      <c r="C32" s="17" t="str">
        <f>IF(Aop_Bank[[#This Row],[AOP]]="","",TEXT(Aop_Bank[[#This Row],[AOP]],"000"))</f>
        <v>030</v>
      </c>
      <c r="D32" s="17">
        <v>30</v>
      </c>
      <c r="E32" s="17" t="s">
        <v>138</v>
      </c>
      <c r="F32" s="17"/>
      <c r="G32" s="17" t="str">
        <f>REPT("  ",Aop_Bank[[#This Row],[Aop_Level]])&amp;IF(Jezik=2,Aop_Bank[[#This Row],[Item_en]],Aop_Bank[[#This Row],[Item_sr]])</f>
        <v xml:space="preserve">    7. Zalihe</v>
      </c>
      <c r="H32" s="17" t="str">
        <f>Aop_Bank[[#This Row],[AOP_Text]]&amp;" - "&amp;TRIM(Aop_Bank[[#This Row],[Balance]])</f>
        <v>030 - 7. Zalihe</v>
      </c>
    </row>
    <row r="33" spans="1:8" x14ac:dyDescent="0.25">
      <c r="A33" s="25">
        <f t="shared" si="0"/>
        <v>32</v>
      </c>
      <c r="B33" s="26">
        <v>2</v>
      </c>
      <c r="C33" s="17" t="str">
        <f>IF(Aop_Bank[[#This Row],[AOP]]="","",TEXT(Aop_Bank[[#This Row],[AOP]],"000"))</f>
        <v>031</v>
      </c>
      <c r="D33" s="17">
        <v>31</v>
      </c>
      <c r="E33" s="17" t="s">
        <v>139</v>
      </c>
      <c r="F33" s="17"/>
      <c r="G33" s="17" t="str">
        <f>REPT("  ",Aop_Bank[[#This Row],[Aop_Level]])&amp;IF(Jezik=2,Aop_Bank[[#This Row],[Item_en]],Aop_Bank[[#This Row],[Item_sr]])</f>
        <v xml:space="preserve">    8. Stalna sredstva namijenjena prodaji</v>
      </c>
      <c r="H33" s="17" t="str">
        <f>Aop_Bank[[#This Row],[AOP_Text]]&amp;" - "&amp;TRIM(Aop_Bank[[#This Row],[Balance]])</f>
        <v>031 - 8. Stalna sredstva namijenjena prodaji</v>
      </c>
    </row>
    <row r="34" spans="1:8" x14ac:dyDescent="0.25">
      <c r="A34" s="25">
        <f t="shared" si="0"/>
        <v>33</v>
      </c>
      <c r="B34" s="26">
        <v>2</v>
      </c>
      <c r="C34" s="17" t="str">
        <f>IF(Aop_Bank[[#This Row],[AOP]]="","",TEXT(Aop_Bank[[#This Row],[AOP]],"000"))</f>
        <v>032</v>
      </c>
      <c r="D34" s="17">
        <v>32</v>
      </c>
      <c r="E34" s="17" t="s">
        <v>140</v>
      </c>
      <c r="F34" s="17"/>
      <c r="G34" s="17" t="str">
        <f>REPT("  ",Aop_Bank[[#This Row],[Aop_Level]])&amp;IF(Jezik=2,Aop_Bank[[#This Row],[Item_en]],Aop_Bank[[#This Row],[Item_sr]])</f>
        <v xml:space="preserve">    9. Sredstva poslovanja koje se obustavlja</v>
      </c>
      <c r="H34" s="17" t="str">
        <f>Aop_Bank[[#This Row],[AOP_Text]]&amp;" - "&amp;TRIM(Aop_Bank[[#This Row],[Balance]])</f>
        <v>032 - 9. Sredstva poslovanja koje se obustavlja</v>
      </c>
    </row>
    <row r="35" spans="1:8" x14ac:dyDescent="0.25">
      <c r="A35" s="25">
        <f t="shared" si="0"/>
        <v>34</v>
      </c>
      <c r="B35" s="26">
        <v>2</v>
      </c>
      <c r="C35" s="17" t="str">
        <f>IF(Aop_Bank[[#This Row],[AOP]]="","",TEXT(Aop_Bank[[#This Row],[AOP]],"000"))</f>
        <v>033</v>
      </c>
      <c r="D35" s="17">
        <v>33</v>
      </c>
      <c r="E35" s="17" t="s">
        <v>141</v>
      </c>
      <c r="F35" s="17"/>
      <c r="G35" s="17" t="str">
        <f>REPT("  ",Aop_Bank[[#This Row],[Aop_Level]])&amp;IF(Jezik=2,Aop_Bank[[#This Row],[Item_en]],Aop_Bank[[#This Row],[Item_sr]])</f>
        <v xml:space="preserve">    10. Ostala sredstva</v>
      </c>
      <c r="H35" s="17" t="str">
        <f>Aop_Bank[[#This Row],[AOP_Text]]&amp;" - "&amp;TRIM(Aop_Bank[[#This Row],[Balance]])</f>
        <v>033 - 10. Ostala sredstva</v>
      </c>
    </row>
    <row r="36" spans="1:8" x14ac:dyDescent="0.25">
      <c r="A36" s="25">
        <f t="shared" si="0"/>
        <v>35</v>
      </c>
      <c r="B36" s="26">
        <v>2</v>
      </c>
      <c r="C36" s="17" t="str">
        <f>IF(Aop_Bank[[#This Row],[AOP]]="","",TEXT(Aop_Bank[[#This Row],[AOP]],"000"))</f>
        <v>034</v>
      </c>
      <c r="D36" s="17">
        <v>34</v>
      </c>
      <c r="E36" s="17" t="s">
        <v>142</v>
      </c>
      <c r="F36" s="17"/>
      <c r="G36" s="17" t="str">
        <f>REPT("  ",Aop_Bank[[#This Row],[Aop_Level]])&amp;IF(Jezik=2,Aop_Bank[[#This Row],[Item_en]],Aop_Bank[[#This Row],[Item_sr]])</f>
        <v xml:space="preserve">    11. Akontacioni porez na dodatu vrijednost</v>
      </c>
      <c r="H36" s="17" t="str">
        <f>Aop_Bank[[#This Row],[AOP_Text]]&amp;" - "&amp;TRIM(Aop_Bank[[#This Row],[Balance]])</f>
        <v>034 - 11. Akontacioni porez na dodatu vrijednost</v>
      </c>
    </row>
    <row r="37" spans="1:8" x14ac:dyDescent="0.25">
      <c r="A37" s="25">
        <f t="shared" si="0"/>
        <v>36</v>
      </c>
      <c r="B37" s="26">
        <v>1</v>
      </c>
      <c r="C37" s="17" t="str">
        <f>IF(Aop_Bank[[#This Row],[AOP]]="","",TEXT(Aop_Bank[[#This Row],[AOP]],"000"))</f>
        <v>035</v>
      </c>
      <c r="D37" s="17">
        <v>35</v>
      </c>
      <c r="E37" s="17" t="s">
        <v>324</v>
      </c>
      <c r="F37" s="17"/>
      <c r="G37" s="17" t="str">
        <f>REPT("  ",Aop_Bank[[#This Row],[Aop_Level]])&amp;IF(Jezik=2,Aop_Bank[[#This Row],[Item_en]],Aop_Bank[[#This Row],[Item_sr]])</f>
        <v xml:space="preserve">  B. STALNA SREDSTVA (036+041+047)</v>
      </c>
      <c r="H37" s="17" t="str">
        <f>Aop_Bank[[#This Row],[AOP_Text]]&amp;" - "&amp;TRIM(Aop_Bank[[#This Row],[Balance]])</f>
        <v>035 - B. STALNA SREDSTVA (036+041+047)</v>
      </c>
    </row>
    <row r="38" spans="1:8" x14ac:dyDescent="0.25">
      <c r="A38" s="25">
        <f t="shared" si="0"/>
        <v>37</v>
      </c>
      <c r="B38" s="26">
        <v>2</v>
      </c>
      <c r="C38" s="17" t="str">
        <f>IF(Aop_Bank[[#This Row],[AOP]]="","",TEXT(Aop_Bank[[#This Row],[AOP]],"000"))</f>
        <v>036</v>
      </c>
      <c r="D38" s="17">
        <v>36</v>
      </c>
      <c r="E38" s="17" t="s">
        <v>143</v>
      </c>
      <c r="F38" s="17"/>
      <c r="G38" s="17" t="str">
        <f>REPT("  ",Aop_Bank[[#This Row],[Aop_Level]])&amp;IF(Jezik=2,Aop_Bank[[#This Row],[Item_en]],Aop_Bank[[#This Row],[Item_sr]])</f>
        <v xml:space="preserve">    1. Osnovna sredstva i ulaganja u nekretnine (037 do 040)</v>
      </c>
      <c r="H38" s="17" t="str">
        <f>Aop_Bank[[#This Row],[AOP_Text]]&amp;" - "&amp;TRIM(Aop_Bank[[#This Row],[Balance]])</f>
        <v>036 - 1. Osnovna sredstva i ulaganja u nekretnine (037 do 040)</v>
      </c>
    </row>
    <row r="39" spans="1:8" x14ac:dyDescent="0.25">
      <c r="A39" s="25">
        <f t="shared" si="0"/>
        <v>38</v>
      </c>
      <c r="B39" s="26">
        <v>3</v>
      </c>
      <c r="C39" s="17" t="str">
        <f>IF(Aop_Bank[[#This Row],[AOP]]="","",TEXT(Aop_Bank[[#This Row],[AOP]],"000"))</f>
        <v>037</v>
      </c>
      <c r="D39" s="17">
        <v>37</v>
      </c>
      <c r="E39" s="17" t="s">
        <v>144</v>
      </c>
      <c r="F39" s="17"/>
      <c r="G39" s="17" t="str">
        <f>REPT("  ",Aop_Bank[[#This Row],[Aop_Level]])&amp;IF(Jezik=2,Aop_Bank[[#This Row],[Item_en]],Aop_Bank[[#This Row],[Item_sr]])</f>
        <v xml:space="preserve">      a) Osnovna sredstva u vlasništvu banke</v>
      </c>
      <c r="H39" s="17" t="str">
        <f>Aop_Bank[[#This Row],[AOP_Text]]&amp;" - "&amp;TRIM(Aop_Bank[[#This Row],[Balance]])</f>
        <v>037 - a) Osnovna sredstva u vlasništvu banke</v>
      </c>
    </row>
    <row r="40" spans="1:8" x14ac:dyDescent="0.25">
      <c r="A40" s="25">
        <f t="shared" si="0"/>
        <v>39</v>
      </c>
      <c r="B40" s="26">
        <v>3</v>
      </c>
      <c r="C40" s="17" t="str">
        <f>IF(Aop_Bank[[#This Row],[AOP]]="","",TEXT(Aop_Bank[[#This Row],[AOP]],"000"))</f>
        <v>038</v>
      </c>
      <c r="D40" s="17">
        <v>38</v>
      </c>
      <c r="E40" s="17" t="s">
        <v>145</v>
      </c>
      <c r="F40" s="17"/>
      <c r="G40" s="17" t="str">
        <f>REPT("  ",Aop_Bank[[#This Row],[Aop_Level]])&amp;IF(Jezik=2,Aop_Bank[[#This Row],[Item_en]],Aop_Bank[[#This Row],[Item_sr]])</f>
        <v xml:space="preserve">      b) Ulaganja u nekretnine</v>
      </c>
      <c r="H40" s="17" t="str">
        <f>Aop_Bank[[#This Row],[AOP_Text]]&amp;" - "&amp;TRIM(Aop_Bank[[#This Row],[Balance]])</f>
        <v>038 - b) Ulaganja u nekretnine</v>
      </c>
    </row>
    <row r="41" spans="1:8" x14ac:dyDescent="0.25">
      <c r="A41" s="25">
        <f t="shared" si="0"/>
        <v>40</v>
      </c>
      <c r="B41" s="26">
        <v>3</v>
      </c>
      <c r="C41" s="17" t="str">
        <f>IF(Aop_Bank[[#This Row],[AOP]]="","",TEXT(Aop_Bank[[#This Row],[AOP]],"000"))</f>
        <v>039</v>
      </c>
      <c r="D41" s="17">
        <v>39</v>
      </c>
      <c r="E41" s="17" t="s">
        <v>325</v>
      </c>
      <c r="F41" s="17"/>
      <c r="G41" s="17" t="str">
        <f>REPT("  ",Aop_Bank[[#This Row],[Aop_Level]])&amp;IF(Jezik=2,Aop_Bank[[#This Row],[Item_en]],Aop_Bank[[#This Row],[Item_sr]])</f>
        <v xml:space="preserve">      v) Osnovna sredstva uzeta u finansijski lizing</v>
      </c>
      <c r="H41" s="17" t="str">
        <f>Aop_Bank[[#This Row],[AOP_Text]]&amp;" - "&amp;TRIM(Aop_Bank[[#This Row],[Balance]])</f>
        <v>039 - v) Osnovna sredstva uzeta u finansijski lizing</v>
      </c>
    </row>
    <row r="42" spans="1:8" x14ac:dyDescent="0.25">
      <c r="A42" s="25">
        <f t="shared" si="0"/>
        <v>41</v>
      </c>
      <c r="B42" s="26">
        <v>3</v>
      </c>
      <c r="C42" s="17" t="str">
        <f>IF(Aop_Bank[[#This Row],[AOP]]="","",TEXT(Aop_Bank[[#This Row],[AOP]],"000"))</f>
        <v>040</v>
      </c>
      <c r="D42" s="17">
        <v>40</v>
      </c>
      <c r="E42" s="17" t="s">
        <v>146</v>
      </c>
      <c r="F42" s="17"/>
      <c r="G42" s="17" t="str">
        <f>REPT("  ",Aop_Bank[[#This Row],[Aop_Level]])&amp;IF(Jezik=2,Aop_Bank[[#This Row],[Item_en]],Aop_Bank[[#This Row],[Item_sr]])</f>
        <v xml:space="preserve">      g) Avansi i osnovna sredstva u pripremi</v>
      </c>
      <c r="H42" s="17" t="str">
        <f>Aop_Bank[[#This Row],[AOP_Text]]&amp;" - "&amp;TRIM(Aop_Bank[[#This Row],[Balance]])</f>
        <v>040 - g) Avansi i osnovna sredstva u pripremi</v>
      </c>
    </row>
    <row r="43" spans="1:8" x14ac:dyDescent="0.25">
      <c r="A43" s="25">
        <f t="shared" si="0"/>
        <v>42</v>
      </c>
      <c r="B43" s="26">
        <v>2</v>
      </c>
      <c r="C43" s="17" t="str">
        <f>IF(Aop_Bank[[#This Row],[AOP]]="","",TEXT(Aop_Bank[[#This Row],[AOP]],"000"))</f>
        <v>041</v>
      </c>
      <c r="D43" s="17">
        <v>41</v>
      </c>
      <c r="E43" s="17" t="s">
        <v>147</v>
      </c>
      <c r="F43" s="17"/>
      <c r="G43" s="17" t="str">
        <f>REPT("  ",Aop_Bank[[#This Row],[Aop_Level]])&amp;IF(Jezik=2,Aop_Bank[[#This Row],[Item_en]],Aop_Bank[[#This Row],[Item_sr]])</f>
        <v xml:space="preserve">    2. Nematerijalna sredstva (042 do 046)</v>
      </c>
      <c r="H43" s="17" t="str">
        <f>Aop_Bank[[#This Row],[AOP_Text]]&amp;" - "&amp;TRIM(Aop_Bank[[#This Row],[Balance]])</f>
        <v>041 - 2. Nematerijalna sredstva (042 do 046)</v>
      </c>
    </row>
    <row r="44" spans="1:8" x14ac:dyDescent="0.25">
      <c r="A44" s="25">
        <f t="shared" si="0"/>
        <v>43</v>
      </c>
      <c r="B44" s="26">
        <v>3</v>
      </c>
      <c r="C44" s="17" t="str">
        <f>IF(Aop_Bank[[#This Row],[AOP]]="","",TEXT(Aop_Bank[[#This Row],[AOP]],"000"))</f>
        <v>042</v>
      </c>
      <c r="D44" s="17">
        <v>42</v>
      </c>
      <c r="E44" s="17" t="s">
        <v>148</v>
      </c>
      <c r="F44" s="17"/>
      <c r="G44" s="17" t="str">
        <f>REPT("  ",Aop_Bank[[#This Row],[Aop_Level]])&amp;IF(Jezik=2,Aop_Bank[[#This Row],[Item_en]],Aop_Bank[[#This Row],[Item_sr]])</f>
        <v xml:space="preserve">      a) Goodwill</v>
      </c>
      <c r="H44" s="17" t="str">
        <f>Aop_Bank[[#This Row],[AOP_Text]]&amp;" - "&amp;TRIM(Aop_Bank[[#This Row],[Balance]])</f>
        <v>042 - a) Goodwill</v>
      </c>
    </row>
    <row r="45" spans="1:8" x14ac:dyDescent="0.25">
      <c r="A45" s="25">
        <f t="shared" si="0"/>
        <v>44</v>
      </c>
      <c r="B45" s="26">
        <v>3</v>
      </c>
      <c r="C45" s="17" t="str">
        <f>IF(Aop_Bank[[#This Row],[AOP]]="","",TEXT(Aop_Bank[[#This Row],[AOP]],"000"))</f>
        <v>043</v>
      </c>
      <c r="D45" s="17">
        <v>43</v>
      </c>
      <c r="E45" s="17" t="s">
        <v>149</v>
      </c>
      <c r="F45" s="17"/>
      <c r="G45" s="17" t="str">
        <f>REPT("  ",Aop_Bank[[#This Row],[Aop_Level]])&amp;IF(Jezik=2,Aop_Bank[[#This Row],[Item_en]],Aop_Bank[[#This Row],[Item_sr]])</f>
        <v xml:space="preserve">      b) Ulaganja u razvoj</v>
      </c>
      <c r="H45" s="17" t="str">
        <f>Aop_Bank[[#This Row],[AOP_Text]]&amp;" - "&amp;TRIM(Aop_Bank[[#This Row],[Balance]])</f>
        <v>043 - b) Ulaganja u razvoj</v>
      </c>
    </row>
    <row r="46" spans="1:8" x14ac:dyDescent="0.25">
      <c r="A46" s="25">
        <f t="shared" si="0"/>
        <v>45</v>
      </c>
      <c r="B46" s="26">
        <v>3</v>
      </c>
      <c r="C46" s="17" t="str">
        <f>IF(Aop_Bank[[#This Row],[AOP]]="","",TEXT(Aop_Bank[[#This Row],[AOP]],"000"))</f>
        <v>044</v>
      </c>
      <c r="D46" s="17">
        <v>44</v>
      </c>
      <c r="E46" s="17" t="s">
        <v>150</v>
      </c>
      <c r="F46" s="17"/>
      <c r="G46" s="17" t="str">
        <f>REPT("  ",Aop_Bank[[#This Row],[Aop_Level]])&amp;IF(Jezik=2,Aop_Bank[[#This Row],[Item_en]],Aop_Bank[[#This Row],[Item_sr]])</f>
        <v xml:space="preserve">      v) Nematerijalna sredstva uzeta u finansijski lizing</v>
      </c>
      <c r="H46" s="17" t="str">
        <f>Aop_Bank[[#This Row],[AOP_Text]]&amp;" - "&amp;TRIM(Aop_Bank[[#This Row],[Balance]])</f>
        <v>044 - v) Nematerijalna sredstva uzeta u finansijski lizing</v>
      </c>
    </row>
    <row r="47" spans="1:8" x14ac:dyDescent="0.25">
      <c r="A47" s="25">
        <f t="shared" si="0"/>
        <v>46</v>
      </c>
      <c r="B47" s="26">
        <v>3</v>
      </c>
      <c r="C47" s="17" t="str">
        <f>IF(Aop_Bank[[#This Row],[AOP]]="","",TEXT(Aop_Bank[[#This Row],[AOP]],"000"))</f>
        <v>045</v>
      </c>
      <c r="D47" s="17">
        <v>45</v>
      </c>
      <c r="E47" s="17" t="s">
        <v>151</v>
      </c>
      <c r="F47" s="17"/>
      <c r="G47" s="17" t="str">
        <f>REPT("  ",Aop_Bank[[#This Row],[Aop_Level]])&amp;IF(Jezik=2,Aop_Bank[[#This Row],[Item_en]],Aop_Bank[[#This Row],[Item_sr]])</f>
        <v xml:space="preserve">      g) Ostala nematerijalna sredstva</v>
      </c>
      <c r="H47" s="17" t="str">
        <f>Aop_Bank[[#This Row],[AOP_Text]]&amp;" - "&amp;TRIM(Aop_Bank[[#This Row],[Balance]])</f>
        <v>045 - g) Ostala nematerijalna sredstva</v>
      </c>
    </row>
    <row r="48" spans="1:8" x14ac:dyDescent="0.25">
      <c r="A48" s="25">
        <f t="shared" si="0"/>
        <v>47</v>
      </c>
      <c r="B48" s="26">
        <v>3</v>
      </c>
      <c r="C48" s="17" t="str">
        <f>IF(Aop_Bank[[#This Row],[AOP]]="","",TEXT(Aop_Bank[[#This Row],[AOP]],"000"))</f>
        <v>046</v>
      </c>
      <c r="D48" s="17">
        <v>46</v>
      </c>
      <c r="E48" s="17" t="s">
        <v>152</v>
      </c>
      <c r="F48" s="17"/>
      <c r="G48" s="17" t="str">
        <f>REPT("  ",Aop_Bank[[#This Row],[Aop_Level]])&amp;IF(Jezik=2,Aop_Bank[[#This Row],[Item_en]],Aop_Bank[[#This Row],[Item_sr]])</f>
        <v xml:space="preserve">      d) Avansi i nematerijalna sredstva u pripremi</v>
      </c>
      <c r="H48" s="17" t="str">
        <f>Aop_Bank[[#This Row],[AOP_Text]]&amp;" - "&amp;TRIM(Aop_Bank[[#This Row],[Balance]])</f>
        <v>046 - d) Avansi i nematerijalna sredstva u pripremi</v>
      </c>
    </row>
    <row r="49" spans="1:8" x14ac:dyDescent="0.25">
      <c r="A49" s="25">
        <f t="shared" si="0"/>
        <v>48</v>
      </c>
      <c r="B49" s="26">
        <v>2</v>
      </c>
      <c r="C49" s="17" t="str">
        <f>IF(Aop_Bank[[#This Row],[AOP]]="","",TEXT(Aop_Bank[[#This Row],[AOP]],"000"))</f>
        <v>047</v>
      </c>
      <c r="D49" s="17">
        <v>47</v>
      </c>
      <c r="E49" s="17" t="s">
        <v>153</v>
      </c>
      <c r="F49" s="17"/>
      <c r="G49" s="17" t="str">
        <f>REPT("  ",Aop_Bank[[#This Row],[Aop_Level]])&amp;IF(Jezik=2,Aop_Bank[[#This Row],[Item_en]],Aop_Bank[[#This Row],[Item_sr]])</f>
        <v xml:space="preserve">    3. Odložena poreska sredstva</v>
      </c>
      <c r="H49" s="17" t="str">
        <f>Aop_Bank[[#This Row],[AOP_Text]]&amp;" - "&amp;TRIM(Aop_Bank[[#This Row],[Balance]])</f>
        <v>047 - 3. Odložena poreska sredstva</v>
      </c>
    </row>
    <row r="50" spans="1:8" x14ac:dyDescent="0.25">
      <c r="A50" s="25">
        <f t="shared" si="0"/>
        <v>49</v>
      </c>
      <c r="B50" s="26">
        <v>1</v>
      </c>
      <c r="C50" s="17" t="str">
        <f>IF(Aop_Bank[[#This Row],[AOP]]="","",TEXT(Aop_Bank[[#This Row],[AOP]],"000"))</f>
        <v>048</v>
      </c>
      <c r="D50" s="17">
        <v>48</v>
      </c>
      <c r="E50" s="17" t="s">
        <v>154</v>
      </c>
      <c r="F50" s="17"/>
      <c r="G50" s="17" t="str">
        <f>REPT("  ",Aop_Bank[[#This Row],[Aop_Level]])&amp;IF(Jezik=2,Aop_Bank[[#This Row],[Item_en]],Aop_Bank[[#This Row],[Item_sr]])</f>
        <v xml:space="preserve">  V. POSLOVNA AKTIVA (001+035)</v>
      </c>
      <c r="H50" s="17" t="str">
        <f>Aop_Bank[[#This Row],[AOP_Text]]&amp;" - "&amp;TRIM(Aop_Bank[[#This Row],[Balance]])</f>
        <v>048 - V. POSLOVNA AKTIVA (001+035)</v>
      </c>
    </row>
    <row r="51" spans="1:8" x14ac:dyDescent="0.25">
      <c r="A51" s="25">
        <f t="shared" si="0"/>
        <v>50</v>
      </c>
      <c r="B51" s="26">
        <v>1</v>
      </c>
      <c r="C51" s="17" t="str">
        <f>IF(Aop_Bank[[#This Row],[AOP]]="","",TEXT(Aop_Bank[[#This Row],[AOP]],"000"))</f>
        <v>049</v>
      </c>
      <c r="D51" s="17">
        <v>49</v>
      </c>
      <c r="E51" s="17" t="s">
        <v>155</v>
      </c>
      <c r="F51" s="17"/>
      <c r="G51" s="17" t="str">
        <f>REPT("  ",Aop_Bank[[#This Row],[Aop_Level]])&amp;IF(Jezik=2,Aop_Bank[[#This Row],[Item_en]],Aop_Bank[[#This Row],[Item_sr]])</f>
        <v xml:space="preserve">  G. VANBILANSNA AKTIVA</v>
      </c>
      <c r="H51" s="17" t="str">
        <f>Aop_Bank[[#This Row],[AOP_Text]]&amp;" - "&amp;TRIM(Aop_Bank[[#This Row],[Balance]])</f>
        <v>049 - G. VANBILANSNA AKTIVA</v>
      </c>
    </row>
    <row r="52" spans="1:8" x14ac:dyDescent="0.25">
      <c r="A52" s="25">
        <f t="shared" si="0"/>
        <v>51</v>
      </c>
      <c r="B52" s="26">
        <v>1</v>
      </c>
      <c r="C52" s="17" t="str">
        <f>IF(Aop_Bank[[#This Row],[AOP]]="","",TEXT(Aop_Bank[[#This Row],[AOP]],"000"))</f>
        <v>050</v>
      </c>
      <c r="D52" s="17">
        <v>50</v>
      </c>
      <c r="E52" s="17" t="s">
        <v>156</v>
      </c>
      <c r="F52" s="17"/>
      <c r="G52" s="17" t="str">
        <f>REPT("  ",Aop_Bank[[#This Row],[Aop_Level]])&amp;IF(Jezik=2,Aop_Bank[[#This Row],[Item_en]],Aop_Bank[[#This Row],[Item_sr]])</f>
        <v xml:space="preserve">  D. UKUPNA AKTIVA (048+049)</v>
      </c>
      <c r="H52" s="17" t="str">
        <f>Aop_Bank[[#This Row],[AOP_Text]]&amp;" - "&amp;TRIM(Aop_Bank[[#This Row],[Balance]])</f>
        <v>050 - D. UKUPNA AKTIVA (048+049)</v>
      </c>
    </row>
    <row r="53" spans="1:8" x14ac:dyDescent="0.25">
      <c r="A53" s="25">
        <f t="shared" si="0"/>
        <v>52</v>
      </c>
      <c r="B53" s="26">
        <v>0</v>
      </c>
      <c r="C53" s="17" t="str">
        <f>IF(Aop_Bank[[#This Row],[AOP]]="","",TEXT(Aop_Bank[[#This Row],[AOP]],"000"))</f>
        <v/>
      </c>
      <c r="D53" s="17"/>
      <c r="E53" s="17" t="s">
        <v>326</v>
      </c>
      <c r="F53" s="17"/>
      <c r="G53" s="17" t="str">
        <f>REPT("  ",Aop_Bank[[#This Row],[Aop_Level]])&amp;IF(Jezik=2,Aop_Bank[[#This Row],[Item_en]],Aop_Bank[[#This Row],[Item_sr]])</f>
        <v>PASIVA</v>
      </c>
      <c r="H53" s="17" t="str">
        <f>Aop_Bank[[#This Row],[AOP_Text]]&amp;" - "&amp;TRIM(Aop_Bank[[#This Row],[Balance]])</f>
        <v xml:space="preserve"> - PASIVA</v>
      </c>
    </row>
    <row r="54" spans="1:8" x14ac:dyDescent="0.25">
      <c r="A54" s="25">
        <f t="shared" si="0"/>
        <v>53</v>
      </c>
      <c r="B54" s="26">
        <v>1</v>
      </c>
      <c r="C54" s="17" t="str">
        <f>IF(Aop_Bank[[#This Row],[AOP]]="","",TEXT(Aop_Bank[[#This Row],[AOP]],"000"))</f>
        <v>101</v>
      </c>
      <c r="D54" s="17">
        <v>101</v>
      </c>
      <c r="E54" s="17" t="s">
        <v>157</v>
      </c>
      <c r="F54" s="17"/>
      <c r="G54" s="17" t="str">
        <f>REPT("  ",Aop_Bank[[#This Row],[Aop_Level]])&amp;IF(Jezik=2,Aop_Bank[[#This Row],[Item_en]],Aop_Bank[[#This Row],[Item_sr]])</f>
        <v xml:space="preserve">  A. OBAVEZE (102+106+109+113)</v>
      </c>
      <c r="H54" s="17" t="str">
        <f>Aop_Bank[[#This Row],[AOP_Text]]&amp;" - "&amp;TRIM(Aop_Bank[[#This Row],[Balance]])</f>
        <v>101 - A. OBAVEZE (102+106+109+113)</v>
      </c>
    </row>
    <row r="55" spans="1:8" x14ac:dyDescent="0.25">
      <c r="A55" s="25">
        <f t="shared" si="0"/>
        <v>54</v>
      </c>
      <c r="B55" s="26">
        <v>2</v>
      </c>
      <c r="C55" s="17" t="str">
        <f>IF(Aop_Bank[[#This Row],[AOP]]="","",TEXT(Aop_Bank[[#This Row],[AOP]],"000"))</f>
        <v>102</v>
      </c>
      <c r="D55" s="17">
        <v>102</v>
      </c>
      <c r="E55" s="17" t="s">
        <v>158</v>
      </c>
      <c r="F55" s="17"/>
      <c r="G55" s="17" t="str">
        <f>REPT("  ",Aop_Bank[[#This Row],[Aop_Level]])&amp;IF(Jezik=2,Aop_Bank[[#This Row],[Item_en]],Aop_Bank[[#This Row],[Item_sr]])</f>
        <v xml:space="preserve">    1. Obaveze po osnovu depozita i kredita (103 do 105)</v>
      </c>
      <c r="H55" s="17" t="str">
        <f>Aop_Bank[[#This Row],[AOP_Text]]&amp;" - "&amp;TRIM(Aop_Bank[[#This Row],[Balance]])</f>
        <v>102 - 1. Obaveze po osnovu depozita i kredita (103 do 105)</v>
      </c>
    </row>
    <row r="56" spans="1:8" x14ac:dyDescent="0.25">
      <c r="A56" s="25">
        <f t="shared" si="0"/>
        <v>55</v>
      </c>
      <c r="B56" s="26">
        <v>3</v>
      </c>
      <c r="C56" s="17" t="str">
        <f>IF(Aop_Bank[[#This Row],[AOP]]="","",TEXT(Aop_Bank[[#This Row],[AOP]],"000"))</f>
        <v>103</v>
      </c>
      <c r="D56" s="17">
        <v>103</v>
      </c>
      <c r="E56" s="17" t="s">
        <v>159</v>
      </c>
      <c r="F56" s="17"/>
      <c r="G56" s="17" t="str">
        <f>REPT("  ",Aop_Bank[[#This Row],[Aop_Level]])&amp;IF(Jezik=2,Aop_Bank[[#This Row],[Item_en]],Aop_Bank[[#This Row],[Item_sr]])</f>
        <v xml:space="preserve">      a) Obaveze po osnovu kredita i depozita u domaćoj valuti</v>
      </c>
      <c r="H56" s="17" t="str">
        <f>Aop_Bank[[#This Row],[AOP_Text]]&amp;" - "&amp;TRIM(Aop_Bank[[#This Row],[Balance]])</f>
        <v>103 - a) Obaveze po osnovu kredita i depozita u domaćoj valuti</v>
      </c>
    </row>
    <row r="57" spans="1:8" x14ac:dyDescent="0.25">
      <c r="A57" s="25">
        <f t="shared" si="0"/>
        <v>56</v>
      </c>
      <c r="B57" s="26">
        <v>3</v>
      </c>
      <c r="C57" s="17" t="str">
        <f>IF(Aop_Bank[[#This Row],[AOP]]="","",TEXT(Aop_Bank[[#This Row],[AOP]],"000"))</f>
        <v>104</v>
      </c>
      <c r="D57" s="17">
        <v>104</v>
      </c>
      <c r="E57" s="17" t="s">
        <v>160</v>
      </c>
      <c r="F57" s="17"/>
      <c r="G57" s="17" t="str">
        <f>REPT("  ",Aop_Bank[[#This Row],[Aop_Level]])&amp;IF(Jezik=2,Aop_Bank[[#This Row],[Item_en]],Aop_Bank[[#This Row],[Item_sr]])</f>
        <v xml:space="preserve">      b) Obaveze po osnovu kredita i depozita sa ugovorenom zaštitom od rizika u domaćoj valuti</v>
      </c>
      <c r="H57" s="17" t="str">
        <f>Aop_Bank[[#This Row],[AOP_Text]]&amp;" - "&amp;TRIM(Aop_Bank[[#This Row],[Balance]])</f>
        <v>104 - b) Obaveze po osnovu kredita i depozita sa ugovorenom zaštitom od rizika u domaćoj valuti</v>
      </c>
    </row>
    <row r="58" spans="1:8" x14ac:dyDescent="0.25">
      <c r="A58" s="25">
        <f t="shared" si="0"/>
        <v>57</v>
      </c>
      <c r="B58" s="26">
        <v>3</v>
      </c>
      <c r="C58" s="17" t="str">
        <f>IF(Aop_Bank[[#This Row],[AOP]]="","",TEXT(Aop_Bank[[#This Row],[AOP]],"000"))</f>
        <v>105</v>
      </c>
      <c r="D58" s="17">
        <v>105</v>
      </c>
      <c r="E58" s="17" t="s">
        <v>161</v>
      </c>
      <c r="F58" s="17"/>
      <c r="G58" s="17" t="str">
        <f>REPT("  ",Aop_Bank[[#This Row],[Aop_Level]])&amp;IF(Jezik=2,Aop_Bank[[#This Row],[Item_en]],Aop_Bank[[#This Row],[Item_sr]])</f>
        <v xml:space="preserve">      v) Obaveze po osnovu kredita i depozita u stranoj valuti</v>
      </c>
      <c r="H58" s="17" t="str">
        <f>Aop_Bank[[#This Row],[AOP_Text]]&amp;" - "&amp;TRIM(Aop_Bank[[#This Row],[Balance]])</f>
        <v>105 - v) Obaveze po osnovu kredita i depozita u stranoj valuti</v>
      </c>
    </row>
    <row r="59" spans="1:8" x14ac:dyDescent="0.25">
      <c r="A59" s="25">
        <f t="shared" si="0"/>
        <v>58</v>
      </c>
      <c r="B59" s="26">
        <v>2</v>
      </c>
      <c r="C59" s="17" t="str">
        <f>IF(Aop_Bank[[#This Row],[AOP]]="","",TEXT(Aop_Bank[[#This Row],[AOP]],"000"))</f>
        <v>106</v>
      </c>
      <c r="D59" s="17">
        <v>106</v>
      </c>
      <c r="E59" s="17" t="s">
        <v>162</v>
      </c>
      <c r="F59" s="17"/>
      <c r="G59" s="17" t="str">
        <f>REPT("  ",Aop_Bank[[#This Row],[Aop_Level]])&amp;IF(Jezik=2,Aop_Bank[[#This Row],[Item_en]],Aop_Bank[[#This Row],[Item_sr]])</f>
        <v xml:space="preserve">    2. Obaveze za kamatu i naknadu (107+108)</v>
      </c>
      <c r="H59" s="17" t="str">
        <f>Aop_Bank[[#This Row],[AOP_Text]]&amp;" - "&amp;TRIM(Aop_Bank[[#This Row],[Balance]])</f>
        <v>106 - 2. Obaveze za kamatu i naknadu (107+108)</v>
      </c>
    </row>
    <row r="60" spans="1:8" x14ac:dyDescent="0.25">
      <c r="A60" s="25">
        <f t="shared" si="0"/>
        <v>59</v>
      </c>
      <c r="B60" s="26">
        <v>3</v>
      </c>
      <c r="C60" s="17" t="str">
        <f>IF(Aop_Bank[[#This Row],[AOP]]="","",TEXT(Aop_Bank[[#This Row],[AOP]],"000"))</f>
        <v>107</v>
      </c>
      <c r="D60" s="17">
        <v>107</v>
      </c>
      <c r="E60" s="17" t="s">
        <v>163</v>
      </c>
      <c r="F60" s="17"/>
      <c r="G60" s="17" t="str">
        <f>REPT("  ",Aop_Bank[[#This Row],[Aop_Level]])&amp;IF(Jezik=2,Aop_Bank[[#This Row],[Item_en]],Aop_Bank[[#This Row],[Item_sr]])</f>
        <v xml:space="preserve">      a) Obaveze za kamatu i naknadu u domaćoj valuti</v>
      </c>
      <c r="H60" s="17" t="str">
        <f>Aop_Bank[[#This Row],[AOP_Text]]&amp;" - "&amp;TRIM(Aop_Bank[[#This Row],[Balance]])</f>
        <v>107 - a) Obaveze za kamatu i naknadu u domaćoj valuti</v>
      </c>
    </row>
    <row r="61" spans="1:8" x14ac:dyDescent="0.25">
      <c r="A61" s="25">
        <f t="shared" si="0"/>
        <v>60</v>
      </c>
      <c r="B61" s="26">
        <v>3</v>
      </c>
      <c r="C61" s="17" t="str">
        <f>IF(Aop_Bank[[#This Row],[AOP]]="","",TEXT(Aop_Bank[[#This Row],[AOP]],"000"))</f>
        <v>108</v>
      </c>
      <c r="D61" s="17">
        <v>108</v>
      </c>
      <c r="E61" s="17" t="s">
        <v>164</v>
      </c>
      <c r="F61" s="17"/>
      <c r="G61" s="17" t="str">
        <f>REPT("  ",Aop_Bank[[#This Row],[Aop_Level]])&amp;IF(Jezik=2,Aop_Bank[[#This Row],[Item_en]],Aop_Bank[[#This Row],[Item_sr]])</f>
        <v xml:space="preserve">      b) Obaveze za kamatu i naknadu u stranoj valuti</v>
      </c>
      <c r="H61" s="17" t="str">
        <f>Aop_Bank[[#This Row],[AOP_Text]]&amp;" - "&amp;TRIM(Aop_Bank[[#This Row],[Balance]])</f>
        <v>108 - b) Obaveze za kamatu i naknadu u stranoj valuti</v>
      </c>
    </row>
    <row r="62" spans="1:8" x14ac:dyDescent="0.25">
      <c r="A62" s="25">
        <f t="shared" si="0"/>
        <v>61</v>
      </c>
      <c r="B62" s="26">
        <v>2</v>
      </c>
      <c r="C62" s="17" t="str">
        <f>IF(Aop_Bank[[#This Row],[AOP]]="","",TEXT(Aop_Bank[[#This Row],[AOP]],"000"))</f>
        <v>109</v>
      </c>
      <c r="D62" s="17">
        <v>109</v>
      </c>
      <c r="E62" s="17" t="s">
        <v>165</v>
      </c>
      <c r="F62" s="17"/>
      <c r="G62" s="17" t="str">
        <f>REPT("  ",Aop_Bank[[#This Row],[Aop_Level]])&amp;IF(Jezik=2,Aop_Bank[[#This Row],[Item_en]],Aop_Bank[[#This Row],[Item_sr]])</f>
        <v xml:space="preserve">    3. Obaveze po osnovu HOV (110 do 112)</v>
      </c>
      <c r="H62" s="17" t="str">
        <f>Aop_Bank[[#This Row],[AOP_Text]]&amp;" - "&amp;TRIM(Aop_Bank[[#This Row],[Balance]])</f>
        <v>109 - 3. Obaveze po osnovu HOV (110 do 112)</v>
      </c>
    </row>
    <row r="63" spans="1:8" x14ac:dyDescent="0.25">
      <c r="A63" s="25">
        <f t="shared" si="0"/>
        <v>62</v>
      </c>
      <c r="B63" s="26">
        <v>3</v>
      </c>
      <c r="C63" s="17" t="str">
        <f>IF(Aop_Bank[[#This Row],[AOP]]="","",TEXT(Aop_Bank[[#This Row],[AOP]],"000"))</f>
        <v>110</v>
      </c>
      <c r="D63" s="17">
        <v>110</v>
      </c>
      <c r="E63" s="17" t="s">
        <v>166</v>
      </c>
      <c r="F63" s="17"/>
      <c r="G63" s="17" t="str">
        <f>REPT("  ",Aop_Bank[[#This Row],[Aop_Level]])&amp;IF(Jezik=2,Aop_Bank[[#This Row],[Item_en]],Aop_Bank[[#This Row],[Item_sr]])</f>
        <v xml:space="preserve">      a) Obaveze po osnovu HOV u domaćoj valuti</v>
      </c>
      <c r="H63" s="17" t="str">
        <f>Aop_Bank[[#This Row],[AOP_Text]]&amp;" - "&amp;TRIM(Aop_Bank[[#This Row],[Balance]])</f>
        <v>110 - a) Obaveze po osnovu HOV u domaćoj valuti</v>
      </c>
    </row>
    <row r="64" spans="1:8" x14ac:dyDescent="0.25">
      <c r="A64" s="25">
        <f t="shared" si="0"/>
        <v>63</v>
      </c>
      <c r="B64" s="26">
        <v>3</v>
      </c>
      <c r="C64" s="17" t="str">
        <f>IF(Aop_Bank[[#This Row],[AOP]]="","",TEXT(Aop_Bank[[#This Row],[AOP]],"000"))</f>
        <v>111</v>
      </c>
      <c r="D64" s="17">
        <v>111</v>
      </c>
      <c r="E64" s="17" t="s">
        <v>167</v>
      </c>
      <c r="F64" s="17"/>
      <c r="G64" s="17" t="str">
        <f>REPT("  ",Aop_Bank[[#This Row],[Aop_Level]])&amp;IF(Jezik=2,Aop_Bank[[#This Row],[Item_en]],Aop_Bank[[#This Row],[Item_sr]])</f>
        <v xml:space="preserve">      b) Obaveze po osnovu HOV sa ugovorenom zaštitom od rizika u domaćoj valuti</v>
      </c>
      <c r="H64" s="17" t="str">
        <f>Aop_Bank[[#This Row],[AOP_Text]]&amp;" - "&amp;TRIM(Aop_Bank[[#This Row],[Balance]])</f>
        <v>111 - b) Obaveze po osnovu HOV sa ugovorenom zaštitom od rizika u domaćoj valuti</v>
      </c>
    </row>
    <row r="65" spans="1:8" x14ac:dyDescent="0.25">
      <c r="A65" s="25">
        <f t="shared" si="0"/>
        <v>64</v>
      </c>
      <c r="B65" s="26">
        <v>3</v>
      </c>
      <c r="C65" s="17" t="str">
        <f>IF(Aop_Bank[[#This Row],[AOP]]="","",TEXT(Aop_Bank[[#This Row],[AOP]],"000"))</f>
        <v>112</v>
      </c>
      <c r="D65" s="17">
        <v>112</v>
      </c>
      <c r="E65" s="17" t="s">
        <v>327</v>
      </c>
      <c r="F65" s="17"/>
      <c r="G65" s="17" t="str">
        <f>REPT("  ",Aop_Bank[[#This Row],[Aop_Level]])&amp;IF(Jezik=2,Aop_Bank[[#This Row],[Item_en]],Aop_Bank[[#This Row],[Item_sr]])</f>
        <v xml:space="preserve">      v) Obaveze po osnovu HOV u stranoj valuti</v>
      </c>
      <c r="H65" s="17" t="str">
        <f>Aop_Bank[[#This Row],[AOP_Text]]&amp;" - "&amp;TRIM(Aop_Bank[[#This Row],[Balance]])</f>
        <v>112 - v) Obaveze po osnovu HOV u stranoj valuti</v>
      </c>
    </row>
    <row r="66" spans="1:8" x14ac:dyDescent="0.25">
      <c r="A66" s="25">
        <f t="shared" ref="A66:A129" si="1">ROW()-1</f>
        <v>65</v>
      </c>
      <c r="B66" s="26">
        <v>2</v>
      </c>
      <c r="C66" s="17" t="str">
        <f>IF(Aop_Bank[[#This Row],[AOP]]="","",TEXT(Aop_Bank[[#This Row],[AOP]],"000"))</f>
        <v>113</v>
      </c>
      <c r="D66" s="17">
        <v>113</v>
      </c>
      <c r="E66" s="17" t="s">
        <v>168</v>
      </c>
      <c r="F66" s="17"/>
      <c r="G66" s="17" t="str">
        <f>REPT("  ",Aop_Bank[[#This Row],[Aop_Level]])&amp;IF(Jezik=2,Aop_Bank[[#This Row],[Item_en]],Aop_Bank[[#This Row],[Item_sr]])</f>
        <v xml:space="preserve">    4. Ostale obaveze i PVR (114 do 124)</v>
      </c>
      <c r="H66" s="17" t="str">
        <f>Aop_Bank[[#This Row],[AOP_Text]]&amp;" - "&amp;TRIM(Aop_Bank[[#This Row],[Balance]])</f>
        <v>113 - 4. Ostale obaveze i PVR (114 do 124)</v>
      </c>
    </row>
    <row r="67" spans="1:8" x14ac:dyDescent="0.25">
      <c r="A67" s="25">
        <f t="shared" si="1"/>
        <v>66</v>
      </c>
      <c r="B67" s="26">
        <v>3</v>
      </c>
      <c r="C67" s="17" t="str">
        <f>IF(Aop_Bank[[#This Row],[AOP]]="","",TEXT(Aop_Bank[[#This Row],[AOP]],"000"))</f>
        <v>114</v>
      </c>
      <c r="D67" s="17">
        <v>114</v>
      </c>
      <c r="E67" s="17" t="s">
        <v>169</v>
      </c>
      <c r="F67" s="17"/>
      <c r="G67" s="17" t="str">
        <f>REPT("  ",Aop_Bank[[#This Row],[Aop_Level]])&amp;IF(Jezik=2,Aop_Bank[[#This Row],[Item_en]],Aop_Bank[[#This Row],[Item_sr]])</f>
        <v xml:space="preserve">      a) Obaveze po osnovu zarada i naknada zarada</v>
      </c>
      <c r="H67" s="17" t="str">
        <f>Aop_Bank[[#This Row],[AOP_Text]]&amp;" - "&amp;TRIM(Aop_Bank[[#This Row],[Balance]])</f>
        <v>114 - a) Obaveze po osnovu zarada i naknada zarada</v>
      </c>
    </row>
    <row r="68" spans="1:8" x14ac:dyDescent="0.25">
      <c r="A68" s="25">
        <f t="shared" si="1"/>
        <v>67</v>
      </c>
      <c r="B68" s="26">
        <v>3</v>
      </c>
      <c r="C68" s="17" t="str">
        <f>IF(Aop_Bank[[#This Row],[AOP]]="","",TEXT(Aop_Bank[[#This Row],[AOP]],"000"))</f>
        <v>115</v>
      </c>
      <c r="D68" s="17">
        <v>115</v>
      </c>
      <c r="E68" s="17" t="s">
        <v>328</v>
      </c>
      <c r="F68" s="17"/>
      <c r="G68" s="17" t="str">
        <f>REPT("  ",Aop_Bank[[#This Row],[Aop_Level]])&amp;IF(Jezik=2,Aop_Bank[[#This Row],[Item_en]],Aop_Bank[[#This Row],[Item_sr]])</f>
        <v xml:space="preserve">      b) Ostale obaveze u domaćoj valuti, osim obaveza za poreze i doprinose</v>
      </c>
      <c r="H68" s="17" t="str">
        <f>Aop_Bank[[#This Row],[AOP_Text]]&amp;" - "&amp;TRIM(Aop_Bank[[#This Row],[Balance]])</f>
        <v>115 - b) Ostale obaveze u domaćoj valuti, osim obaveza za poreze i doprinose</v>
      </c>
    </row>
    <row r="69" spans="1:8" x14ac:dyDescent="0.25">
      <c r="A69" s="25">
        <f t="shared" si="1"/>
        <v>68</v>
      </c>
      <c r="B69" s="26">
        <v>3</v>
      </c>
      <c r="C69" s="17" t="str">
        <f>IF(Aop_Bank[[#This Row],[AOP]]="","",TEXT(Aop_Bank[[#This Row],[AOP]],"000"))</f>
        <v>116</v>
      </c>
      <c r="D69" s="17">
        <v>116</v>
      </c>
      <c r="E69" s="17" t="s">
        <v>329</v>
      </c>
      <c r="F69" s="17"/>
      <c r="G69" s="17" t="str">
        <f>REPT("  ",Aop_Bank[[#This Row],[Aop_Level]])&amp;IF(Jezik=2,Aop_Bank[[#This Row],[Item_en]],Aop_Bank[[#This Row],[Item_sr]])</f>
        <v xml:space="preserve">      v) Obaveze za poreze i doprinose, osim tekućih i odloženih obaveza za porez na dobit</v>
      </c>
      <c r="H69" s="17" t="str">
        <f>Aop_Bank[[#This Row],[AOP_Text]]&amp;" - "&amp;TRIM(Aop_Bank[[#This Row],[Balance]])</f>
        <v>116 - v) Obaveze za poreze i doprinose, osim tekućih i odloženih obaveza za porez na dobit</v>
      </c>
    </row>
    <row r="70" spans="1:8" x14ac:dyDescent="0.25">
      <c r="A70" s="25">
        <f t="shared" si="1"/>
        <v>69</v>
      </c>
      <c r="B70" s="26">
        <v>3</v>
      </c>
      <c r="C70" s="17" t="str">
        <f>IF(Aop_Bank[[#This Row],[AOP]]="","",TEXT(Aop_Bank[[#This Row],[AOP]],"000"))</f>
        <v>117</v>
      </c>
      <c r="D70" s="17">
        <v>117</v>
      </c>
      <c r="E70" s="17" t="s">
        <v>170</v>
      </c>
      <c r="F70" s="17"/>
      <c r="G70" s="17" t="str">
        <f>REPT("  ",Aop_Bank[[#This Row],[Aop_Level]])&amp;IF(Jezik=2,Aop_Bank[[#This Row],[Item_en]],Aop_Bank[[#This Row],[Item_sr]])</f>
        <v xml:space="preserve">      g) Obaveze za porez na dobit</v>
      </c>
      <c r="H70" s="17" t="str">
        <f>Aop_Bank[[#This Row],[AOP_Text]]&amp;" - "&amp;TRIM(Aop_Bank[[#This Row],[Balance]])</f>
        <v>117 - g) Obaveze za porez na dobit</v>
      </c>
    </row>
    <row r="71" spans="1:8" x14ac:dyDescent="0.25">
      <c r="A71" s="25">
        <f t="shared" si="1"/>
        <v>70</v>
      </c>
      <c r="B71" s="26">
        <v>3</v>
      </c>
      <c r="C71" s="17" t="str">
        <f>IF(Aop_Bank[[#This Row],[AOP]]="","",TEXT(Aop_Bank[[#This Row],[AOP]],"000"))</f>
        <v>118</v>
      </c>
      <c r="D71" s="17">
        <v>118</v>
      </c>
      <c r="E71" s="17" t="s">
        <v>171</v>
      </c>
      <c r="F71" s="17"/>
      <c r="G71" s="17" t="str">
        <f>REPT("  ",Aop_Bank[[#This Row],[Aop_Level]])&amp;IF(Jezik=2,Aop_Bank[[#This Row],[Item_en]],Aop_Bank[[#This Row],[Item_sr]])</f>
        <v xml:space="preserve">      d) Odložene poreske obaveze</v>
      </c>
      <c r="H71" s="17" t="str">
        <f>Aop_Bank[[#This Row],[AOP_Text]]&amp;" - "&amp;TRIM(Aop_Bank[[#This Row],[Balance]])</f>
        <v>118 - d) Odložene poreske obaveze</v>
      </c>
    </row>
    <row r="72" spans="1:8" x14ac:dyDescent="0.25">
      <c r="A72" s="25">
        <f t="shared" si="1"/>
        <v>71</v>
      </c>
      <c r="B72" s="26">
        <v>3</v>
      </c>
      <c r="C72" s="17" t="str">
        <f>IF(Aop_Bank[[#This Row],[AOP]]="","",TEXT(Aop_Bank[[#This Row],[AOP]],"000"))</f>
        <v>119</v>
      </c>
      <c r="D72" s="17">
        <v>119</v>
      </c>
      <c r="E72" s="17" t="s">
        <v>330</v>
      </c>
      <c r="F72" s="17"/>
      <c r="G72" s="17" t="str">
        <f>REPT("  ",Aop_Bank[[#This Row],[Aop_Level]])&amp;IF(Jezik=2,Aop_Bank[[#This Row],[Item_en]],Aop_Bank[[#This Row],[Item_sr]])</f>
        <v xml:space="preserve">      đ) Rezervisanja</v>
      </c>
      <c r="H72" s="17" t="str">
        <f>Aop_Bank[[#This Row],[AOP_Text]]&amp;" - "&amp;TRIM(Aop_Bank[[#This Row],[Balance]])</f>
        <v>119 - đ) Rezervisanja</v>
      </c>
    </row>
    <row r="73" spans="1:8" x14ac:dyDescent="0.25">
      <c r="A73" s="25">
        <f t="shared" si="1"/>
        <v>72</v>
      </c>
      <c r="B73" s="26">
        <v>3</v>
      </c>
      <c r="C73" s="17" t="str">
        <f>IF(Aop_Bank[[#This Row],[AOP]]="","",TEXT(Aop_Bank[[#This Row],[AOP]],"000"))</f>
        <v>120</v>
      </c>
      <c r="D73" s="17">
        <v>120</v>
      </c>
      <c r="E73" s="17" t="s">
        <v>172</v>
      </c>
      <c r="F73" s="17"/>
      <c r="G73" s="17" t="str">
        <f>REPT("  ",Aop_Bank[[#This Row],[Aop_Level]])&amp;IF(Jezik=2,Aop_Bank[[#This Row],[Item_en]],Aop_Bank[[#This Row],[Item_sr]])</f>
        <v xml:space="preserve">      e) PVR u domaćoj valuti</v>
      </c>
      <c r="H73" s="17" t="str">
        <f>Aop_Bank[[#This Row],[AOP_Text]]&amp;" - "&amp;TRIM(Aop_Bank[[#This Row],[Balance]])</f>
        <v>120 - e) PVR u domaćoj valuti</v>
      </c>
    </row>
    <row r="74" spans="1:8" x14ac:dyDescent="0.25">
      <c r="A74" s="25">
        <f t="shared" si="1"/>
        <v>73</v>
      </c>
      <c r="B74" s="26">
        <v>3</v>
      </c>
      <c r="C74" s="17" t="str">
        <f>IF(Aop_Bank[[#This Row],[AOP]]="","",TEXT(Aop_Bank[[#This Row],[AOP]],"000"))</f>
        <v>121</v>
      </c>
      <c r="D74" s="17">
        <v>121</v>
      </c>
      <c r="E74" s="17" t="s">
        <v>173</v>
      </c>
      <c r="F74" s="17"/>
      <c r="G74" s="17" t="str">
        <f>REPT("  ",Aop_Bank[[#This Row],[Aop_Level]])&amp;IF(Jezik=2,Aop_Bank[[#This Row],[Item_en]],Aop_Bank[[#This Row],[Item_sr]])</f>
        <v xml:space="preserve">      ž) Obaveze po osnovu komisionih poslova, sredstava namijenjenih prodaji, sredstava poslovanja koje se obustavlja, subordiniranih obaveza i tekuća dospijeća obaveza</v>
      </c>
      <c r="H74" s="17" t="str">
        <f>Aop_Bank[[#This Row],[AOP_Text]]&amp;" - "&amp;TRIM(Aop_Bank[[#This Row],[Balance]])</f>
        <v>121 - ž) Obaveze po osnovu komisionih poslova, sredstava namijenjenih prodaji, sredstava poslovanja koje se obustavlja, subordiniranih obaveza i tekuća dospijeća obaveza</v>
      </c>
    </row>
    <row r="75" spans="1:8" x14ac:dyDescent="0.25">
      <c r="A75" s="25">
        <f t="shared" si="1"/>
        <v>74</v>
      </c>
      <c r="B75" s="26">
        <v>3</v>
      </c>
      <c r="C75" s="17" t="str">
        <f>IF(Aop_Bank[[#This Row],[AOP]]="","",TEXT(Aop_Bank[[#This Row],[AOP]],"000"))</f>
        <v>122</v>
      </c>
      <c r="D75" s="17">
        <v>122</v>
      </c>
      <c r="E75" s="17" t="s">
        <v>174</v>
      </c>
      <c r="F75" s="17"/>
      <c r="G75" s="17" t="str">
        <f>REPT("  ",Aop_Bank[[#This Row],[Aop_Level]])&amp;IF(Jezik=2,Aop_Bank[[#This Row],[Item_en]],Aop_Bank[[#This Row],[Item_sr]])</f>
        <v xml:space="preserve">      z) Ostale obaveze u stranoj valuti</v>
      </c>
      <c r="H75" s="17" t="str">
        <f>Aop_Bank[[#This Row],[AOP_Text]]&amp;" - "&amp;TRIM(Aop_Bank[[#This Row],[Balance]])</f>
        <v>122 - z) Ostale obaveze u stranoj valuti</v>
      </c>
    </row>
    <row r="76" spans="1:8" x14ac:dyDescent="0.25">
      <c r="A76" s="25">
        <f t="shared" si="1"/>
        <v>75</v>
      </c>
      <c r="B76" s="26">
        <v>3</v>
      </c>
      <c r="C76" s="17" t="str">
        <f>IF(Aop_Bank[[#This Row],[AOP]]="","",TEXT(Aop_Bank[[#This Row],[AOP]],"000"))</f>
        <v>123</v>
      </c>
      <c r="D76" s="17">
        <v>123</v>
      </c>
      <c r="E76" s="17" t="s">
        <v>175</v>
      </c>
      <c r="F76" s="17"/>
      <c r="G76" s="17" t="str">
        <f>REPT("  ",Aop_Bank[[#This Row],[Aop_Level]])&amp;IF(Jezik=2,Aop_Bank[[#This Row],[Item_en]],Aop_Bank[[#This Row],[Item_sr]])</f>
        <v xml:space="preserve">      i) PVR u stranoj valuti</v>
      </c>
      <c r="H76" s="17" t="str">
        <f>Aop_Bank[[#This Row],[AOP_Text]]&amp;" - "&amp;TRIM(Aop_Bank[[#This Row],[Balance]])</f>
        <v>123 - i) PVR u stranoj valuti</v>
      </c>
    </row>
    <row r="77" spans="1:8" x14ac:dyDescent="0.25">
      <c r="A77" s="25">
        <f t="shared" si="1"/>
        <v>76</v>
      </c>
      <c r="B77" s="26">
        <v>3</v>
      </c>
      <c r="C77" s="17" t="str">
        <f>IF(Aop_Bank[[#This Row],[AOP]]="","",TEXT(Aop_Bank[[#This Row],[AOP]],"000"))</f>
        <v>124</v>
      </c>
      <c r="D77" s="17">
        <v>124</v>
      </c>
      <c r="E77" s="17" t="s">
        <v>176</v>
      </c>
      <c r="F77" s="17"/>
      <c r="G77" s="17" t="str">
        <f>REPT("  ",Aop_Bank[[#This Row],[Aop_Level]])&amp;IF(Jezik=2,Aop_Bank[[#This Row],[Item_en]],Aop_Bank[[#This Row],[Item_sr]])</f>
        <v xml:space="preserve">      j) Obaveze po osnovu komisionih poslova, dospjelih i subordiniranih obaveza i tekuća dospijeća u stranoj valuti</v>
      </c>
      <c r="H77" s="17" t="str">
        <f>Aop_Bank[[#This Row],[AOP_Text]]&amp;" - "&amp;TRIM(Aop_Bank[[#This Row],[Balance]])</f>
        <v>124 - j) Obaveze po osnovu komisionih poslova, dospjelih i subordiniranih obaveza i tekuća dospijeća u stranoj valuti</v>
      </c>
    </row>
    <row r="78" spans="1:8" x14ac:dyDescent="0.25">
      <c r="A78" s="25">
        <f t="shared" si="1"/>
        <v>77</v>
      </c>
      <c r="B78" s="26">
        <v>1</v>
      </c>
      <c r="C78" s="17" t="str">
        <f>IF(Aop_Bank[[#This Row],[AOP]]="","",TEXT(Aop_Bank[[#This Row],[AOP]],"000"))</f>
        <v>125</v>
      </c>
      <c r="D78" s="17">
        <v>125</v>
      </c>
      <c r="E78" s="17" t="s">
        <v>177</v>
      </c>
      <c r="F78" s="17"/>
      <c r="G78" s="17" t="str">
        <f>REPT("  ",Aop_Bank[[#This Row],[Aop_Level]])&amp;IF(Jezik=2,Aop_Bank[[#This Row],[Item_en]],Aop_Bank[[#This Row],[Item_sr]])</f>
        <v xml:space="preserve">  B. KAPITAL (126+132+138+142-148)</v>
      </c>
      <c r="H78" s="17" t="str">
        <f>Aop_Bank[[#This Row],[AOP_Text]]&amp;" - "&amp;TRIM(Aop_Bank[[#This Row],[Balance]])</f>
        <v>125 - B. KAPITAL (126+132+138+142-148)</v>
      </c>
    </row>
    <row r="79" spans="1:8" x14ac:dyDescent="0.25">
      <c r="A79" s="25">
        <f t="shared" si="1"/>
        <v>78</v>
      </c>
      <c r="B79" s="26">
        <v>2</v>
      </c>
      <c r="C79" s="17" t="str">
        <f>IF(Aop_Bank[[#This Row],[AOP]]="","",TEXT(Aop_Bank[[#This Row],[AOP]],"000"))</f>
        <v>126</v>
      </c>
      <c r="D79" s="17">
        <v>126</v>
      </c>
      <c r="E79" s="17" t="s">
        <v>331</v>
      </c>
      <c r="F79" s="17"/>
      <c r="G79" s="17" t="str">
        <f>REPT("  ",Aop_Bank[[#This Row],[Aop_Level]])&amp;IF(Jezik=2,Aop_Bank[[#This Row],[Item_en]],Aop_Bank[[#This Row],[Item_sr]])</f>
        <v xml:space="preserve">    1. Osnovni kapital (127+128+129-130-131)</v>
      </c>
      <c r="H79" s="17" t="str">
        <f>Aop_Bank[[#This Row],[AOP_Text]]&amp;" - "&amp;TRIM(Aop_Bank[[#This Row],[Balance]])</f>
        <v>126 - 1. Osnovni kapital (127+128+129-130-131)</v>
      </c>
    </row>
    <row r="80" spans="1:8" x14ac:dyDescent="0.25">
      <c r="A80" s="25">
        <f t="shared" si="1"/>
        <v>79</v>
      </c>
      <c r="B80" s="26">
        <v>3</v>
      </c>
      <c r="C80" s="17" t="str">
        <f>IF(Aop_Bank[[#This Row],[AOP]]="","",TEXT(Aop_Bank[[#This Row],[AOP]],"000"))</f>
        <v>127</v>
      </c>
      <c r="D80" s="17">
        <v>127</v>
      </c>
      <c r="E80" s="17" t="s">
        <v>178</v>
      </c>
      <c r="F80" s="17"/>
      <c r="G80" s="17" t="str">
        <f>REPT("  ",Aop_Bank[[#This Row],[Aop_Level]])&amp;IF(Jezik=2,Aop_Bank[[#This Row],[Item_en]],Aop_Bank[[#This Row],[Item_sr]])</f>
        <v xml:space="preserve">      a) Akcijski kapital</v>
      </c>
      <c r="H80" s="17" t="str">
        <f>Aop_Bank[[#This Row],[AOP_Text]]&amp;" - "&amp;TRIM(Aop_Bank[[#This Row],[Balance]])</f>
        <v>127 - a) Akcijski kapital</v>
      </c>
    </row>
    <row r="81" spans="1:8" x14ac:dyDescent="0.25">
      <c r="A81" s="25">
        <f t="shared" si="1"/>
        <v>80</v>
      </c>
      <c r="B81" s="26">
        <v>3</v>
      </c>
      <c r="C81" s="17" t="str">
        <f>IF(Aop_Bank[[#This Row],[AOP]]="","",TEXT(Aop_Bank[[#This Row],[AOP]],"000"))</f>
        <v>128</v>
      </c>
      <c r="D81" s="17">
        <v>128</v>
      </c>
      <c r="E81" s="17" t="s">
        <v>179</v>
      </c>
      <c r="F81" s="17"/>
      <c r="G81" s="17" t="str">
        <f>REPT("  ",Aop_Bank[[#This Row],[Aop_Level]])&amp;IF(Jezik=2,Aop_Bank[[#This Row],[Item_en]],Aop_Bank[[#This Row],[Item_sr]])</f>
        <v xml:space="preserve">      b) Ostali oblici kapitala</v>
      </c>
      <c r="H81" s="17" t="str">
        <f>Aop_Bank[[#This Row],[AOP_Text]]&amp;" - "&amp;TRIM(Aop_Bank[[#This Row],[Balance]])</f>
        <v>128 - b) Ostali oblici kapitala</v>
      </c>
    </row>
    <row r="82" spans="1:8" x14ac:dyDescent="0.25">
      <c r="A82" s="25">
        <f t="shared" si="1"/>
        <v>81</v>
      </c>
      <c r="B82" s="26">
        <v>3</v>
      </c>
      <c r="C82" s="17" t="str">
        <f>IF(Aop_Bank[[#This Row],[AOP]]="","",TEXT(Aop_Bank[[#This Row],[AOP]],"000"))</f>
        <v>129</v>
      </c>
      <c r="D82" s="17">
        <v>129</v>
      </c>
      <c r="E82" s="17" t="s">
        <v>180</v>
      </c>
      <c r="F82" s="17"/>
      <c r="G82" s="17" t="str">
        <f>REPT("  ",Aop_Bank[[#This Row],[Aop_Level]])&amp;IF(Jezik=2,Aop_Bank[[#This Row],[Item_en]],Aop_Bank[[#This Row],[Item_sr]])</f>
        <v xml:space="preserve">      v) Emisiona premija</v>
      </c>
      <c r="H82" s="17" t="str">
        <f>Aop_Bank[[#This Row],[AOP_Text]]&amp;" - "&amp;TRIM(Aop_Bank[[#This Row],[Balance]])</f>
        <v>129 - v) Emisiona premija</v>
      </c>
    </row>
    <row r="83" spans="1:8" x14ac:dyDescent="0.25">
      <c r="A83" s="25">
        <f t="shared" si="1"/>
        <v>82</v>
      </c>
      <c r="B83" s="26">
        <v>3</v>
      </c>
      <c r="C83" s="17" t="str">
        <f>IF(Aop_Bank[[#This Row],[AOP]]="","",TEXT(Aop_Bank[[#This Row],[AOP]],"000"))</f>
        <v>130</v>
      </c>
      <c r="D83" s="17">
        <v>130</v>
      </c>
      <c r="E83" s="17" t="s">
        <v>181</v>
      </c>
      <c r="F83" s="17"/>
      <c r="G83" s="17" t="str">
        <f>REPT("  ",Aop_Bank[[#This Row],[Aop_Level]])&amp;IF(Jezik=2,Aop_Bank[[#This Row],[Item_en]],Aop_Bank[[#This Row],[Item_sr]])</f>
        <v xml:space="preserve">      g) Upisani a neuplaćeni akcijski kapital</v>
      </c>
      <c r="H83" s="17" t="str">
        <f>Aop_Bank[[#This Row],[AOP_Text]]&amp;" - "&amp;TRIM(Aop_Bank[[#This Row],[Balance]])</f>
        <v>130 - g) Upisani a neuplaćeni akcijski kapital</v>
      </c>
    </row>
    <row r="84" spans="1:8" x14ac:dyDescent="0.25">
      <c r="A84" s="25">
        <f t="shared" si="1"/>
        <v>83</v>
      </c>
      <c r="B84" s="26">
        <v>3</v>
      </c>
      <c r="C84" s="17" t="str">
        <f>IF(Aop_Bank[[#This Row],[AOP]]="","",TEXT(Aop_Bank[[#This Row],[AOP]],"000"))</f>
        <v>131</v>
      </c>
      <c r="D84" s="17">
        <v>131</v>
      </c>
      <c r="E84" s="17" t="s">
        <v>182</v>
      </c>
      <c r="F84" s="17"/>
      <c r="G84" s="17" t="str">
        <f>REPT("  ",Aop_Bank[[#This Row],[Aop_Level]])&amp;IF(Jezik=2,Aop_Bank[[#This Row],[Item_en]],Aop_Bank[[#This Row],[Item_sr]])</f>
        <v xml:space="preserve">      d) Otkupljene sopstvene akcije</v>
      </c>
      <c r="H84" s="17" t="str">
        <f>Aop_Bank[[#This Row],[AOP_Text]]&amp;" - "&amp;TRIM(Aop_Bank[[#This Row],[Balance]])</f>
        <v>131 - d) Otkupljene sopstvene akcije</v>
      </c>
    </row>
    <row r="85" spans="1:8" x14ac:dyDescent="0.25">
      <c r="A85" s="25">
        <f t="shared" si="1"/>
        <v>84</v>
      </c>
      <c r="B85" s="26">
        <v>2</v>
      </c>
      <c r="C85" s="17" t="str">
        <f>IF(Aop_Bank[[#This Row],[AOP]]="","",TEXT(Aop_Bank[[#This Row],[AOP]],"000"))</f>
        <v>132</v>
      </c>
      <c r="D85" s="17">
        <v>132</v>
      </c>
      <c r="E85" s="17" t="s">
        <v>183</v>
      </c>
      <c r="F85" s="17"/>
      <c r="G85" s="17" t="str">
        <f>REPT("  ",Aop_Bank[[#This Row],[Aop_Level]])&amp;IF(Jezik=2,Aop_Bank[[#This Row],[Item_en]],Aop_Bank[[#This Row],[Item_sr]])</f>
        <v xml:space="preserve">    2. Rezerve iz dobiti i prenesene rezerve (133 do 137)</v>
      </c>
      <c r="H85" s="17" t="str">
        <f>Aop_Bank[[#This Row],[AOP_Text]]&amp;" - "&amp;TRIM(Aop_Bank[[#This Row],[Balance]])</f>
        <v>132 - 2. Rezerve iz dobiti i prenesene rezerve (133 do 137)</v>
      </c>
    </row>
    <row r="86" spans="1:8" x14ac:dyDescent="0.25">
      <c r="A86" s="25">
        <f t="shared" si="1"/>
        <v>85</v>
      </c>
      <c r="B86" s="26">
        <v>3</v>
      </c>
      <c r="C86" s="17" t="str">
        <f>IF(Aop_Bank[[#This Row],[AOP]]="","",TEXT(Aop_Bank[[#This Row],[AOP]],"000"))</f>
        <v>133</v>
      </c>
      <c r="D86" s="17">
        <v>133</v>
      </c>
      <c r="E86" s="17" t="s">
        <v>184</v>
      </c>
      <c r="F86" s="17"/>
      <c r="G86" s="17" t="str">
        <f>REPT("  ",Aop_Bank[[#This Row],[Aop_Level]])&amp;IF(Jezik=2,Aop_Bank[[#This Row],[Item_en]],Aop_Bank[[#This Row],[Item_sr]])</f>
        <v xml:space="preserve">      a) Rezerve iz dobiti</v>
      </c>
      <c r="H86" s="17" t="str">
        <f>Aop_Bank[[#This Row],[AOP_Text]]&amp;" - "&amp;TRIM(Aop_Bank[[#This Row],[Balance]])</f>
        <v>133 - a) Rezerve iz dobiti</v>
      </c>
    </row>
    <row r="87" spans="1:8" x14ac:dyDescent="0.25">
      <c r="A87" s="25">
        <f t="shared" si="1"/>
        <v>86</v>
      </c>
      <c r="B87" s="26">
        <v>3</v>
      </c>
      <c r="C87" s="17" t="str">
        <f>IF(Aop_Bank[[#This Row],[AOP]]="","",TEXT(Aop_Bank[[#This Row],[AOP]],"000"))</f>
        <v>134</v>
      </c>
      <c r="D87" s="17">
        <v>134</v>
      </c>
      <c r="E87" s="17" t="s">
        <v>185</v>
      </c>
      <c r="F87" s="17"/>
      <c r="G87" s="17" t="str">
        <f>REPT("  ",Aop_Bank[[#This Row],[Aop_Level]])&amp;IF(Jezik=2,Aop_Bank[[#This Row],[Item_en]],Aop_Bank[[#This Row],[Item_sr]])</f>
        <v xml:space="preserve">      b) Ostale rezerve</v>
      </c>
      <c r="H87" s="17" t="str">
        <f>Aop_Bank[[#This Row],[AOP_Text]]&amp;" - "&amp;TRIM(Aop_Bank[[#This Row],[Balance]])</f>
        <v>134 - b) Ostale rezerve</v>
      </c>
    </row>
    <row r="88" spans="1:8" x14ac:dyDescent="0.25">
      <c r="A88" s="25">
        <f t="shared" si="1"/>
        <v>87</v>
      </c>
      <c r="B88" s="26">
        <v>3</v>
      </c>
      <c r="C88" s="17" t="str">
        <f>IF(Aop_Bank[[#This Row],[AOP]]="","",TEXT(Aop_Bank[[#This Row],[AOP]],"000"))</f>
        <v>135</v>
      </c>
      <c r="D88" s="17">
        <v>135</v>
      </c>
      <c r="E88" s="17" t="s">
        <v>186</v>
      </c>
      <c r="F88" s="17"/>
      <c r="G88" s="17" t="str">
        <f>REPT("  ",Aop_Bank[[#This Row],[Aop_Level]])&amp;IF(Jezik=2,Aop_Bank[[#This Row],[Item_en]],Aop_Bank[[#This Row],[Item_sr]])</f>
        <v xml:space="preserve">      v) Posebne rezerve za procijenjene gubitke</v>
      </c>
      <c r="H88" s="17" t="str">
        <f>Aop_Bank[[#This Row],[AOP_Text]]&amp;" - "&amp;TRIM(Aop_Bank[[#This Row],[Balance]])</f>
        <v>135 - v) Posebne rezerve za procijenjene gubitke</v>
      </c>
    </row>
    <row r="89" spans="1:8" x14ac:dyDescent="0.25">
      <c r="A89" s="25">
        <f t="shared" si="1"/>
        <v>88</v>
      </c>
      <c r="B89" s="26">
        <v>3</v>
      </c>
      <c r="C89" s="17" t="str">
        <f>IF(Aop_Bank[[#This Row],[AOP]]="","",TEXT(Aop_Bank[[#This Row],[AOP]],"000"))</f>
        <v>136</v>
      </c>
      <c r="D89" s="17">
        <v>136</v>
      </c>
      <c r="E89" s="17" t="s">
        <v>187</v>
      </c>
      <c r="F89" s="17"/>
      <c r="G89" s="17" t="str">
        <f>REPT("  ",Aop_Bank[[#This Row],[Aop_Level]])&amp;IF(Jezik=2,Aop_Bank[[#This Row],[Item_en]],Aop_Bank[[#This Row],[Item_sr]])</f>
        <v xml:space="preserve">      g) Rezerve za opšte bankarske rizike</v>
      </c>
      <c r="H89" s="17" t="str">
        <f>Aop_Bank[[#This Row],[AOP_Text]]&amp;" - "&amp;TRIM(Aop_Bank[[#This Row],[Balance]])</f>
        <v>136 - g) Rezerve za opšte bankarske rizike</v>
      </c>
    </row>
    <row r="90" spans="1:8" x14ac:dyDescent="0.25">
      <c r="A90" s="25">
        <f t="shared" si="1"/>
        <v>89</v>
      </c>
      <c r="B90" s="26">
        <v>3</v>
      </c>
      <c r="C90" s="17" t="str">
        <f>IF(Aop_Bank[[#This Row],[AOP]]="","",TEXT(Aop_Bank[[#This Row],[AOP]],"000"))</f>
        <v>137</v>
      </c>
      <c r="D90" s="17">
        <v>137</v>
      </c>
      <c r="E90" s="17" t="s">
        <v>332</v>
      </c>
      <c r="F90" s="17"/>
      <c r="G90" s="17" t="str">
        <f>REPT("  ",Aop_Bank[[#This Row],[Aop_Level]])&amp;IF(Jezik=2,Aop_Bank[[#This Row],[Item_en]],Aop_Bank[[#This Row],[Item_sr]])</f>
        <v xml:space="preserve">      d) Prenesene rezerve (kursne razlike)</v>
      </c>
      <c r="H90" s="17" t="str">
        <f>Aop_Bank[[#This Row],[AOP_Text]]&amp;" - "&amp;TRIM(Aop_Bank[[#This Row],[Balance]])</f>
        <v>137 - d) Prenesene rezerve (kursne razlike)</v>
      </c>
    </row>
    <row r="91" spans="1:8" x14ac:dyDescent="0.25">
      <c r="A91" s="25">
        <f t="shared" si="1"/>
        <v>90</v>
      </c>
      <c r="B91" s="26">
        <v>2</v>
      </c>
      <c r="C91" s="17" t="str">
        <f>IF(Aop_Bank[[#This Row],[AOP]]="","",TEXT(Aop_Bank[[#This Row],[AOP]],"000"))</f>
        <v>138</v>
      </c>
      <c r="D91" s="17">
        <v>138</v>
      </c>
      <c r="E91" s="17" t="s">
        <v>188</v>
      </c>
      <c r="F91" s="17"/>
      <c r="G91" s="17" t="str">
        <f>REPT("  ",Aop_Bank[[#This Row],[Aop_Level]])&amp;IF(Jezik=2,Aop_Bank[[#This Row],[Item_en]],Aop_Bank[[#This Row],[Item_sr]])</f>
        <v xml:space="preserve">    3. Revalorizacione rezerve (139 do 141)</v>
      </c>
      <c r="H91" s="17" t="str">
        <f>Aop_Bank[[#This Row],[AOP_Text]]&amp;" - "&amp;TRIM(Aop_Bank[[#This Row],[Balance]])</f>
        <v>138 - 3. Revalorizacione rezerve (139 do 141)</v>
      </c>
    </row>
    <row r="92" spans="1:8" x14ac:dyDescent="0.25">
      <c r="A92" s="25">
        <f t="shared" si="1"/>
        <v>91</v>
      </c>
      <c r="B92" s="26">
        <v>3</v>
      </c>
      <c r="C92" s="17" t="str">
        <f>IF(Aop_Bank[[#This Row],[AOP]]="","",TEXT(Aop_Bank[[#This Row],[AOP]],"000"))</f>
        <v>139</v>
      </c>
      <c r="D92" s="17">
        <v>139</v>
      </c>
      <c r="E92" s="17" t="s">
        <v>189</v>
      </c>
      <c r="F92" s="17"/>
      <c r="G92" s="17" t="str">
        <f>REPT("  ",Aop_Bank[[#This Row],[Aop_Level]])&amp;IF(Jezik=2,Aop_Bank[[#This Row],[Item_en]],Aop_Bank[[#This Row],[Item_sr]])</f>
        <v xml:space="preserve">      a) Revalorizacione rezerve po osnovu promjene vrijednosti osnovnih sredstava i nematerijalnih ulaganja</v>
      </c>
      <c r="H92" s="17" t="str">
        <f>Aop_Bank[[#This Row],[AOP_Text]]&amp;" - "&amp;TRIM(Aop_Bank[[#This Row],[Balance]])</f>
        <v>139 - a) Revalorizacione rezerve po osnovu promjene vrijednosti osnovnih sredstava i nematerijalnih ulaganja</v>
      </c>
    </row>
    <row r="93" spans="1:8" x14ac:dyDescent="0.25">
      <c r="A93" s="25">
        <f t="shared" si="1"/>
        <v>92</v>
      </c>
      <c r="B93" s="26">
        <v>3</v>
      </c>
      <c r="C93" s="17" t="str">
        <f>IF(Aop_Bank[[#This Row],[AOP]]="","",TEXT(Aop_Bank[[#This Row],[AOP]],"000"))</f>
        <v>140</v>
      </c>
      <c r="D93" s="17">
        <v>140</v>
      </c>
      <c r="E93" s="17" t="s">
        <v>190</v>
      </c>
      <c r="F93" s="17"/>
      <c r="G93" s="17" t="str">
        <f>REPT("  ",Aop_Bank[[#This Row],[Aop_Level]])&amp;IF(Jezik=2,Aop_Bank[[#This Row],[Item_en]],Aop_Bank[[#This Row],[Item_sr]])</f>
        <v xml:space="preserve">      b) Revalorizacione rezerve po osnovu promjene vrijednosti hartija od vrijednosti</v>
      </c>
      <c r="H93" s="17" t="str">
        <f>Aop_Bank[[#This Row],[AOP_Text]]&amp;" - "&amp;TRIM(Aop_Bank[[#This Row],[Balance]])</f>
        <v>140 - b) Revalorizacione rezerve po osnovu promjene vrijednosti hartija od vrijednosti</v>
      </c>
    </row>
    <row r="94" spans="1:8" x14ac:dyDescent="0.25">
      <c r="A94" s="25">
        <f t="shared" si="1"/>
        <v>93</v>
      </c>
      <c r="B94" s="26">
        <v>3</v>
      </c>
      <c r="C94" s="17" t="str">
        <f>IF(Aop_Bank[[#This Row],[AOP]]="","",TEXT(Aop_Bank[[#This Row],[AOP]],"000"))</f>
        <v>141</v>
      </c>
      <c r="D94" s="17">
        <v>141</v>
      </c>
      <c r="E94" s="17" t="s">
        <v>191</v>
      </c>
      <c r="F94" s="17"/>
      <c r="G94" s="17" t="str">
        <f>REPT("  ",Aop_Bank[[#This Row],[Aop_Level]])&amp;IF(Jezik=2,Aop_Bank[[#This Row],[Item_en]],Aop_Bank[[#This Row],[Item_sr]])</f>
        <v xml:space="preserve">      v) Revalorizacione rezerve po ostalim osnovama</v>
      </c>
      <c r="H94" s="17" t="str">
        <f>Aop_Bank[[#This Row],[AOP_Text]]&amp;" - "&amp;TRIM(Aop_Bank[[#This Row],[Balance]])</f>
        <v>141 - v) Revalorizacione rezerve po ostalim osnovama</v>
      </c>
    </row>
    <row r="95" spans="1:8" x14ac:dyDescent="0.25">
      <c r="A95" s="25">
        <f t="shared" si="1"/>
        <v>94</v>
      </c>
      <c r="B95" s="26">
        <v>2</v>
      </c>
      <c r="C95" s="17" t="str">
        <f>IF(Aop_Bank[[#This Row],[AOP]]="","",TEXT(Aop_Bank[[#This Row],[AOP]],"000"))</f>
        <v>142</v>
      </c>
      <c r="D95" s="17">
        <v>142</v>
      </c>
      <c r="E95" s="17" t="s">
        <v>192</v>
      </c>
      <c r="F95" s="17"/>
      <c r="G95" s="17" t="str">
        <f>REPT("  ",Aop_Bank[[#This Row],[Aop_Level]])&amp;IF(Jezik=2,Aop_Bank[[#This Row],[Item_en]],Aop_Bank[[#This Row],[Item_sr]])</f>
        <v xml:space="preserve">    4. Dobitak (143 do 147)</v>
      </c>
      <c r="H95" s="17" t="str">
        <f>Aop_Bank[[#This Row],[AOP_Text]]&amp;" - "&amp;TRIM(Aop_Bank[[#This Row],[Balance]])</f>
        <v>142 - 4. Dobitak (143 do 147)</v>
      </c>
    </row>
    <row r="96" spans="1:8" x14ac:dyDescent="0.25">
      <c r="A96" s="25">
        <f t="shared" si="1"/>
        <v>95</v>
      </c>
      <c r="B96" s="26">
        <v>3</v>
      </c>
      <c r="C96" s="17" t="str">
        <f>IF(Aop_Bank[[#This Row],[AOP]]="","",TEXT(Aop_Bank[[#This Row],[AOP]],"000"))</f>
        <v>143</v>
      </c>
      <c r="D96" s="17">
        <v>143</v>
      </c>
      <c r="E96" s="17" t="s">
        <v>193</v>
      </c>
      <c r="F96" s="17"/>
      <c r="G96" s="17" t="str">
        <f>REPT("  ",Aop_Bank[[#This Row],[Aop_Level]])&amp;IF(Jezik=2,Aop_Bank[[#This Row],[Item_en]],Aop_Bank[[#This Row],[Item_sr]])</f>
        <v xml:space="preserve">      a) Dobitak tekuće godine</v>
      </c>
      <c r="H96" s="17" t="str">
        <f>Aop_Bank[[#This Row],[AOP_Text]]&amp;" - "&amp;TRIM(Aop_Bank[[#This Row],[Balance]])</f>
        <v>143 - a) Dobitak tekuće godine</v>
      </c>
    </row>
    <row r="97" spans="1:8" x14ac:dyDescent="0.25">
      <c r="A97" s="25">
        <f t="shared" si="1"/>
        <v>96</v>
      </c>
      <c r="B97" s="26">
        <v>3</v>
      </c>
      <c r="C97" s="17" t="str">
        <f>IF(Aop_Bank[[#This Row],[AOP]]="","",TEXT(Aop_Bank[[#This Row],[AOP]],"000"))</f>
        <v>144</v>
      </c>
      <c r="D97" s="17">
        <v>144</v>
      </c>
      <c r="E97" s="17" t="s">
        <v>194</v>
      </c>
      <c r="F97" s="17"/>
      <c r="G97" s="17" t="str">
        <f>REPT("  ",Aop_Bank[[#This Row],[Aop_Level]])&amp;IF(Jezik=2,Aop_Bank[[#This Row],[Item_en]],Aop_Bank[[#This Row],[Item_sr]])</f>
        <v xml:space="preserve">      b) Neraspoređeni dobitak iz ranijih godina</v>
      </c>
      <c r="H97" s="17" t="str">
        <f>Aop_Bank[[#This Row],[AOP_Text]]&amp;" - "&amp;TRIM(Aop_Bank[[#This Row],[Balance]])</f>
        <v>144 - b) Neraspoređeni dobitak iz ranijih godina</v>
      </c>
    </row>
    <row r="98" spans="1:8" x14ac:dyDescent="0.25">
      <c r="A98" s="25">
        <f t="shared" si="1"/>
        <v>97</v>
      </c>
      <c r="B98" s="26">
        <v>3</v>
      </c>
      <c r="C98" s="17" t="str">
        <f>IF(Aop_Bank[[#This Row],[AOP]]="","",TEXT(Aop_Bank[[#This Row],[AOP]],"000"))</f>
        <v>145</v>
      </c>
      <c r="D98" s="17">
        <v>145</v>
      </c>
      <c r="E98" s="17" t="s">
        <v>195</v>
      </c>
      <c r="F98" s="17"/>
      <c r="G98" s="17" t="str">
        <f>REPT("  ",Aop_Bank[[#This Row],[Aop_Level]])&amp;IF(Jezik=2,Aop_Bank[[#This Row],[Item_en]],Aop_Bank[[#This Row],[Item_sr]])</f>
        <v xml:space="preserve">      v) Višak prihoda nad rashodima tekuće godine</v>
      </c>
      <c r="H98" s="17" t="str">
        <f>Aop_Bank[[#This Row],[AOP_Text]]&amp;" - "&amp;TRIM(Aop_Bank[[#This Row],[Balance]])</f>
        <v>145 - v) Višak prihoda nad rashodima tekuće godine</v>
      </c>
    </row>
    <row r="99" spans="1:8" x14ac:dyDescent="0.25">
      <c r="A99" s="25">
        <f t="shared" si="1"/>
        <v>98</v>
      </c>
      <c r="B99" s="26">
        <v>3</v>
      </c>
      <c r="C99" s="17" t="str">
        <f>IF(Aop_Bank[[#This Row],[AOP]]="","",TEXT(Aop_Bank[[#This Row],[AOP]],"000"))</f>
        <v>146</v>
      </c>
      <c r="D99" s="17">
        <v>146</v>
      </c>
      <c r="E99" s="17" t="s">
        <v>196</v>
      </c>
      <c r="F99" s="17"/>
      <c r="G99" s="17" t="str">
        <f>REPT("  ",Aop_Bank[[#This Row],[Aop_Level]])&amp;IF(Jezik=2,Aop_Bank[[#This Row],[Item_en]],Aop_Bank[[#This Row],[Item_sr]])</f>
        <v xml:space="preserve">      g) Neraspoređeni višak prihoda nad rashodima iz prethodnih godina</v>
      </c>
      <c r="H99" s="17" t="str">
        <f>Aop_Bank[[#This Row],[AOP_Text]]&amp;" - "&amp;TRIM(Aop_Bank[[#This Row],[Balance]])</f>
        <v>146 - g) Neraspoređeni višak prihoda nad rashodima iz prethodnih godina</v>
      </c>
    </row>
    <row r="100" spans="1:8" x14ac:dyDescent="0.25">
      <c r="A100" s="25">
        <f t="shared" si="1"/>
        <v>99</v>
      </c>
      <c r="B100" s="26">
        <v>3</v>
      </c>
      <c r="C100" s="17" t="str">
        <f>IF(Aop_Bank[[#This Row],[AOP]]="","",TEXT(Aop_Bank[[#This Row],[AOP]],"000"))</f>
        <v>147</v>
      </c>
      <c r="D100" s="17">
        <v>147</v>
      </c>
      <c r="E100" s="17" t="s">
        <v>197</v>
      </c>
      <c r="F100" s="17"/>
      <c r="G100" s="17" t="str">
        <f>REPT("  ",Aop_Bank[[#This Row],[Aop_Level]])&amp;IF(Jezik=2,Aop_Bank[[#This Row],[Item_en]],Aop_Bank[[#This Row],[Item_sr]])</f>
        <v xml:space="preserve">      d) Zadržana zarada</v>
      </c>
      <c r="H100" s="17" t="str">
        <f>Aop_Bank[[#This Row],[AOP_Text]]&amp;" - "&amp;TRIM(Aop_Bank[[#This Row],[Balance]])</f>
        <v>147 - d) Zadržana zarada</v>
      </c>
    </row>
    <row r="101" spans="1:8" x14ac:dyDescent="0.25">
      <c r="A101" s="25">
        <f t="shared" si="1"/>
        <v>100</v>
      </c>
      <c r="B101" s="26">
        <v>2</v>
      </c>
      <c r="C101" s="17" t="str">
        <f>IF(Aop_Bank[[#This Row],[AOP]]="","",TEXT(Aop_Bank[[#This Row],[AOP]],"000"))</f>
        <v>148</v>
      </c>
      <c r="D101" s="17">
        <v>148</v>
      </c>
      <c r="E101" s="17" t="s">
        <v>198</v>
      </c>
      <c r="F101" s="17"/>
      <c r="G101" s="17" t="str">
        <f>REPT("  ",Aop_Bank[[#This Row],[Aop_Level]])&amp;IF(Jezik=2,Aop_Bank[[#This Row],[Item_en]],Aop_Bank[[#This Row],[Item_sr]])</f>
        <v xml:space="preserve">    5. Gubitak (149 + 150)</v>
      </c>
      <c r="H101" s="17" t="str">
        <f>Aop_Bank[[#This Row],[AOP_Text]]&amp;" - "&amp;TRIM(Aop_Bank[[#This Row],[Balance]])</f>
        <v>148 - 5. Gubitak (149 + 150)</v>
      </c>
    </row>
    <row r="102" spans="1:8" x14ac:dyDescent="0.25">
      <c r="A102" s="25">
        <f t="shared" si="1"/>
        <v>101</v>
      </c>
      <c r="B102" s="26">
        <v>3</v>
      </c>
      <c r="C102" s="17" t="str">
        <f>IF(Aop_Bank[[#This Row],[AOP]]="","",TEXT(Aop_Bank[[#This Row],[AOP]],"000"))</f>
        <v>149</v>
      </c>
      <c r="D102" s="17">
        <v>149</v>
      </c>
      <c r="E102" s="17" t="s">
        <v>199</v>
      </c>
      <c r="F102" s="17"/>
      <c r="G102" s="17" t="str">
        <f>REPT("  ",Aop_Bank[[#This Row],[Aop_Level]])&amp;IF(Jezik=2,Aop_Bank[[#This Row],[Item_en]],Aop_Bank[[#This Row],[Item_sr]])</f>
        <v xml:space="preserve">      a) Gubitak tekuće godine</v>
      </c>
      <c r="H102" s="17" t="str">
        <f>Aop_Bank[[#This Row],[AOP_Text]]&amp;" - "&amp;TRIM(Aop_Bank[[#This Row],[Balance]])</f>
        <v>149 - a) Gubitak tekuće godine</v>
      </c>
    </row>
    <row r="103" spans="1:8" x14ac:dyDescent="0.25">
      <c r="A103" s="25">
        <f t="shared" si="1"/>
        <v>102</v>
      </c>
      <c r="B103" s="26">
        <v>3</v>
      </c>
      <c r="C103" s="17" t="str">
        <f>IF(Aop_Bank[[#This Row],[AOP]]="","",TEXT(Aop_Bank[[#This Row],[AOP]],"000"))</f>
        <v>150</v>
      </c>
      <c r="D103" s="17">
        <v>150</v>
      </c>
      <c r="E103" s="17" t="s">
        <v>200</v>
      </c>
      <c r="F103" s="17"/>
      <c r="G103" s="17" t="str">
        <f>REPT("  ",Aop_Bank[[#This Row],[Aop_Level]])&amp;IF(Jezik=2,Aop_Bank[[#This Row],[Item_en]],Aop_Bank[[#This Row],[Item_sr]])</f>
        <v xml:space="preserve">      b) Gubitak iz ranijih godina</v>
      </c>
      <c r="H103" s="17" t="str">
        <f>Aop_Bank[[#This Row],[AOP_Text]]&amp;" - "&amp;TRIM(Aop_Bank[[#This Row],[Balance]])</f>
        <v>150 - b) Gubitak iz ranijih godina</v>
      </c>
    </row>
    <row r="104" spans="1:8" x14ac:dyDescent="0.25">
      <c r="A104" s="25">
        <f t="shared" si="1"/>
        <v>103</v>
      </c>
      <c r="B104" s="26">
        <v>1</v>
      </c>
      <c r="C104" s="17" t="str">
        <f>IF(Aop_Bank[[#This Row],[AOP]]="","",TEXT(Aop_Bank[[#This Row],[AOP]],"000"))</f>
        <v>151</v>
      </c>
      <c r="D104" s="17">
        <v>151</v>
      </c>
      <c r="E104" s="17" t="s">
        <v>201</v>
      </c>
      <c r="F104" s="17"/>
      <c r="G104" s="17" t="str">
        <f>REPT("  ",Aop_Bank[[#This Row],[Aop_Level]])&amp;IF(Jezik=2,Aop_Bank[[#This Row],[Item_en]],Aop_Bank[[#This Row],[Item_sr]])</f>
        <v xml:space="preserve">  V. POSLOVNA PASIVA (101+125)</v>
      </c>
      <c r="H104" s="17" t="str">
        <f>Aop_Bank[[#This Row],[AOP_Text]]&amp;" - "&amp;TRIM(Aop_Bank[[#This Row],[Balance]])</f>
        <v>151 - V. POSLOVNA PASIVA (101+125)</v>
      </c>
    </row>
    <row r="105" spans="1:8" x14ac:dyDescent="0.25">
      <c r="A105" s="25">
        <f t="shared" si="1"/>
        <v>104</v>
      </c>
      <c r="B105" s="26">
        <v>1</v>
      </c>
      <c r="C105" s="17" t="str">
        <f>IF(Aop_Bank[[#This Row],[AOP]]="","",TEXT(Aop_Bank[[#This Row],[AOP]],"000"))</f>
        <v>152</v>
      </c>
      <c r="D105" s="17">
        <v>152</v>
      </c>
      <c r="E105" s="17" t="s">
        <v>202</v>
      </c>
      <c r="F105" s="17"/>
      <c r="G105" s="17" t="str">
        <f>REPT("  ",Aop_Bank[[#This Row],[Aop_Level]])&amp;IF(Jezik=2,Aop_Bank[[#This Row],[Item_en]],Aop_Bank[[#This Row],[Item_sr]])</f>
        <v xml:space="preserve">  G. VANBILANSNA PASIVA</v>
      </c>
      <c r="H105" s="17" t="str">
        <f>Aop_Bank[[#This Row],[AOP_Text]]&amp;" - "&amp;TRIM(Aop_Bank[[#This Row],[Balance]])</f>
        <v>152 - G. VANBILANSNA PASIVA</v>
      </c>
    </row>
    <row r="106" spans="1:8" x14ac:dyDescent="0.25">
      <c r="A106" s="25">
        <f t="shared" si="1"/>
        <v>105</v>
      </c>
      <c r="B106" s="26">
        <v>1</v>
      </c>
      <c r="C106" s="17" t="str">
        <f>IF(Aop_Bank[[#This Row],[AOP]]="","",TEXT(Aop_Bank[[#This Row],[AOP]],"000"))</f>
        <v>153</v>
      </c>
      <c r="D106" s="17">
        <v>153</v>
      </c>
      <c r="E106" s="17" t="s">
        <v>203</v>
      </c>
      <c r="F106" s="17"/>
      <c r="G106" s="17" t="str">
        <f>REPT("  ",Aop_Bank[[#This Row],[Aop_Level]])&amp;IF(Jezik=2,Aop_Bank[[#This Row],[Item_en]],Aop_Bank[[#This Row],[Item_sr]])</f>
        <v xml:space="preserve">  D. UKUPNA PASIVA (152 + 152)</v>
      </c>
      <c r="H106" s="17" t="str">
        <f>Aop_Bank[[#This Row],[AOP_Text]]&amp;" - "&amp;TRIM(Aop_Bank[[#This Row],[Balance]])</f>
        <v>153 - D. UKUPNA PASIVA (152 + 152)</v>
      </c>
    </row>
    <row r="107" spans="1:8" x14ac:dyDescent="0.25">
      <c r="A107" s="51">
        <f t="shared" si="1"/>
        <v>106</v>
      </c>
      <c r="B107" s="26">
        <v>1</v>
      </c>
      <c r="C107" s="17" t="str">
        <f>IF(Aop_Bank[[#This Row],[AOP]]="","",TEXT(Aop_Bank[[#This Row],[AOP]],"000"))</f>
        <v/>
      </c>
      <c r="D107" s="17"/>
      <c r="E107" s="17" t="s">
        <v>333</v>
      </c>
      <c r="F107" s="17"/>
      <c r="G107" s="17" t="str">
        <f>REPT("  ",Aop_Bank[[#This Row],[Aop_Level]])&amp;IF(Jezik=2,Aop_Bank[[#This Row],[Item_en]],Aop_Bank[[#This Row],[Item_sr]])</f>
        <v xml:space="preserve">  A. PRIHODI I RASHODI IZ POSLOVA FINANSIRANJA</v>
      </c>
      <c r="H107" s="17" t="str">
        <f>Aop_Bank[[#This Row],[AOP_Text]]&amp;" - "&amp;TRIM(Aop_Bank[[#This Row],[Balance]])</f>
        <v xml:space="preserve"> - A. PRIHODI I RASHODI IZ POSLOVA FINANSIRANJA</v>
      </c>
    </row>
    <row r="108" spans="1:8" x14ac:dyDescent="0.25">
      <c r="A108" s="25">
        <f t="shared" si="1"/>
        <v>107</v>
      </c>
      <c r="B108" s="26">
        <v>2</v>
      </c>
      <c r="C108" s="17" t="str">
        <f>IF(Aop_Bank[[#This Row],[AOP]]="","",TEXT(Aop_Bank[[#This Row],[AOP]],"000"))</f>
        <v>201</v>
      </c>
      <c r="D108" s="17">
        <v>201</v>
      </c>
      <c r="E108" s="17" t="s">
        <v>204</v>
      </c>
      <c r="F108" s="17"/>
      <c r="G108" s="17" t="str">
        <f>REPT("  ",Aop_Bank[[#This Row],[Aop_Level]])&amp;IF(Jezik=2,Aop_Bank[[#This Row],[Item_en]],Aop_Bank[[#This Row],[Item_sr]])</f>
        <v xml:space="preserve">    1. Prihodi od kamata (202 do 204)</v>
      </c>
      <c r="H108" s="17" t="str">
        <f>Aop_Bank[[#This Row],[AOP_Text]]&amp;" - "&amp;TRIM(Aop_Bank[[#This Row],[Balance]])</f>
        <v>201 - 1. Prihodi od kamata (202 do 204)</v>
      </c>
    </row>
    <row r="109" spans="1:8" x14ac:dyDescent="0.25">
      <c r="A109" s="25">
        <f t="shared" si="1"/>
        <v>108</v>
      </c>
      <c r="B109" s="26">
        <v>3</v>
      </c>
      <c r="C109" s="17" t="str">
        <f>IF(Aop_Bank[[#This Row],[AOP]]="","",TEXT(Aop_Bank[[#This Row],[AOP]],"000"))</f>
        <v>202</v>
      </c>
      <c r="D109" s="17">
        <v>202</v>
      </c>
      <c r="E109" s="17" t="s">
        <v>334</v>
      </c>
      <c r="F109" s="17"/>
      <c r="G109" s="17" t="str">
        <f>REPT("  ",Aop_Bank[[#This Row],[Aop_Level]])&amp;IF(Jezik=2,Aop_Bank[[#This Row],[Item_en]],Aop_Bank[[#This Row],[Item_sr]])</f>
        <v xml:space="preserve">      a) Prihodi od kamata po osnovu kredita, depozita i HOV u domaćoj valuti</v>
      </c>
      <c r="H109" s="17" t="str">
        <f>Aop_Bank[[#This Row],[AOP_Text]]&amp;" - "&amp;TRIM(Aop_Bank[[#This Row],[Balance]])</f>
        <v>202 - a) Prihodi od kamata po osnovu kredita, depozita i HOV u domaćoj valuti</v>
      </c>
    </row>
    <row r="110" spans="1:8" x14ac:dyDescent="0.25">
      <c r="A110" s="25">
        <f t="shared" si="1"/>
        <v>109</v>
      </c>
      <c r="B110" s="26">
        <v>3</v>
      </c>
      <c r="C110" s="17" t="str">
        <f>IF(Aop_Bank[[#This Row],[AOP]]="","",TEXT(Aop_Bank[[#This Row],[AOP]],"000"))</f>
        <v>203</v>
      </c>
      <c r="D110" s="17">
        <v>203</v>
      </c>
      <c r="E110" s="17" t="s">
        <v>335</v>
      </c>
      <c r="F110" s="17"/>
      <c r="G110" s="17" t="str">
        <f>REPT("  ",Aop_Bank[[#This Row],[Aop_Level]])&amp;IF(Jezik=2,Aop_Bank[[#This Row],[Item_en]],Aop_Bank[[#This Row],[Item_sr]])</f>
        <v xml:space="preserve">      b) Prihodi od kamata po osnovu kredita, depozita i HOV sa ugovorenom zaštitom od rizika</v>
      </c>
      <c r="H110" s="17" t="str">
        <f>Aop_Bank[[#This Row],[AOP_Text]]&amp;" - "&amp;TRIM(Aop_Bank[[#This Row],[Balance]])</f>
        <v>203 - b) Prihodi od kamata po osnovu kredita, depozita i HOV sa ugovorenom zaštitom od rizika</v>
      </c>
    </row>
    <row r="111" spans="1:8" x14ac:dyDescent="0.25">
      <c r="A111" s="25">
        <f t="shared" si="1"/>
        <v>110</v>
      </c>
      <c r="B111" s="26">
        <v>3</v>
      </c>
      <c r="C111" s="17" t="str">
        <f>IF(Aop_Bank[[#This Row],[AOP]]="","",TEXT(Aop_Bank[[#This Row],[AOP]],"000"))</f>
        <v>204</v>
      </c>
      <c r="D111" s="17">
        <v>204</v>
      </c>
      <c r="E111" s="17" t="s">
        <v>205</v>
      </c>
      <c r="F111" s="17"/>
      <c r="G111" s="17" t="str">
        <f>REPT("  ",Aop_Bank[[#This Row],[Aop_Level]])&amp;IF(Jezik=2,Aop_Bank[[#This Row],[Item_en]],Aop_Bank[[#This Row],[Item_sr]])</f>
        <v xml:space="preserve">      v) Prihodi od kamata po osnovu kredita, depozita i HOV u stranoj valuti</v>
      </c>
      <c r="H111" s="17" t="str">
        <f>Aop_Bank[[#This Row],[AOP_Text]]&amp;" - "&amp;TRIM(Aop_Bank[[#This Row],[Balance]])</f>
        <v>204 - v) Prihodi od kamata po osnovu kredita, depozita i HOV u stranoj valuti</v>
      </c>
    </row>
    <row r="112" spans="1:8" x14ac:dyDescent="0.25">
      <c r="A112" s="25">
        <f t="shared" si="1"/>
        <v>111</v>
      </c>
      <c r="B112" s="26">
        <v>2</v>
      </c>
      <c r="C112" s="17" t="str">
        <f>IF(Aop_Bank[[#This Row],[AOP]]="","",TEXT(Aop_Bank[[#This Row],[AOP]],"000"))</f>
        <v>205</v>
      </c>
      <c r="D112" s="17">
        <v>205</v>
      </c>
      <c r="E112" s="17" t="s">
        <v>206</v>
      </c>
      <c r="F112" s="17"/>
      <c r="G112" s="17" t="str">
        <f>REPT("  ",Aop_Bank[[#This Row],[Aop_Level]])&amp;IF(Jezik=2,Aop_Bank[[#This Row],[Item_en]],Aop_Bank[[#This Row],[Item_sr]])</f>
        <v xml:space="preserve">    2. Rashodi kamata (206 do 208)</v>
      </c>
      <c r="H112" s="17" t="str">
        <f>Aop_Bank[[#This Row],[AOP_Text]]&amp;" - "&amp;TRIM(Aop_Bank[[#This Row],[Balance]])</f>
        <v>205 - 2. Rashodi kamata (206 do 208)</v>
      </c>
    </row>
    <row r="113" spans="1:8" x14ac:dyDescent="0.25">
      <c r="A113" s="25">
        <f t="shared" si="1"/>
        <v>112</v>
      </c>
      <c r="B113" s="26">
        <v>3</v>
      </c>
      <c r="C113" s="17" t="str">
        <f>IF(Aop_Bank[[#This Row],[AOP]]="","",TEXT(Aop_Bank[[#This Row],[AOP]],"000"))</f>
        <v>206</v>
      </c>
      <c r="D113" s="17">
        <v>206</v>
      </c>
      <c r="E113" s="17" t="s">
        <v>336</v>
      </c>
      <c r="F113" s="17"/>
      <c r="G113" s="17" t="str">
        <f>REPT("  ",Aop_Bank[[#This Row],[Aop_Level]])&amp;IF(Jezik=2,Aop_Bank[[#This Row],[Item_en]],Aop_Bank[[#This Row],[Item_sr]])</f>
        <v xml:space="preserve">      a) Rashodi kamata po osnovu kredita, depozita i HOV u domaćoj valuti</v>
      </c>
      <c r="H113" s="17" t="str">
        <f>Aop_Bank[[#This Row],[AOP_Text]]&amp;" - "&amp;TRIM(Aop_Bank[[#This Row],[Balance]])</f>
        <v>206 - a) Rashodi kamata po osnovu kredita, depozita i HOV u domaćoj valuti</v>
      </c>
    </row>
    <row r="114" spans="1:8" x14ac:dyDescent="0.25">
      <c r="A114" s="25">
        <f t="shared" si="1"/>
        <v>113</v>
      </c>
      <c r="B114" s="26">
        <v>3</v>
      </c>
      <c r="C114" s="17" t="str">
        <f>IF(Aop_Bank[[#This Row],[AOP]]="","",TEXT(Aop_Bank[[#This Row],[AOP]],"000"))</f>
        <v>207</v>
      </c>
      <c r="D114" s="17">
        <v>207</v>
      </c>
      <c r="E114" s="17" t="s">
        <v>337</v>
      </c>
      <c r="F114" s="17"/>
      <c r="G114" s="17" t="str">
        <f>REPT("  ",Aop_Bank[[#This Row],[Aop_Level]])&amp;IF(Jezik=2,Aop_Bank[[#This Row],[Item_en]],Aop_Bank[[#This Row],[Item_sr]])</f>
        <v xml:space="preserve">      b) Rashodi kamata po osnovu kredita, depozita i HOV sa ugovorenom zaštitom od rizika</v>
      </c>
      <c r="H114" s="17" t="str">
        <f>Aop_Bank[[#This Row],[AOP_Text]]&amp;" - "&amp;TRIM(Aop_Bank[[#This Row],[Balance]])</f>
        <v>207 - b) Rashodi kamata po osnovu kredita, depozita i HOV sa ugovorenom zaštitom od rizika</v>
      </c>
    </row>
    <row r="115" spans="1:8" x14ac:dyDescent="0.25">
      <c r="A115" s="25">
        <f t="shared" si="1"/>
        <v>114</v>
      </c>
      <c r="B115" s="26">
        <v>3</v>
      </c>
      <c r="C115" s="17" t="str">
        <f>IF(Aop_Bank[[#This Row],[AOP]]="","",TEXT(Aop_Bank[[#This Row],[AOP]],"000"))</f>
        <v>208</v>
      </c>
      <c r="D115" s="17">
        <v>208</v>
      </c>
      <c r="E115" s="17" t="s">
        <v>207</v>
      </c>
      <c r="F115" s="17"/>
      <c r="G115" s="17" t="str">
        <f>REPT("  ",Aop_Bank[[#This Row],[Aop_Level]])&amp;IF(Jezik=2,Aop_Bank[[#This Row],[Item_en]],Aop_Bank[[#This Row],[Item_sr]])</f>
        <v xml:space="preserve">      v) Rashodi kamata po osnovu kredita, depozita i HOV u stranoj valuti</v>
      </c>
      <c r="H115" s="17" t="str">
        <f>Aop_Bank[[#This Row],[AOP_Text]]&amp;" - "&amp;TRIM(Aop_Bank[[#This Row],[Balance]])</f>
        <v>208 - v) Rashodi kamata po osnovu kredita, depozita i HOV u stranoj valuti</v>
      </c>
    </row>
    <row r="116" spans="1:8" x14ac:dyDescent="0.25">
      <c r="A116" s="25">
        <f t="shared" si="1"/>
        <v>115</v>
      </c>
      <c r="B116" s="26">
        <v>2</v>
      </c>
      <c r="C116" s="17" t="str">
        <f>IF(Aop_Bank[[#This Row],[AOP]]="","",TEXT(Aop_Bank[[#This Row],[AOP]],"000"))</f>
        <v>209</v>
      </c>
      <c r="D116" s="17">
        <v>209</v>
      </c>
      <c r="E116" s="17" t="s">
        <v>208</v>
      </c>
      <c r="F116" s="17"/>
      <c r="G116" s="17" t="str">
        <f>REPT("  ",Aop_Bank[[#This Row],[Aop_Level]])&amp;IF(Jezik=2,Aop_Bank[[#This Row],[Item_en]],Aop_Bank[[#This Row],[Item_sr]])</f>
        <v xml:space="preserve">    3. Neto prihodi od kamata (201-205)</v>
      </c>
      <c r="H116" s="17" t="str">
        <f>Aop_Bank[[#This Row],[AOP_Text]]&amp;" - "&amp;TRIM(Aop_Bank[[#This Row],[Balance]])</f>
        <v>209 - 3. Neto prihodi od kamata (201-205)</v>
      </c>
    </row>
    <row r="117" spans="1:8" x14ac:dyDescent="0.25">
      <c r="A117" s="25">
        <f t="shared" si="1"/>
        <v>116</v>
      </c>
      <c r="B117" s="26">
        <v>2</v>
      </c>
      <c r="C117" s="17" t="str">
        <f>IF(Aop_Bank[[#This Row],[AOP]]="","",TEXT(Aop_Bank[[#This Row],[AOP]],"000"))</f>
        <v>210</v>
      </c>
      <c r="D117" s="17">
        <v>210</v>
      </c>
      <c r="E117" s="17" t="s">
        <v>209</v>
      </c>
      <c r="F117" s="17"/>
      <c r="G117" s="17" t="str">
        <f>REPT("  ",Aop_Bank[[#This Row],[Aop_Level]])&amp;IF(Jezik=2,Aop_Bank[[#This Row],[Item_en]],Aop_Bank[[#This Row],[Item_sr]])</f>
        <v xml:space="preserve">    4. Neto rashodi kamata (205-201)</v>
      </c>
      <c r="H117" s="17" t="str">
        <f>Aop_Bank[[#This Row],[AOP_Text]]&amp;" - "&amp;TRIM(Aop_Bank[[#This Row],[Balance]])</f>
        <v>210 - 4. Neto rashodi kamata (205-201)</v>
      </c>
    </row>
    <row r="118" spans="1:8" x14ac:dyDescent="0.25">
      <c r="A118" s="25">
        <f t="shared" si="1"/>
        <v>117</v>
      </c>
      <c r="B118" s="26">
        <v>2</v>
      </c>
      <c r="C118" s="17" t="str">
        <f>IF(Aop_Bank[[#This Row],[AOP]]="","",TEXT(Aop_Bank[[#This Row],[AOP]],"000"))</f>
        <v>211</v>
      </c>
      <c r="D118" s="17">
        <v>211</v>
      </c>
      <c r="E118" s="17" t="s">
        <v>210</v>
      </c>
      <c r="F118" s="17"/>
      <c r="G118" s="17" t="str">
        <f>REPT("  ",Aop_Bank[[#This Row],[Aop_Level]])&amp;IF(Jezik=2,Aop_Bank[[#This Row],[Item_en]],Aop_Bank[[#This Row],[Item_sr]])</f>
        <v xml:space="preserve">    5. Prihodi od naknada i provizija (212 do 214)</v>
      </c>
      <c r="H118" s="17" t="str">
        <f>Aop_Bank[[#This Row],[AOP_Text]]&amp;" - "&amp;TRIM(Aop_Bank[[#This Row],[Balance]])</f>
        <v>211 - 5. Prihodi od naknada i provizija (212 do 214)</v>
      </c>
    </row>
    <row r="119" spans="1:8" x14ac:dyDescent="0.25">
      <c r="A119" s="25">
        <f t="shared" si="1"/>
        <v>118</v>
      </c>
      <c r="B119" s="26">
        <v>3</v>
      </c>
      <c r="C119" s="17" t="str">
        <f>IF(Aop_Bank[[#This Row],[AOP]]="","",TEXT(Aop_Bank[[#This Row],[AOP]],"000"))</f>
        <v>212</v>
      </c>
      <c r="D119" s="17">
        <v>212</v>
      </c>
      <c r="E119" s="17" t="s">
        <v>211</v>
      </c>
      <c r="F119" s="17"/>
      <c r="G119" s="17" t="str">
        <f>REPT("  ",Aop_Bank[[#This Row],[Aop_Level]])&amp;IF(Jezik=2,Aop_Bank[[#This Row],[Item_en]],Aop_Bank[[#This Row],[Item_sr]])</f>
        <v xml:space="preserve">      a) Prihodi od usluga platnog prometa</v>
      </c>
      <c r="H119" s="17" t="str">
        <f>Aop_Bank[[#This Row],[AOP_Text]]&amp;" - "&amp;TRIM(Aop_Bank[[#This Row],[Balance]])</f>
        <v>212 - a) Prihodi od usluga platnog prometa</v>
      </c>
    </row>
    <row r="120" spans="1:8" x14ac:dyDescent="0.25">
      <c r="A120" s="25">
        <f t="shared" si="1"/>
        <v>119</v>
      </c>
      <c r="B120" s="26">
        <v>3</v>
      </c>
      <c r="C120" s="17" t="str">
        <f>IF(Aop_Bank[[#This Row],[AOP]]="","",TEXT(Aop_Bank[[#This Row],[AOP]],"000"))</f>
        <v>213</v>
      </c>
      <c r="D120" s="17">
        <v>213</v>
      </c>
      <c r="E120" s="17" t="s">
        <v>212</v>
      </c>
      <c r="F120" s="17"/>
      <c r="G120" s="17" t="str">
        <f>REPT("  ",Aop_Bank[[#This Row],[Aop_Level]])&amp;IF(Jezik=2,Aop_Bank[[#This Row],[Item_en]],Aop_Bank[[#This Row],[Item_sr]])</f>
        <v xml:space="preserve">      b) Prihodi od provizija</v>
      </c>
      <c r="H120" s="17" t="str">
        <f>Aop_Bank[[#This Row],[AOP_Text]]&amp;" - "&amp;TRIM(Aop_Bank[[#This Row],[Balance]])</f>
        <v>213 - b) Prihodi od provizija</v>
      </c>
    </row>
    <row r="121" spans="1:8" x14ac:dyDescent="0.25">
      <c r="A121" s="25">
        <f t="shared" si="1"/>
        <v>120</v>
      </c>
      <c r="B121" s="26">
        <v>3</v>
      </c>
      <c r="C121" s="17" t="str">
        <f>IF(Aop_Bank[[#This Row],[AOP]]="","",TEXT(Aop_Bank[[#This Row],[AOP]],"000"))</f>
        <v>214</v>
      </c>
      <c r="D121" s="17">
        <v>214</v>
      </c>
      <c r="E121" s="17" t="s">
        <v>338</v>
      </c>
      <c r="F121" s="17"/>
      <c r="G121" s="17" t="str">
        <f>REPT("  ",Aop_Bank[[#This Row],[Aop_Level]])&amp;IF(Jezik=2,Aop_Bank[[#This Row],[Item_en]],Aop_Bank[[#This Row],[Item_sr]])</f>
        <v xml:space="preserve">      v) Prihodi od ostalih naknada</v>
      </c>
      <c r="H121" s="17" t="str">
        <f>Aop_Bank[[#This Row],[AOP_Text]]&amp;" - "&amp;TRIM(Aop_Bank[[#This Row],[Balance]])</f>
        <v>214 - v) Prihodi od ostalih naknada</v>
      </c>
    </row>
    <row r="122" spans="1:8" x14ac:dyDescent="0.25">
      <c r="A122" s="25">
        <f t="shared" si="1"/>
        <v>121</v>
      </c>
      <c r="B122" s="26">
        <v>2</v>
      </c>
      <c r="C122" s="17" t="str">
        <f>IF(Aop_Bank[[#This Row],[AOP]]="","",TEXT(Aop_Bank[[#This Row],[AOP]],"000"))</f>
        <v>215</v>
      </c>
      <c r="D122" s="17">
        <v>215</v>
      </c>
      <c r="E122" s="17" t="s">
        <v>213</v>
      </c>
      <c r="F122" s="17"/>
      <c r="G122" s="17" t="str">
        <f>REPT("  ",Aop_Bank[[#This Row],[Aop_Level]])&amp;IF(Jezik=2,Aop_Bank[[#This Row],[Item_en]],Aop_Bank[[#This Row],[Item_sr]])</f>
        <v xml:space="preserve">    6. Rashodi od naknada i provizija (216-218)</v>
      </c>
      <c r="H122" s="17" t="str">
        <f>Aop_Bank[[#This Row],[AOP_Text]]&amp;" - "&amp;TRIM(Aop_Bank[[#This Row],[Balance]])</f>
        <v>215 - 6. Rashodi od naknada i provizija (216-218)</v>
      </c>
    </row>
    <row r="123" spans="1:8" x14ac:dyDescent="0.25">
      <c r="A123" s="25">
        <f t="shared" si="1"/>
        <v>122</v>
      </c>
      <c r="B123" s="26">
        <v>3</v>
      </c>
      <c r="C123" s="17" t="str">
        <f>IF(Aop_Bank[[#This Row],[AOP]]="","",TEXT(Aop_Bank[[#This Row],[AOP]],"000"))</f>
        <v>216</v>
      </c>
      <c r="D123" s="17">
        <v>216</v>
      </c>
      <c r="E123" s="17" t="s">
        <v>214</v>
      </c>
      <c r="F123" s="17"/>
      <c r="G123" s="17" t="str">
        <f>REPT("  ",Aop_Bank[[#This Row],[Aop_Level]])&amp;IF(Jezik=2,Aop_Bank[[#This Row],[Item_en]],Aop_Bank[[#This Row],[Item_sr]])</f>
        <v xml:space="preserve">      a) Rashodi naknada i provizija u domaćoj valuti</v>
      </c>
      <c r="H123" s="17" t="str">
        <f>Aop_Bank[[#This Row],[AOP_Text]]&amp;" - "&amp;TRIM(Aop_Bank[[#This Row],[Balance]])</f>
        <v>216 - a) Rashodi naknada i provizija u domaćoj valuti</v>
      </c>
    </row>
    <row r="124" spans="1:8" x14ac:dyDescent="0.25">
      <c r="A124" s="25">
        <f t="shared" si="1"/>
        <v>123</v>
      </c>
      <c r="B124" s="26">
        <v>3</v>
      </c>
      <c r="C124" s="17" t="str">
        <f>IF(Aop_Bank[[#This Row],[AOP]]="","",TEXT(Aop_Bank[[#This Row],[AOP]],"000"))</f>
        <v>217</v>
      </c>
      <c r="D124" s="17">
        <v>217</v>
      </c>
      <c r="E124" s="17" t="s">
        <v>215</v>
      </c>
      <c r="F124" s="17"/>
      <c r="G124" s="17" t="str">
        <f>REPT("  ",Aop_Bank[[#This Row],[Aop_Level]])&amp;IF(Jezik=2,Aop_Bank[[#This Row],[Item_en]],Aop_Bank[[#This Row],[Item_sr]])</f>
        <v xml:space="preserve">      b) Rashodi naknada i provizija u stranoj valuti</v>
      </c>
      <c r="H124" s="17" t="str">
        <f>Aop_Bank[[#This Row],[AOP_Text]]&amp;" - "&amp;TRIM(Aop_Bank[[#This Row],[Balance]])</f>
        <v>217 - b) Rashodi naknada i provizija u stranoj valuti</v>
      </c>
    </row>
    <row r="125" spans="1:8" x14ac:dyDescent="0.25">
      <c r="A125" s="25">
        <f t="shared" si="1"/>
        <v>124</v>
      </c>
      <c r="B125" s="26">
        <v>3</v>
      </c>
      <c r="C125" s="17" t="str">
        <f>IF(Aop_Bank[[#This Row],[AOP]]="","",TEXT(Aop_Bank[[#This Row],[AOP]],"000"))</f>
        <v>218</v>
      </c>
      <c r="D125" s="17">
        <v>218</v>
      </c>
      <c r="E125" s="17" t="s">
        <v>216</v>
      </c>
      <c r="F125" s="17"/>
      <c r="G125" s="17" t="str">
        <f>REPT("  ",Aop_Bank[[#This Row],[Aop_Level]])&amp;IF(Jezik=2,Aop_Bank[[#This Row],[Item_en]],Aop_Bank[[#This Row],[Item_sr]])</f>
        <v xml:space="preserve">      v) Rashodi ostalih naknada i provizija</v>
      </c>
      <c r="H125" s="17" t="str">
        <f>Aop_Bank[[#This Row],[AOP_Text]]&amp;" - "&amp;TRIM(Aop_Bank[[#This Row],[Balance]])</f>
        <v>218 - v) Rashodi ostalih naknada i provizija</v>
      </c>
    </row>
    <row r="126" spans="1:8" x14ac:dyDescent="0.25">
      <c r="A126" s="25">
        <f t="shared" si="1"/>
        <v>125</v>
      </c>
      <c r="B126" s="26">
        <v>2</v>
      </c>
      <c r="C126" s="17" t="str">
        <f>IF(Aop_Bank[[#This Row],[AOP]]="","",TEXT(Aop_Bank[[#This Row],[AOP]],"000"))</f>
        <v>219</v>
      </c>
      <c r="D126" s="17">
        <v>219</v>
      </c>
      <c r="E126" s="17" t="s">
        <v>217</v>
      </c>
      <c r="F126" s="17"/>
      <c r="G126" s="17" t="str">
        <f>REPT("  ",Aop_Bank[[#This Row],[Aop_Level]])&amp;IF(Jezik=2,Aop_Bank[[#This Row],[Item_en]],Aop_Bank[[#This Row],[Item_sr]])</f>
        <v xml:space="preserve">    7. Neto prihodi po osnovu naknada i provizija (211-215)</v>
      </c>
      <c r="H126" s="17" t="str">
        <f>Aop_Bank[[#This Row],[AOP_Text]]&amp;" - "&amp;TRIM(Aop_Bank[[#This Row],[Balance]])</f>
        <v>219 - 7. Neto prihodi po osnovu naknada i provizija (211-215)</v>
      </c>
    </row>
    <row r="127" spans="1:8" x14ac:dyDescent="0.25">
      <c r="A127" s="25">
        <f t="shared" si="1"/>
        <v>126</v>
      </c>
      <c r="B127" s="26">
        <v>2</v>
      </c>
      <c r="C127" s="17" t="str">
        <f>IF(Aop_Bank[[#This Row],[AOP]]="","",TEXT(Aop_Bank[[#This Row],[AOP]],"000"))</f>
        <v>220</v>
      </c>
      <c r="D127" s="17">
        <v>220</v>
      </c>
      <c r="E127" s="17" t="s">
        <v>218</v>
      </c>
      <c r="F127" s="17"/>
      <c r="G127" s="17" t="str">
        <f>REPT("  ",Aop_Bank[[#This Row],[Aop_Level]])&amp;IF(Jezik=2,Aop_Bank[[#This Row],[Item_en]],Aop_Bank[[#This Row],[Item_sr]])</f>
        <v xml:space="preserve">    8. Neto rashodi po osnovu naknada i provizija (215-211)</v>
      </c>
      <c r="H127" s="17" t="str">
        <f>Aop_Bank[[#This Row],[AOP_Text]]&amp;" - "&amp;TRIM(Aop_Bank[[#This Row],[Balance]])</f>
        <v>220 - 8. Neto rashodi po osnovu naknada i provizija (215-211)</v>
      </c>
    </row>
    <row r="128" spans="1:8" x14ac:dyDescent="0.25">
      <c r="A128" s="25">
        <f t="shared" si="1"/>
        <v>127</v>
      </c>
      <c r="B128" s="26">
        <v>2</v>
      </c>
      <c r="C128" s="17" t="str">
        <f>IF(Aop_Bank[[#This Row],[AOP]]="","",TEXT(Aop_Bank[[#This Row],[AOP]],"000"))</f>
        <v>221</v>
      </c>
      <c r="D128" s="17">
        <v>221</v>
      </c>
      <c r="E128" s="17" t="s">
        <v>219</v>
      </c>
      <c r="F128" s="17"/>
      <c r="G128" s="17" t="str">
        <f>REPT("  ",Aop_Bank[[#This Row],[Aop_Level]])&amp;IF(Jezik=2,Aop_Bank[[#This Row],[Item_en]],Aop_Bank[[#This Row],[Item_sr]])</f>
        <v xml:space="preserve">    9. Dobici po osnovu prodaje HOV i udjela (222 do 225)</v>
      </c>
      <c r="H128" s="17" t="str">
        <f>Aop_Bank[[#This Row],[AOP_Text]]&amp;" - "&amp;TRIM(Aop_Bank[[#This Row],[Balance]])</f>
        <v>221 - 9. Dobici po osnovu prodaje HOV i udjela (222 do 225)</v>
      </c>
    </row>
    <row r="129" spans="1:8" x14ac:dyDescent="0.25">
      <c r="A129" s="25">
        <f t="shared" si="1"/>
        <v>128</v>
      </c>
      <c r="B129" s="26">
        <v>3</v>
      </c>
      <c r="C129" s="17" t="str">
        <f>IF(Aop_Bank[[#This Row],[AOP]]="","",TEXT(Aop_Bank[[#This Row],[AOP]],"000"))</f>
        <v>222</v>
      </c>
      <c r="D129" s="17">
        <v>222</v>
      </c>
      <c r="E129" s="17" t="s">
        <v>220</v>
      </c>
      <c r="F129" s="17"/>
      <c r="G129" s="17" t="str">
        <f>REPT("  ",Aop_Bank[[#This Row],[Aop_Level]])&amp;IF(Jezik=2,Aop_Bank[[#This Row],[Item_en]],Aop_Bank[[#This Row],[Item_sr]])</f>
        <v xml:space="preserve">      a) Dobici po osnovu prodaje HOV po fer vrijednosti kroz bilans uspjeha</v>
      </c>
      <c r="H129" s="17" t="str">
        <f>Aop_Bank[[#This Row],[AOP_Text]]&amp;" - "&amp;TRIM(Aop_Bank[[#This Row],[Balance]])</f>
        <v>222 - a) Dobici po osnovu prodaje HOV po fer vrijednosti kroz bilans uspjeha</v>
      </c>
    </row>
    <row r="130" spans="1:8" x14ac:dyDescent="0.25">
      <c r="A130" s="25">
        <f t="shared" ref="A130:A193" si="2">ROW()-1</f>
        <v>129</v>
      </c>
      <c r="B130" s="26">
        <v>3</v>
      </c>
      <c r="C130" s="17" t="str">
        <f>IF(Aop_Bank[[#This Row],[AOP]]="","",TEXT(Aop_Bank[[#This Row],[AOP]],"000"))</f>
        <v>223</v>
      </c>
      <c r="D130" s="17">
        <v>223</v>
      </c>
      <c r="E130" s="17" t="s">
        <v>221</v>
      </c>
      <c r="F130" s="17"/>
      <c r="G130" s="17" t="str">
        <f>REPT("  ",Aop_Bank[[#This Row],[Aop_Level]])&amp;IF(Jezik=2,Aop_Bank[[#This Row],[Item_en]],Aop_Bank[[#This Row],[Item_sr]])</f>
        <v xml:space="preserve">      b) Dobici po osnovu prodaje HOV koje su raspoložive za prodaju</v>
      </c>
      <c r="H130" s="17" t="str">
        <f>Aop_Bank[[#This Row],[AOP_Text]]&amp;" - "&amp;TRIM(Aop_Bank[[#This Row],[Balance]])</f>
        <v>223 - b) Dobici po osnovu prodaje HOV koje su raspoložive za prodaju</v>
      </c>
    </row>
    <row r="131" spans="1:8" x14ac:dyDescent="0.25">
      <c r="A131" s="25">
        <f t="shared" si="2"/>
        <v>130</v>
      </c>
      <c r="B131" s="26">
        <v>3</v>
      </c>
      <c r="C131" s="17" t="str">
        <f>IF(Aop_Bank[[#This Row],[AOP]]="","",TEXT(Aop_Bank[[#This Row],[AOP]],"000"))</f>
        <v>224</v>
      </c>
      <c r="D131" s="17">
        <v>224</v>
      </c>
      <c r="E131" s="17" t="s">
        <v>222</v>
      </c>
      <c r="F131" s="17"/>
      <c r="G131" s="17" t="str">
        <f>REPT("  ",Aop_Bank[[#This Row],[Aop_Level]])&amp;IF(Jezik=2,Aop_Bank[[#This Row],[Item_en]],Aop_Bank[[#This Row],[Item_sr]])</f>
        <v xml:space="preserve">      v) Dobici po osnovu prodaje HOV koje se drže do roka dospijeća</v>
      </c>
      <c r="H131" s="17" t="str">
        <f>Aop_Bank[[#This Row],[AOP_Text]]&amp;" - "&amp;TRIM(Aop_Bank[[#This Row],[Balance]])</f>
        <v>224 - v) Dobici po osnovu prodaje HOV koje se drže do roka dospijeća</v>
      </c>
    </row>
    <row r="132" spans="1:8" x14ac:dyDescent="0.25">
      <c r="A132" s="25">
        <f t="shared" si="2"/>
        <v>131</v>
      </c>
      <c r="B132" s="26">
        <v>3</v>
      </c>
      <c r="C132" s="17" t="str">
        <f>IF(Aop_Bank[[#This Row],[AOP]]="","",TEXT(Aop_Bank[[#This Row],[AOP]],"000"))</f>
        <v>225</v>
      </c>
      <c r="D132" s="17">
        <v>225</v>
      </c>
      <c r="E132" s="17" t="s">
        <v>223</v>
      </c>
      <c r="F132" s="17"/>
      <c r="G132" s="17" t="str">
        <f>REPT("  ",Aop_Bank[[#This Row],[Aop_Level]])&amp;IF(Jezik=2,Aop_Bank[[#This Row],[Item_en]],Aop_Bank[[#This Row],[Item_sr]])</f>
        <v xml:space="preserve">      g) Dobici po osnovu prodaje udjela (učešća)</v>
      </c>
      <c r="H132" s="17" t="str">
        <f>Aop_Bank[[#This Row],[AOP_Text]]&amp;" - "&amp;TRIM(Aop_Bank[[#This Row],[Balance]])</f>
        <v>225 - g) Dobici po osnovu prodaje udjela (učešća)</v>
      </c>
    </row>
    <row r="133" spans="1:8" x14ac:dyDescent="0.25">
      <c r="A133" s="25">
        <f t="shared" si="2"/>
        <v>132</v>
      </c>
      <c r="B133" s="26">
        <v>2</v>
      </c>
      <c r="C133" s="17" t="str">
        <f>IF(Aop_Bank[[#This Row],[AOP]]="","",TEXT(Aop_Bank[[#This Row],[AOP]],"000"))</f>
        <v>226</v>
      </c>
      <c r="D133" s="17">
        <v>226</v>
      </c>
      <c r="E133" s="17" t="s">
        <v>224</v>
      </c>
      <c r="F133" s="17"/>
      <c r="G133" s="17" t="str">
        <f>REPT("  ",Aop_Bank[[#This Row],[Aop_Level]])&amp;IF(Jezik=2,Aop_Bank[[#This Row],[Item_en]],Aop_Bank[[#This Row],[Item_sr]])</f>
        <v xml:space="preserve">    10. Gubici po osnovu prodaje HOV i udjela (227 do 230)</v>
      </c>
      <c r="H133" s="17" t="str">
        <f>Aop_Bank[[#This Row],[AOP_Text]]&amp;" - "&amp;TRIM(Aop_Bank[[#This Row],[Balance]])</f>
        <v>226 - 10. Gubici po osnovu prodaje HOV i udjela (227 do 230)</v>
      </c>
    </row>
    <row r="134" spans="1:8" x14ac:dyDescent="0.25">
      <c r="A134" s="25">
        <f t="shared" si="2"/>
        <v>133</v>
      </c>
      <c r="B134" s="26">
        <v>3</v>
      </c>
      <c r="C134" s="17" t="str">
        <f>IF(Aop_Bank[[#This Row],[AOP]]="","",TEXT(Aop_Bank[[#This Row],[AOP]],"000"))</f>
        <v>227</v>
      </c>
      <c r="D134" s="17">
        <v>227</v>
      </c>
      <c r="E134" s="17" t="s">
        <v>225</v>
      </c>
      <c r="F134" s="17"/>
      <c r="G134" s="17" t="str">
        <f>REPT("  ",Aop_Bank[[#This Row],[Aop_Level]])&amp;IF(Jezik=2,Aop_Bank[[#This Row],[Item_en]],Aop_Bank[[#This Row],[Item_sr]])</f>
        <v xml:space="preserve">      a) Gubici po osnovu prodaje HOV po fer vrijednosti kroz bilans uspjeha</v>
      </c>
      <c r="H134" s="17" t="str">
        <f>Aop_Bank[[#This Row],[AOP_Text]]&amp;" - "&amp;TRIM(Aop_Bank[[#This Row],[Balance]])</f>
        <v>227 - a) Gubici po osnovu prodaje HOV po fer vrijednosti kroz bilans uspjeha</v>
      </c>
    </row>
    <row r="135" spans="1:8" x14ac:dyDescent="0.25">
      <c r="A135" s="25">
        <f t="shared" si="2"/>
        <v>134</v>
      </c>
      <c r="B135" s="26">
        <v>3</v>
      </c>
      <c r="C135" s="17" t="str">
        <f>IF(Aop_Bank[[#This Row],[AOP]]="","",TEXT(Aop_Bank[[#This Row],[AOP]],"000"))</f>
        <v>228</v>
      </c>
      <c r="D135" s="17">
        <v>228</v>
      </c>
      <c r="E135" s="17" t="s">
        <v>226</v>
      </c>
      <c r="F135" s="17"/>
      <c r="G135" s="17" t="str">
        <f>REPT("  ",Aop_Bank[[#This Row],[Aop_Level]])&amp;IF(Jezik=2,Aop_Bank[[#This Row],[Item_en]],Aop_Bank[[#This Row],[Item_sr]])</f>
        <v xml:space="preserve">      b) Gubici po osnovu prodaje HOV koje su raspoložive za prodaju</v>
      </c>
      <c r="H135" s="17" t="str">
        <f>Aop_Bank[[#This Row],[AOP_Text]]&amp;" - "&amp;TRIM(Aop_Bank[[#This Row],[Balance]])</f>
        <v>228 - b) Gubici po osnovu prodaje HOV koje su raspoložive za prodaju</v>
      </c>
    </row>
    <row r="136" spans="1:8" x14ac:dyDescent="0.25">
      <c r="A136" s="25">
        <f t="shared" si="2"/>
        <v>135</v>
      </c>
      <c r="B136" s="26">
        <v>3</v>
      </c>
      <c r="C136" s="17" t="str">
        <f>IF(Aop_Bank[[#This Row],[AOP]]="","",TEXT(Aop_Bank[[#This Row],[AOP]],"000"))</f>
        <v>229</v>
      </c>
      <c r="D136" s="17">
        <v>229</v>
      </c>
      <c r="E136" s="17" t="s">
        <v>227</v>
      </c>
      <c r="F136" s="17"/>
      <c r="G136" s="17" t="str">
        <f>REPT("  ",Aop_Bank[[#This Row],[Aop_Level]])&amp;IF(Jezik=2,Aop_Bank[[#This Row],[Item_en]],Aop_Bank[[#This Row],[Item_sr]])</f>
        <v xml:space="preserve">      v) Gubici po osnovu prodaje HOV koje se drže do roka dospijeća</v>
      </c>
      <c r="H136" s="17" t="str">
        <f>Aop_Bank[[#This Row],[AOP_Text]]&amp;" - "&amp;TRIM(Aop_Bank[[#This Row],[Balance]])</f>
        <v>229 - v) Gubici po osnovu prodaje HOV koje se drže do roka dospijeća</v>
      </c>
    </row>
    <row r="137" spans="1:8" x14ac:dyDescent="0.25">
      <c r="A137" s="25">
        <f t="shared" si="2"/>
        <v>136</v>
      </c>
      <c r="B137" s="26">
        <v>3</v>
      </c>
      <c r="C137" s="17" t="str">
        <f>IF(Aop_Bank[[#This Row],[AOP]]="","",TEXT(Aop_Bank[[#This Row],[AOP]],"000"))</f>
        <v>230</v>
      </c>
      <c r="D137" s="17">
        <v>230</v>
      </c>
      <c r="E137" s="17" t="s">
        <v>228</v>
      </c>
      <c r="F137" s="17"/>
      <c r="G137" s="17" t="str">
        <f>REPT("  ",Aop_Bank[[#This Row],[Aop_Level]])&amp;IF(Jezik=2,Aop_Bank[[#This Row],[Item_en]],Aop_Bank[[#This Row],[Item_sr]])</f>
        <v xml:space="preserve">      g) Gubici po osnovu prodaje udjela (učešća)</v>
      </c>
      <c r="H137" s="17" t="str">
        <f>Aop_Bank[[#This Row],[AOP_Text]]&amp;" - "&amp;TRIM(Aop_Bank[[#This Row],[Balance]])</f>
        <v>230 - g) Gubici po osnovu prodaje udjela (učešća)</v>
      </c>
    </row>
    <row r="138" spans="1:8" x14ac:dyDescent="0.25">
      <c r="A138" s="25">
        <f t="shared" si="2"/>
        <v>137</v>
      </c>
      <c r="B138" s="26">
        <v>2</v>
      </c>
      <c r="C138" s="17" t="str">
        <f>IF(Aop_Bank[[#This Row],[AOP]]="","",TEXT(Aop_Bank[[#This Row],[AOP]],"000"))</f>
        <v>231</v>
      </c>
      <c r="D138" s="17">
        <v>231</v>
      </c>
      <c r="E138" s="17" t="s">
        <v>229</v>
      </c>
      <c r="F138" s="17"/>
      <c r="G138" s="17" t="str">
        <f>REPT("  ",Aop_Bank[[#This Row],[Aop_Level]])&amp;IF(Jezik=2,Aop_Bank[[#This Row],[Item_en]],Aop_Bank[[#This Row],[Item_sr]])</f>
        <v xml:space="preserve">    11. Neto dobici po osnovu prodaje HOV i udjela (učešća) (221-226)</v>
      </c>
      <c r="H138" s="17" t="str">
        <f>Aop_Bank[[#This Row],[AOP_Text]]&amp;" - "&amp;TRIM(Aop_Bank[[#This Row],[Balance]])</f>
        <v>231 - 11. Neto dobici po osnovu prodaje HOV i udjela (učešća) (221-226)</v>
      </c>
    </row>
    <row r="139" spans="1:8" x14ac:dyDescent="0.25">
      <c r="A139" s="25">
        <f t="shared" si="2"/>
        <v>138</v>
      </c>
      <c r="B139" s="26">
        <v>2</v>
      </c>
      <c r="C139" s="17" t="str">
        <f>IF(Aop_Bank[[#This Row],[AOP]]="","",TEXT(Aop_Bank[[#This Row],[AOP]],"000"))</f>
        <v>232</v>
      </c>
      <c r="D139" s="17">
        <v>232</v>
      </c>
      <c r="E139" s="17" t="s">
        <v>230</v>
      </c>
      <c r="F139" s="17"/>
      <c r="G139" s="17" t="str">
        <f>REPT("  ",Aop_Bank[[#This Row],[Aop_Level]])&amp;IF(Jezik=2,Aop_Bank[[#This Row],[Item_en]],Aop_Bank[[#This Row],[Item_sr]])</f>
        <v xml:space="preserve">    12. Neto gubici po osnovu prodaje HOV i udjela (učešća) (226-221)</v>
      </c>
      <c r="H139" s="17" t="str">
        <f>Aop_Bank[[#This Row],[AOP_Text]]&amp;" - "&amp;TRIM(Aop_Bank[[#This Row],[Balance]])</f>
        <v>232 - 12. Neto gubici po osnovu prodaje HOV i udjela (učešća) (226-221)</v>
      </c>
    </row>
    <row r="140" spans="1:8" x14ac:dyDescent="0.25">
      <c r="A140" s="25">
        <f t="shared" si="2"/>
        <v>139</v>
      </c>
      <c r="B140" s="26">
        <v>2</v>
      </c>
      <c r="C140" s="17" t="str">
        <f>IF(Aop_Bank[[#This Row],[AOP]]="","",TEXT(Aop_Bank[[#This Row],[AOP]],"000"))</f>
        <v>233</v>
      </c>
      <c r="D140" s="17">
        <v>233</v>
      </c>
      <c r="E140" s="17" t="s">
        <v>231</v>
      </c>
      <c r="F140" s="17"/>
      <c r="G140" s="17" t="str">
        <f>REPT("  ",Aop_Bank[[#This Row],[Aop_Level]])&amp;IF(Jezik=2,Aop_Bank[[#This Row],[Item_en]],Aop_Bank[[#This Row],[Item_sr]])</f>
        <v xml:space="preserve">    13. DOBITAK IZ POSLOVA FINANSIRANJA (201+211+221-205-215-226)</v>
      </c>
      <c r="H140" s="17" t="str">
        <f>Aop_Bank[[#This Row],[AOP_Text]]&amp;" - "&amp;TRIM(Aop_Bank[[#This Row],[Balance]])</f>
        <v>233 - 13. DOBITAK IZ POSLOVA FINANSIRANJA (201+211+221-205-215-226)</v>
      </c>
    </row>
    <row r="141" spans="1:8" x14ac:dyDescent="0.25">
      <c r="A141" s="25">
        <f t="shared" si="2"/>
        <v>140</v>
      </c>
      <c r="B141" s="26">
        <v>2</v>
      </c>
      <c r="C141" s="17" t="str">
        <f>IF(Aop_Bank[[#This Row],[AOP]]="","",TEXT(Aop_Bank[[#This Row],[AOP]],"000"))</f>
        <v>234</v>
      </c>
      <c r="D141" s="17">
        <v>234</v>
      </c>
      <c r="E141" s="17" t="s">
        <v>232</v>
      </c>
      <c r="F141" s="17"/>
      <c r="G141" s="17" t="str">
        <f>REPT("  ",Aop_Bank[[#This Row],[Aop_Level]])&amp;IF(Jezik=2,Aop_Bank[[#This Row],[Item_en]],Aop_Bank[[#This Row],[Item_sr]])</f>
        <v xml:space="preserve">    14. GUBITAK IZ POSLOVA FINANSIRANJA (205+215+226-201-211-221)</v>
      </c>
      <c r="H141" s="17" t="str">
        <f>Aop_Bank[[#This Row],[AOP_Text]]&amp;" - "&amp;TRIM(Aop_Bank[[#This Row],[Balance]])</f>
        <v>234 - 14. GUBITAK IZ POSLOVA FINANSIRANJA (205+215+226-201-211-221)</v>
      </c>
    </row>
    <row r="142" spans="1:8" x14ac:dyDescent="0.25">
      <c r="A142" s="25">
        <f t="shared" si="2"/>
        <v>141</v>
      </c>
      <c r="B142" s="26">
        <v>1</v>
      </c>
      <c r="C142" s="17" t="str">
        <f>IF(Aop_Bank[[#This Row],[AOP]]="","",TEXT(Aop_Bank[[#This Row],[AOP]],"000"))</f>
        <v/>
      </c>
      <c r="D142" s="17"/>
      <c r="E142" s="17" t="s">
        <v>233</v>
      </c>
      <c r="F142" s="17"/>
      <c r="G142" s="17" t="str">
        <f>REPT("  ",Aop_Bank[[#This Row],[Aop_Level]])&amp;IF(Jezik=2,Aop_Bank[[#This Row],[Item_en]],Aop_Bank[[#This Row],[Item_sr]])</f>
        <v xml:space="preserve">  B. OPERATIVNI PRIHODI I RASHODI</v>
      </c>
      <c r="H142" s="17" t="str">
        <f>Aop_Bank[[#This Row],[AOP_Text]]&amp;" - "&amp;TRIM(Aop_Bank[[#This Row],[Balance]])</f>
        <v xml:space="preserve"> - B. OPERATIVNI PRIHODI I RASHODI</v>
      </c>
    </row>
    <row r="143" spans="1:8" x14ac:dyDescent="0.25">
      <c r="A143" s="25">
        <f t="shared" si="2"/>
        <v>142</v>
      </c>
      <c r="B143" s="26">
        <v>2</v>
      </c>
      <c r="C143" s="17" t="str">
        <f>IF(Aop_Bank[[#This Row],[AOP]]="","",TEXT(Aop_Bank[[#This Row],[AOP]],"000"))</f>
        <v>235</v>
      </c>
      <c r="D143" s="17">
        <v>235</v>
      </c>
      <c r="E143" s="17" t="s">
        <v>234</v>
      </c>
      <c r="F143" s="17"/>
      <c r="G143" s="17" t="str">
        <f>REPT("  ",Aop_Bank[[#This Row],[Aop_Level]])&amp;IF(Jezik=2,Aop_Bank[[#This Row],[Item_en]],Aop_Bank[[#This Row],[Item_sr]])</f>
        <v xml:space="preserve">    1. Prihodi iz operativnog poslovanja (236 do 240)</v>
      </c>
      <c r="H143" s="17" t="str">
        <f>Aop_Bank[[#This Row],[AOP_Text]]&amp;" - "&amp;TRIM(Aop_Bank[[#This Row],[Balance]])</f>
        <v>235 - 1. Prihodi iz operativnog poslovanja (236 do 240)</v>
      </c>
    </row>
    <row r="144" spans="1:8" x14ac:dyDescent="0.25">
      <c r="A144" s="25">
        <f t="shared" si="2"/>
        <v>143</v>
      </c>
      <c r="B144" s="26">
        <v>3</v>
      </c>
      <c r="C144" s="17" t="str">
        <f>IF(Aop_Bank[[#This Row],[AOP]]="","",TEXT(Aop_Bank[[#This Row],[AOP]],"000"))</f>
        <v>236</v>
      </c>
      <c r="D144" s="17">
        <v>236</v>
      </c>
      <c r="E144" s="17" t="s">
        <v>235</v>
      </c>
      <c r="F144" s="17"/>
      <c r="G144" s="17" t="str">
        <f>REPT("  ",Aop_Bank[[#This Row],[Aop_Level]])&amp;IF(Jezik=2,Aop_Bank[[#This Row],[Item_en]],Aop_Bank[[#This Row],[Item_sr]])</f>
        <v xml:space="preserve">      a) Prihodi od ukidanja indirektnih otpisa plasmana</v>
      </c>
      <c r="H144" s="17" t="str">
        <f>Aop_Bank[[#This Row],[AOP_Text]]&amp;" - "&amp;TRIM(Aop_Bank[[#This Row],[Balance]])</f>
        <v>236 - a) Prihodi od ukidanja indirektnih otpisa plasmana</v>
      </c>
    </row>
    <row r="145" spans="1:8" x14ac:dyDescent="0.25">
      <c r="A145" s="25">
        <f t="shared" si="2"/>
        <v>144</v>
      </c>
      <c r="B145" s="26">
        <v>3</v>
      </c>
      <c r="C145" s="17" t="str">
        <f>IF(Aop_Bank[[#This Row],[AOP]]="","",TEXT(Aop_Bank[[#This Row],[AOP]],"000"))</f>
        <v>237</v>
      </c>
      <c r="D145" s="17">
        <v>237</v>
      </c>
      <c r="E145" s="17" t="s">
        <v>236</v>
      </c>
      <c r="F145" s="17"/>
      <c r="G145" s="17" t="str">
        <f>REPT("  ",Aop_Bank[[#This Row],[Aop_Level]])&amp;IF(Jezik=2,Aop_Bank[[#This Row],[Item_en]],Aop_Bank[[#This Row],[Item_sr]])</f>
        <v xml:space="preserve">      b) Prihodi od ukidanja rezervisanja za vanbilansne pozicije</v>
      </c>
      <c r="H145" s="17" t="str">
        <f>Aop_Bank[[#This Row],[AOP_Text]]&amp;" - "&amp;TRIM(Aop_Bank[[#This Row],[Balance]])</f>
        <v>237 - b) Prihodi od ukidanja rezervisanja za vanbilansne pozicije</v>
      </c>
    </row>
    <row r="146" spans="1:8" x14ac:dyDescent="0.25">
      <c r="A146" s="25">
        <f t="shared" si="2"/>
        <v>145</v>
      </c>
      <c r="B146" s="26">
        <v>3</v>
      </c>
      <c r="C146" s="17" t="str">
        <f>IF(Aop_Bank[[#This Row],[AOP]]="","",TEXT(Aop_Bank[[#This Row],[AOP]],"000"))</f>
        <v>238</v>
      </c>
      <c r="D146" s="17">
        <v>238</v>
      </c>
      <c r="E146" s="17" t="s">
        <v>237</v>
      </c>
      <c r="F146" s="17"/>
      <c r="G146" s="17" t="str">
        <f>REPT("  ",Aop_Bank[[#This Row],[Aop_Level]])&amp;IF(Jezik=2,Aop_Bank[[#This Row],[Item_en]],Aop_Bank[[#This Row],[Item_sr]])</f>
        <v xml:space="preserve">      v) Prihodi od ukidanja rezervisanja za obaveze</v>
      </c>
      <c r="H146" s="17" t="str">
        <f>Aop_Bank[[#This Row],[AOP_Text]]&amp;" - "&amp;TRIM(Aop_Bank[[#This Row],[Balance]])</f>
        <v>238 - v) Prihodi od ukidanja rezervisanja za obaveze</v>
      </c>
    </row>
    <row r="147" spans="1:8" x14ac:dyDescent="0.25">
      <c r="A147" s="25">
        <f t="shared" si="2"/>
        <v>146</v>
      </c>
      <c r="B147" s="26">
        <v>3</v>
      </c>
      <c r="C147" s="17" t="str">
        <f>IF(Aop_Bank[[#This Row],[AOP]]="","",TEXT(Aop_Bank[[#This Row],[AOP]],"000"))</f>
        <v>239</v>
      </c>
      <c r="D147" s="17">
        <v>239</v>
      </c>
      <c r="E147" s="17" t="s">
        <v>238</v>
      </c>
      <c r="F147" s="17"/>
      <c r="G147" s="17" t="str">
        <f>REPT("  ",Aop_Bank[[#This Row],[Aop_Level]])&amp;IF(Jezik=2,Aop_Bank[[#This Row],[Item_en]],Aop_Bank[[#This Row],[Item_sr]])</f>
        <v xml:space="preserve">      g) Prihodi od ukidanja ostalih rezervisanja</v>
      </c>
      <c r="H147" s="17" t="str">
        <f>Aop_Bank[[#This Row],[AOP_Text]]&amp;" - "&amp;TRIM(Aop_Bank[[#This Row],[Balance]])</f>
        <v>239 - g) Prihodi od ukidanja ostalih rezervisanja</v>
      </c>
    </row>
    <row r="148" spans="1:8" x14ac:dyDescent="0.25">
      <c r="A148" s="25">
        <f t="shared" si="2"/>
        <v>147</v>
      </c>
      <c r="B148" s="26">
        <v>3</v>
      </c>
      <c r="C148" s="17" t="str">
        <f>IF(Aop_Bank[[#This Row],[AOP]]="","",TEXT(Aop_Bank[[#This Row],[AOP]],"000"))</f>
        <v>239</v>
      </c>
      <c r="D148" s="17">
        <v>239</v>
      </c>
      <c r="E148" s="17" t="s">
        <v>239</v>
      </c>
      <c r="F148" s="17"/>
      <c r="G148" s="17" t="str">
        <f>REPT("  ",Aop_Bank[[#This Row],[Aop_Level]])&amp;IF(Jezik=2,Aop_Bank[[#This Row],[Item_en]],Aop_Bank[[#This Row],[Item_sr]])</f>
        <v xml:space="preserve">      d) Prihodi po osnovu lizinga</v>
      </c>
      <c r="H148" s="17" t="str">
        <f>Aop_Bank[[#This Row],[AOP_Text]]&amp;" - "&amp;TRIM(Aop_Bank[[#This Row],[Balance]])</f>
        <v>239 - d) Prihodi po osnovu lizinga</v>
      </c>
    </row>
    <row r="149" spans="1:8" x14ac:dyDescent="0.25">
      <c r="A149" s="25">
        <f t="shared" si="2"/>
        <v>148</v>
      </c>
      <c r="B149" s="26">
        <v>3</v>
      </c>
      <c r="C149" s="17" t="str">
        <f>IF(Aop_Bank[[#This Row],[AOP]]="","",TEXT(Aop_Bank[[#This Row],[AOP]],"000"))</f>
        <v>240</v>
      </c>
      <c r="D149" s="17">
        <v>240</v>
      </c>
      <c r="E149" s="17" t="s">
        <v>240</v>
      </c>
      <c r="F149" s="17"/>
      <c r="G149" s="17" t="str">
        <f>REPT("  ",Aop_Bank[[#This Row],[Aop_Level]])&amp;IF(Jezik=2,Aop_Bank[[#This Row],[Item_en]],Aop_Bank[[#This Row],[Item_sr]])</f>
        <v xml:space="preserve">      đ) Ostali prihodi iz operativnog poslovanja</v>
      </c>
      <c r="H149" s="17" t="str">
        <f>Aop_Bank[[#This Row],[AOP_Text]]&amp;" - "&amp;TRIM(Aop_Bank[[#This Row],[Balance]])</f>
        <v>240 - đ) Ostali prihodi iz operativnog poslovanja</v>
      </c>
    </row>
    <row r="150" spans="1:8" x14ac:dyDescent="0.25">
      <c r="A150" s="25">
        <f t="shared" si="2"/>
        <v>149</v>
      </c>
      <c r="B150" s="26">
        <v>2</v>
      </c>
      <c r="C150" s="17" t="str">
        <f>IF(Aop_Bank[[#This Row],[AOP]]="","",TEXT(Aop_Bank[[#This Row],[AOP]],"000"))</f>
        <v>241</v>
      </c>
      <c r="D150" s="17">
        <v>241</v>
      </c>
      <c r="E150" s="17" t="s">
        <v>241</v>
      </c>
      <c r="F150" s="17"/>
      <c r="G150" s="17" t="str">
        <f>REPT("  ",Aop_Bank[[#This Row],[Aop_Level]])&amp;IF(Jezik=2,Aop_Bank[[#This Row],[Item_en]],Aop_Bank[[#This Row],[Item_sr]])</f>
        <v xml:space="preserve">    2. Rashodi iz operativnog poslovanja (242 do 255)</v>
      </c>
      <c r="H150" s="17" t="str">
        <f>Aop_Bank[[#This Row],[AOP_Text]]&amp;" - "&amp;TRIM(Aop_Bank[[#This Row],[Balance]])</f>
        <v>241 - 2. Rashodi iz operativnog poslovanja (242 do 255)</v>
      </c>
    </row>
    <row r="151" spans="1:8" x14ac:dyDescent="0.25">
      <c r="A151" s="25">
        <f t="shared" si="2"/>
        <v>150</v>
      </c>
      <c r="B151" s="26">
        <v>3</v>
      </c>
      <c r="C151" s="17" t="str">
        <f>IF(Aop_Bank[[#This Row],[AOP]]="","",TEXT(Aop_Bank[[#This Row],[AOP]],"000"))</f>
        <v>242</v>
      </c>
      <c r="D151" s="17">
        <v>242</v>
      </c>
      <c r="E151" s="17" t="s">
        <v>339</v>
      </c>
      <c r="F151" s="17"/>
      <c r="G151" s="17" t="str">
        <f>REPT("  ",Aop_Bank[[#This Row],[Aop_Level]])&amp;IF(Jezik=2,Aop_Bank[[#This Row],[Item_en]],Aop_Bank[[#This Row],[Item_sr]])</f>
        <v xml:space="preserve">      a) Rashodi indirektnih otpisa plasmana</v>
      </c>
      <c r="H151" s="17" t="str">
        <f>Aop_Bank[[#This Row],[AOP_Text]]&amp;" - "&amp;TRIM(Aop_Bank[[#This Row],[Balance]])</f>
        <v>242 - a) Rashodi indirektnih otpisa plasmana</v>
      </c>
    </row>
    <row r="152" spans="1:8" x14ac:dyDescent="0.25">
      <c r="A152" s="25">
        <f t="shared" si="2"/>
        <v>151</v>
      </c>
      <c r="B152" s="26">
        <v>3</v>
      </c>
      <c r="C152" s="17" t="str">
        <f>IF(Aop_Bank[[#This Row],[AOP]]="","",TEXT(Aop_Bank[[#This Row],[AOP]],"000"))</f>
        <v>243</v>
      </c>
      <c r="D152" s="17">
        <v>243</v>
      </c>
      <c r="E152" s="17" t="s">
        <v>340</v>
      </c>
      <c r="F152" s="17"/>
      <c r="G152" s="17" t="str">
        <f>REPT("  ",Aop_Bank[[#This Row],[Aop_Level]])&amp;IF(Jezik=2,Aop_Bank[[#This Row],[Item_en]],Aop_Bank[[#This Row],[Item_sr]])</f>
        <v xml:space="preserve">      b) Rashodi rezervisanja za vanbilansne pozicije</v>
      </c>
      <c r="H152" s="17" t="str">
        <f>Aop_Bank[[#This Row],[AOP_Text]]&amp;" - "&amp;TRIM(Aop_Bank[[#This Row],[Balance]])</f>
        <v>243 - b) Rashodi rezervisanja za vanbilansne pozicije</v>
      </c>
    </row>
    <row r="153" spans="1:8" x14ac:dyDescent="0.25">
      <c r="A153" s="25">
        <f t="shared" si="2"/>
        <v>152</v>
      </c>
      <c r="B153" s="26">
        <v>3</v>
      </c>
      <c r="C153" s="17" t="str">
        <f>IF(Aop_Bank[[#This Row],[AOP]]="","",TEXT(Aop_Bank[[#This Row],[AOP]],"000"))</f>
        <v>244</v>
      </c>
      <c r="D153" s="17">
        <v>244</v>
      </c>
      <c r="E153" s="17" t="s">
        <v>242</v>
      </c>
      <c r="F153" s="17"/>
      <c r="G153" s="17" t="str">
        <f>REPT("  ",Aop_Bank[[#This Row],[Aop_Level]])&amp;IF(Jezik=2,Aop_Bank[[#This Row],[Item_en]],Aop_Bank[[#This Row],[Item_sr]])</f>
        <v xml:space="preserve">      v) Rashodi po osnovu rezervisanja za obaveze</v>
      </c>
      <c r="H153" s="17" t="str">
        <f>Aop_Bank[[#This Row],[AOP_Text]]&amp;" - "&amp;TRIM(Aop_Bank[[#This Row],[Balance]])</f>
        <v>244 - v) Rashodi po osnovu rezervisanja za obaveze</v>
      </c>
    </row>
    <row r="154" spans="1:8" x14ac:dyDescent="0.25">
      <c r="A154" s="25">
        <f t="shared" si="2"/>
        <v>153</v>
      </c>
      <c r="B154" s="26">
        <v>3</v>
      </c>
      <c r="C154" s="17" t="str">
        <f>IF(Aop_Bank[[#This Row],[AOP]]="","",TEXT(Aop_Bank[[#This Row],[AOP]],"000"))</f>
        <v>245</v>
      </c>
      <c r="D154" s="17">
        <v>245</v>
      </c>
      <c r="E154" s="17" t="s">
        <v>243</v>
      </c>
      <c r="F154" s="17"/>
      <c r="G154" s="17" t="str">
        <f>REPT("  ",Aop_Bank[[#This Row],[Aop_Level]])&amp;IF(Jezik=2,Aop_Bank[[#This Row],[Item_en]],Aop_Bank[[#This Row],[Item_sr]])</f>
        <v xml:space="preserve">      g) Rashodi ostalih rezervisanja</v>
      </c>
      <c r="H154" s="17" t="str">
        <f>Aop_Bank[[#This Row],[AOP_Text]]&amp;" - "&amp;TRIM(Aop_Bank[[#This Row],[Balance]])</f>
        <v>245 - g) Rashodi ostalih rezervisanja</v>
      </c>
    </row>
    <row r="155" spans="1:8" x14ac:dyDescent="0.25">
      <c r="A155" s="25">
        <f t="shared" si="2"/>
        <v>154</v>
      </c>
      <c r="B155" s="26">
        <v>3</v>
      </c>
      <c r="C155" s="17" t="str">
        <f>IF(Aop_Bank[[#This Row],[AOP]]="","",TEXT(Aop_Bank[[#This Row],[AOP]],"000"))</f>
        <v>246</v>
      </c>
      <c r="D155" s="17">
        <v>246</v>
      </c>
      <c r="E155" s="17" t="s">
        <v>244</v>
      </c>
      <c r="F155" s="17"/>
      <c r="G155" s="17" t="str">
        <f>REPT("  ",Aop_Bank[[#This Row],[Aop_Level]])&amp;IF(Jezik=2,Aop_Bank[[#This Row],[Item_en]],Aop_Bank[[#This Row],[Item_sr]])</f>
        <v xml:space="preserve">      d) Troškovi bruto zarada i bruto naknada zarada</v>
      </c>
      <c r="H155" s="17" t="str">
        <f>Aop_Bank[[#This Row],[AOP_Text]]&amp;" - "&amp;TRIM(Aop_Bank[[#This Row],[Balance]])</f>
        <v>246 - d) Troškovi bruto zarada i bruto naknada zarada</v>
      </c>
    </row>
    <row r="156" spans="1:8" x14ac:dyDescent="0.25">
      <c r="A156" s="25">
        <f t="shared" si="2"/>
        <v>155</v>
      </c>
      <c r="B156" s="26">
        <v>3</v>
      </c>
      <c r="C156" s="17" t="str">
        <f>IF(Aop_Bank[[#This Row],[AOP]]="","",TEXT(Aop_Bank[[#This Row],[AOP]],"000"))</f>
        <v>247</v>
      </c>
      <c r="D156" s="17">
        <v>247</v>
      </c>
      <c r="E156" s="17" t="s">
        <v>245</v>
      </c>
      <c r="F156" s="17"/>
      <c r="G156" s="17" t="str">
        <f>REPT("  ",Aop_Bank[[#This Row],[Aop_Level]])&amp;IF(Jezik=2,Aop_Bank[[#This Row],[Item_en]],Aop_Bank[[#This Row],[Item_sr]])</f>
        <v xml:space="preserve">      đ) Troškovi naknada za privremene i povremene poslove</v>
      </c>
      <c r="H156" s="17" t="str">
        <f>Aop_Bank[[#This Row],[AOP_Text]]&amp;" - "&amp;TRIM(Aop_Bank[[#This Row],[Balance]])</f>
        <v>247 - đ) Troškovi naknada za privremene i povremene poslove</v>
      </c>
    </row>
    <row r="157" spans="1:8" x14ac:dyDescent="0.25">
      <c r="A157" s="25">
        <f t="shared" si="2"/>
        <v>156</v>
      </c>
      <c r="B157" s="26">
        <v>3</v>
      </c>
      <c r="C157" s="17" t="str">
        <f>IF(Aop_Bank[[#This Row],[AOP]]="","",TEXT(Aop_Bank[[#This Row],[AOP]],"000"))</f>
        <v>248</v>
      </c>
      <c r="D157" s="17">
        <v>248</v>
      </c>
      <c r="E157" s="17" t="s">
        <v>246</v>
      </c>
      <c r="F157" s="17"/>
      <c r="G157" s="17" t="str">
        <f>REPT("  ",Aop_Bank[[#This Row],[Aop_Level]])&amp;IF(Jezik=2,Aop_Bank[[#This Row],[Item_en]],Aop_Bank[[#This Row],[Item_sr]])</f>
        <v xml:space="preserve">      e) Ostali lični rashodi</v>
      </c>
      <c r="H157" s="17" t="str">
        <f>Aop_Bank[[#This Row],[AOP_Text]]&amp;" - "&amp;TRIM(Aop_Bank[[#This Row],[Balance]])</f>
        <v>248 - e) Ostali lični rashodi</v>
      </c>
    </row>
    <row r="158" spans="1:8" x14ac:dyDescent="0.25">
      <c r="A158" s="25">
        <f t="shared" si="2"/>
        <v>157</v>
      </c>
      <c r="B158" s="26">
        <v>3</v>
      </c>
      <c r="C158" s="17" t="str">
        <f>IF(Aop_Bank[[#This Row],[AOP]]="","",TEXT(Aop_Bank[[#This Row],[AOP]],"000"))</f>
        <v>249</v>
      </c>
      <c r="D158" s="17">
        <v>249</v>
      </c>
      <c r="E158" s="17" t="s">
        <v>247</v>
      </c>
      <c r="F158" s="17"/>
      <c r="G158" s="17" t="str">
        <f>REPT("  ",Aop_Bank[[#This Row],[Aop_Level]])&amp;IF(Jezik=2,Aop_Bank[[#This Row],[Item_en]],Aop_Bank[[#This Row],[Item_sr]])</f>
        <v xml:space="preserve">      ž) Troškovi materijala</v>
      </c>
      <c r="H158" s="17" t="str">
        <f>Aop_Bank[[#This Row],[AOP_Text]]&amp;" - "&amp;TRIM(Aop_Bank[[#This Row],[Balance]])</f>
        <v>249 - ž) Troškovi materijala</v>
      </c>
    </row>
    <row r="159" spans="1:8" x14ac:dyDescent="0.25">
      <c r="A159" s="25">
        <f t="shared" si="2"/>
        <v>158</v>
      </c>
      <c r="B159" s="26">
        <v>3</v>
      </c>
      <c r="C159" s="17" t="str">
        <f>IF(Aop_Bank[[#This Row],[AOP]]="","",TEXT(Aop_Bank[[#This Row],[AOP]],"000"))</f>
        <v>250</v>
      </c>
      <c r="D159" s="17">
        <v>250</v>
      </c>
      <c r="E159" s="17" t="s">
        <v>248</v>
      </c>
      <c r="F159" s="17"/>
      <c r="G159" s="17" t="str">
        <f>REPT("  ",Aop_Bank[[#This Row],[Aop_Level]])&amp;IF(Jezik=2,Aop_Bank[[#This Row],[Item_en]],Aop_Bank[[#This Row],[Item_sr]])</f>
        <v xml:space="preserve">      z) Troškovi proizvodnih usluga</v>
      </c>
      <c r="H159" s="17" t="str">
        <f>Aop_Bank[[#This Row],[AOP_Text]]&amp;" - "&amp;TRIM(Aop_Bank[[#This Row],[Balance]])</f>
        <v>250 - z) Troškovi proizvodnih usluga</v>
      </c>
    </row>
    <row r="160" spans="1:8" x14ac:dyDescent="0.25">
      <c r="A160" s="25">
        <f t="shared" si="2"/>
        <v>159</v>
      </c>
      <c r="B160" s="26">
        <v>3</v>
      </c>
      <c r="C160" s="17" t="str">
        <f>IF(Aop_Bank[[#This Row],[AOP]]="","",TEXT(Aop_Bank[[#This Row],[AOP]],"000"))</f>
        <v>251</v>
      </c>
      <c r="D160" s="17">
        <v>251</v>
      </c>
      <c r="E160" s="17" t="s">
        <v>249</v>
      </c>
      <c r="F160" s="17"/>
      <c r="G160" s="17" t="str">
        <f>REPT("  ",Aop_Bank[[#This Row],[Aop_Level]])&amp;IF(Jezik=2,Aop_Bank[[#This Row],[Item_en]],Aop_Bank[[#This Row],[Item_sr]])</f>
        <v xml:space="preserve">      i) Troškovi amortizacije</v>
      </c>
      <c r="H160" s="17" t="str">
        <f>Aop_Bank[[#This Row],[AOP_Text]]&amp;" - "&amp;TRIM(Aop_Bank[[#This Row],[Balance]])</f>
        <v>251 - i) Troškovi amortizacije</v>
      </c>
    </row>
    <row r="161" spans="1:8" x14ac:dyDescent="0.25">
      <c r="A161" s="25">
        <f t="shared" si="2"/>
        <v>160</v>
      </c>
      <c r="B161" s="26">
        <v>3</v>
      </c>
      <c r="C161" s="17" t="str">
        <f>IF(Aop_Bank[[#This Row],[AOP]]="","",TEXT(Aop_Bank[[#This Row],[AOP]],"000"))</f>
        <v>252</v>
      </c>
      <c r="D161" s="17">
        <v>252</v>
      </c>
      <c r="E161" s="17" t="s">
        <v>250</v>
      </c>
      <c r="F161" s="17"/>
      <c r="G161" s="17" t="str">
        <f>REPT("  ",Aop_Bank[[#This Row],[Aop_Level]])&amp;IF(Jezik=2,Aop_Bank[[#This Row],[Item_en]],Aop_Bank[[#This Row],[Item_sr]])</f>
        <v xml:space="preserve">      j) Rashodi po osnovu lizinga</v>
      </c>
      <c r="H161" s="17" t="str">
        <f>Aop_Bank[[#This Row],[AOP_Text]]&amp;" - "&amp;TRIM(Aop_Bank[[#This Row],[Balance]])</f>
        <v>252 - j) Rashodi po osnovu lizinga</v>
      </c>
    </row>
    <row r="162" spans="1:8" x14ac:dyDescent="0.25">
      <c r="A162" s="25">
        <f t="shared" si="2"/>
        <v>161</v>
      </c>
      <c r="B162" s="26">
        <v>3</v>
      </c>
      <c r="C162" s="17" t="str">
        <f>IF(Aop_Bank[[#This Row],[AOP]]="","",TEXT(Aop_Bank[[#This Row],[AOP]],"000"))</f>
        <v>253</v>
      </c>
      <c r="D162" s="17">
        <v>253</v>
      </c>
      <c r="E162" s="17" t="s">
        <v>251</v>
      </c>
      <c r="F162" s="17"/>
      <c r="G162" s="17" t="str">
        <f>REPT("  ",Aop_Bank[[#This Row],[Aop_Level]])&amp;IF(Jezik=2,Aop_Bank[[#This Row],[Item_en]],Aop_Bank[[#This Row],[Item_sr]])</f>
        <v xml:space="preserve">      k) Nematerijalni troškovi (bez poreza i doprinosa)</v>
      </c>
      <c r="H162" s="17" t="str">
        <f>Aop_Bank[[#This Row],[AOP_Text]]&amp;" - "&amp;TRIM(Aop_Bank[[#This Row],[Balance]])</f>
        <v>253 - k) Nematerijalni troškovi (bez poreza i doprinosa)</v>
      </c>
    </row>
    <row r="163" spans="1:8" x14ac:dyDescent="0.25">
      <c r="A163" s="25">
        <f t="shared" si="2"/>
        <v>162</v>
      </c>
      <c r="B163" s="26">
        <v>3</v>
      </c>
      <c r="C163" s="17" t="str">
        <f>IF(Aop_Bank[[#This Row],[AOP]]="","",TEXT(Aop_Bank[[#This Row],[AOP]],"000"))</f>
        <v>254</v>
      </c>
      <c r="D163" s="17">
        <v>254</v>
      </c>
      <c r="E163" s="17" t="s">
        <v>252</v>
      </c>
      <c r="F163" s="17"/>
      <c r="G163" s="17" t="str">
        <f>REPT("  ",Aop_Bank[[#This Row],[Aop_Level]])&amp;IF(Jezik=2,Aop_Bank[[#This Row],[Item_en]],Aop_Bank[[#This Row],[Item_sr]])</f>
        <v xml:space="preserve">      l) Troškovi po osnovu poreza i doprinosa</v>
      </c>
      <c r="H163" s="17" t="str">
        <f>Aop_Bank[[#This Row],[AOP_Text]]&amp;" - "&amp;TRIM(Aop_Bank[[#This Row],[Balance]])</f>
        <v>254 - l) Troškovi po osnovu poreza i doprinosa</v>
      </c>
    </row>
    <row r="164" spans="1:8" x14ac:dyDescent="0.25">
      <c r="A164" s="25">
        <f t="shared" si="2"/>
        <v>163</v>
      </c>
      <c r="B164" s="26">
        <v>3</v>
      </c>
      <c r="C164" s="17" t="str">
        <f>IF(Aop_Bank[[#This Row],[AOP]]="","",TEXT(Aop_Bank[[#This Row],[AOP]],"000"))</f>
        <v>255</v>
      </c>
      <c r="D164" s="17">
        <v>255</v>
      </c>
      <c r="E164" s="17" t="s">
        <v>253</v>
      </c>
      <c r="F164" s="17"/>
      <c r="G164" s="17" t="str">
        <f>REPT("  ",Aop_Bank[[#This Row],[Aop_Level]])&amp;IF(Jezik=2,Aop_Bank[[#This Row],[Item_en]],Aop_Bank[[#This Row],[Item_sr]])</f>
        <v xml:space="preserve">      lj) Ostali troškovi</v>
      </c>
      <c r="H164" s="17" t="str">
        <f>Aop_Bank[[#This Row],[AOP_Text]]&amp;" - "&amp;TRIM(Aop_Bank[[#This Row],[Balance]])</f>
        <v>255 - lj) Ostali troškovi</v>
      </c>
    </row>
    <row r="165" spans="1:8" x14ac:dyDescent="0.25">
      <c r="A165" s="25">
        <f t="shared" si="2"/>
        <v>164</v>
      </c>
      <c r="B165" s="26">
        <v>2</v>
      </c>
      <c r="C165" s="17" t="str">
        <f>IF(Aop_Bank[[#This Row],[AOP]]="","",TEXT(Aop_Bank[[#This Row],[AOP]],"000"))</f>
        <v>256</v>
      </c>
      <c r="D165" s="17">
        <v>256</v>
      </c>
      <c r="E165" s="17" t="s">
        <v>254</v>
      </c>
      <c r="F165" s="17"/>
      <c r="G165" s="17" t="str">
        <f>REPT("  ",Aop_Bank[[#This Row],[Aop_Level]])&amp;IF(Jezik=2,Aop_Bank[[#This Row],[Item_en]],Aop_Bank[[#This Row],[Item_sr]])</f>
        <v xml:space="preserve">    3. DOBITAK IZ OPERATIVNOG POSLOVANJA (235-241)</v>
      </c>
      <c r="H165" s="17" t="str">
        <f>Aop_Bank[[#This Row],[AOP_Text]]&amp;" - "&amp;TRIM(Aop_Bank[[#This Row],[Balance]])</f>
        <v>256 - 3. DOBITAK IZ OPERATIVNOG POSLOVANJA (235-241)</v>
      </c>
    </row>
    <row r="166" spans="1:8" x14ac:dyDescent="0.25">
      <c r="A166" s="25">
        <f t="shared" si="2"/>
        <v>165</v>
      </c>
      <c r="B166" s="26">
        <v>2</v>
      </c>
      <c r="C166" s="17" t="str">
        <f>IF(Aop_Bank[[#This Row],[AOP]]="","",TEXT(Aop_Bank[[#This Row],[AOP]],"000"))</f>
        <v>257</v>
      </c>
      <c r="D166" s="17">
        <v>257</v>
      </c>
      <c r="E166" s="17" t="s">
        <v>255</v>
      </c>
      <c r="F166" s="17"/>
      <c r="G166" s="17" t="str">
        <f>REPT("  ",Aop_Bank[[#This Row],[Aop_Level]])&amp;IF(Jezik=2,Aop_Bank[[#This Row],[Item_en]],Aop_Bank[[#This Row],[Item_sr]])</f>
        <v xml:space="preserve">    4. GUBITAK IZ OPERATIVNOG POSLOVANJA (241-235)</v>
      </c>
      <c r="H166" s="17" t="str">
        <f>Aop_Bank[[#This Row],[AOP_Text]]&amp;" - "&amp;TRIM(Aop_Bank[[#This Row],[Balance]])</f>
        <v>257 - 4. GUBITAK IZ OPERATIVNOG POSLOVANJA (241-235)</v>
      </c>
    </row>
    <row r="167" spans="1:8" x14ac:dyDescent="0.25">
      <c r="A167" s="25">
        <f t="shared" si="2"/>
        <v>166</v>
      </c>
      <c r="B167" s="26">
        <v>1</v>
      </c>
      <c r="C167" s="17" t="str">
        <f>IF(Aop_Bank[[#This Row],[AOP]]="","",TEXT(Aop_Bank[[#This Row],[AOP]],"000"))</f>
        <v/>
      </c>
      <c r="D167" s="17"/>
      <c r="E167" s="17" t="s">
        <v>341</v>
      </c>
      <c r="F167" s="17"/>
      <c r="G167" s="17" t="str">
        <f>REPT("  ",Aop_Bank[[#This Row],[Aop_Level]])&amp;IF(Jezik=2,Aop_Bank[[#This Row],[Item_en]],Aop_Bank[[#This Row],[Item_sr]])</f>
        <v xml:space="preserve">  V. OSTALI PRIHODI I RASHODI</v>
      </c>
      <c r="H167" s="17" t="str">
        <f>Aop_Bank[[#This Row],[AOP_Text]]&amp;" - "&amp;TRIM(Aop_Bank[[#This Row],[Balance]])</f>
        <v xml:space="preserve"> - V. OSTALI PRIHODI I RASHODI</v>
      </c>
    </row>
    <row r="168" spans="1:8" x14ac:dyDescent="0.25">
      <c r="A168" s="25">
        <f t="shared" si="2"/>
        <v>167</v>
      </c>
      <c r="B168" s="26">
        <v>2</v>
      </c>
      <c r="C168" s="17" t="str">
        <f>IF(Aop_Bank[[#This Row],[AOP]]="","",TEXT(Aop_Bank[[#This Row],[AOP]],"000"))</f>
        <v>258</v>
      </c>
      <c r="D168" s="17">
        <v>258</v>
      </c>
      <c r="E168" s="17" t="s">
        <v>256</v>
      </c>
      <c r="F168" s="17"/>
      <c r="G168" s="17" t="str">
        <f>REPT("  ",Aop_Bank[[#This Row],[Aop_Level]])&amp;IF(Jezik=2,Aop_Bank[[#This Row],[Item_en]],Aop_Bank[[#This Row],[Item_sr]])</f>
        <v xml:space="preserve">    1. Ostali prihodi (259 do 265)</v>
      </c>
      <c r="H168" s="17" t="str">
        <f>Aop_Bank[[#This Row],[AOP_Text]]&amp;" - "&amp;TRIM(Aop_Bank[[#This Row],[Balance]])</f>
        <v>258 - 1. Ostali prihodi (259 do 265)</v>
      </c>
    </row>
    <row r="169" spans="1:8" x14ac:dyDescent="0.25">
      <c r="A169" s="25">
        <f t="shared" si="2"/>
        <v>168</v>
      </c>
      <c r="B169" s="26">
        <v>3</v>
      </c>
      <c r="C169" s="17" t="str">
        <f>IF(Aop_Bank[[#This Row],[AOP]]="","",TEXT(Aop_Bank[[#This Row],[AOP]],"000"))</f>
        <v>259</v>
      </c>
      <c r="D169" s="17">
        <v>259</v>
      </c>
      <c r="E169" s="17" t="s">
        <v>257</v>
      </c>
      <c r="F169" s="17"/>
      <c r="G169" s="17" t="str">
        <f>REPT("  ",Aop_Bank[[#This Row],[Aop_Level]])&amp;IF(Jezik=2,Aop_Bank[[#This Row],[Item_en]],Aop_Bank[[#This Row],[Item_sr]])</f>
        <v xml:space="preserve">      a) Prihodi od naplaćenih otpisanih potraživanja</v>
      </c>
      <c r="H169" s="17" t="str">
        <f>Aop_Bank[[#This Row],[AOP_Text]]&amp;" - "&amp;TRIM(Aop_Bank[[#This Row],[Balance]])</f>
        <v>259 - a) Prihodi od naplaćenih otpisanih potraživanja</v>
      </c>
    </row>
    <row r="170" spans="1:8" x14ac:dyDescent="0.25">
      <c r="A170" s="25">
        <f t="shared" si="2"/>
        <v>169</v>
      </c>
      <c r="B170" s="26">
        <v>3</v>
      </c>
      <c r="C170" s="17" t="str">
        <f>IF(Aop_Bank[[#This Row],[AOP]]="","",TEXT(Aop_Bank[[#This Row],[AOP]],"000"))</f>
        <v>260</v>
      </c>
      <c r="D170" s="17">
        <v>260</v>
      </c>
      <c r="E170" s="17" t="s">
        <v>258</v>
      </c>
      <c r="F170" s="17"/>
      <c r="G170" s="17" t="str">
        <f>REPT("  ",Aop_Bank[[#This Row],[Aop_Level]])&amp;IF(Jezik=2,Aop_Bank[[#This Row],[Item_en]],Aop_Bank[[#This Row],[Item_sr]])</f>
        <v xml:space="preserve">      b) Dobici od prodaje osnovnih sredstava i nematerijalnih ulaganja</v>
      </c>
      <c r="H170" s="17" t="str">
        <f>Aop_Bank[[#This Row],[AOP_Text]]&amp;" - "&amp;TRIM(Aop_Bank[[#This Row],[Balance]])</f>
        <v>260 - b) Dobici od prodaje osnovnih sredstava i nematerijalnih ulaganja</v>
      </c>
    </row>
    <row r="171" spans="1:8" x14ac:dyDescent="0.25">
      <c r="A171" s="25">
        <f t="shared" si="2"/>
        <v>170</v>
      </c>
      <c r="B171" s="26">
        <v>3</v>
      </c>
      <c r="C171" s="17" t="str">
        <f>IF(Aop_Bank[[#This Row],[AOP]]="","",TEXT(Aop_Bank[[#This Row],[AOP]],"000"))</f>
        <v>261</v>
      </c>
      <c r="D171" s="17">
        <v>261</v>
      </c>
      <c r="E171" s="17" t="s">
        <v>259</v>
      </c>
      <c r="F171" s="17"/>
      <c r="G171" s="17" t="str">
        <f>REPT("  ",Aop_Bank[[#This Row],[Aop_Level]])&amp;IF(Jezik=2,Aop_Bank[[#This Row],[Item_en]],Aop_Bank[[#This Row],[Item_sr]])</f>
        <v xml:space="preserve">      v) Prihodi od smanjenja obaveza</v>
      </c>
      <c r="H171" s="17" t="str">
        <f>Aop_Bank[[#This Row],[AOP_Text]]&amp;" - "&amp;TRIM(Aop_Bank[[#This Row],[Balance]])</f>
        <v>261 - v) Prihodi od smanjenja obaveza</v>
      </c>
    </row>
    <row r="172" spans="1:8" x14ac:dyDescent="0.25">
      <c r="A172" s="25">
        <f t="shared" si="2"/>
        <v>171</v>
      </c>
      <c r="B172" s="26">
        <v>3</v>
      </c>
      <c r="C172" s="17" t="str">
        <f>IF(Aop_Bank[[#This Row],[AOP]]="","",TEXT(Aop_Bank[[#This Row],[AOP]],"000"))</f>
        <v>262</v>
      </c>
      <c r="D172" s="17">
        <v>262</v>
      </c>
      <c r="E172" s="17" t="s">
        <v>260</v>
      </c>
      <c r="F172" s="17"/>
      <c r="G172" s="17" t="str">
        <f>REPT("  ",Aop_Bank[[#This Row],[Aop_Level]])&amp;IF(Jezik=2,Aop_Bank[[#This Row],[Item_en]],Aop_Bank[[#This Row],[Item_sr]])</f>
        <v xml:space="preserve">      g) Prihodi od dividendi i učešća</v>
      </c>
      <c r="H172" s="17" t="str">
        <f>Aop_Bank[[#This Row],[AOP_Text]]&amp;" - "&amp;TRIM(Aop_Bank[[#This Row],[Balance]])</f>
        <v>262 - g) Prihodi od dividendi i učešća</v>
      </c>
    </row>
    <row r="173" spans="1:8" x14ac:dyDescent="0.25">
      <c r="A173" s="25">
        <f t="shared" si="2"/>
        <v>172</v>
      </c>
      <c r="B173" s="26">
        <v>3</v>
      </c>
      <c r="C173" s="17" t="str">
        <f>IF(Aop_Bank[[#This Row],[AOP]]="","",TEXT(Aop_Bank[[#This Row],[AOP]],"000"))</f>
        <v>263</v>
      </c>
      <c r="D173" s="17">
        <v>263</v>
      </c>
      <c r="E173" s="17" t="s">
        <v>261</v>
      </c>
      <c r="F173" s="17"/>
      <c r="G173" s="17" t="str">
        <f>REPT("  ",Aop_Bank[[#This Row],[Aop_Level]])&amp;IF(Jezik=2,Aop_Bank[[#This Row],[Item_en]],Aop_Bank[[#This Row],[Item_sr]])</f>
        <v xml:space="preserve">      d) Viškovi</v>
      </c>
      <c r="H173" s="17" t="str">
        <f>Aop_Bank[[#This Row],[AOP_Text]]&amp;" - "&amp;TRIM(Aop_Bank[[#This Row],[Balance]])</f>
        <v>263 - d) Viškovi</v>
      </c>
    </row>
    <row r="174" spans="1:8" x14ac:dyDescent="0.25">
      <c r="A174" s="25">
        <f t="shared" si="2"/>
        <v>173</v>
      </c>
      <c r="B174" s="26">
        <v>3</v>
      </c>
      <c r="C174" s="17" t="str">
        <f>IF(Aop_Bank[[#This Row],[AOP]]="","",TEXT(Aop_Bank[[#This Row],[AOP]],"000"))</f>
        <v>264</v>
      </c>
      <c r="D174" s="17">
        <v>264</v>
      </c>
      <c r="E174" s="17" t="s">
        <v>262</v>
      </c>
      <c r="F174" s="17"/>
      <c r="G174" s="17" t="str">
        <f>REPT("  ",Aop_Bank[[#This Row],[Aop_Level]])&amp;IF(Jezik=2,Aop_Bank[[#This Row],[Item_en]],Aop_Bank[[#This Row],[Item_sr]])</f>
        <v xml:space="preserve">      đ) Ostali prihodi</v>
      </c>
      <c r="H174" s="17" t="str">
        <f>Aop_Bank[[#This Row],[AOP_Text]]&amp;" - "&amp;TRIM(Aop_Bank[[#This Row],[Balance]])</f>
        <v>264 - đ) Ostali prihodi</v>
      </c>
    </row>
    <row r="175" spans="1:8" x14ac:dyDescent="0.25">
      <c r="A175" s="25">
        <f t="shared" si="2"/>
        <v>174</v>
      </c>
      <c r="B175" s="26">
        <v>3</v>
      </c>
      <c r="C175" s="17" t="str">
        <f>IF(Aop_Bank[[#This Row],[AOP]]="","",TEXT(Aop_Bank[[#This Row],[AOP]],"000"))</f>
        <v>265</v>
      </c>
      <c r="D175" s="17">
        <v>265</v>
      </c>
      <c r="E175" s="17" t="s">
        <v>263</v>
      </c>
      <c r="F175" s="17"/>
      <c r="G175" s="17" t="str">
        <f>REPT("  ",Aop_Bank[[#This Row],[Aop_Level]])&amp;IF(Jezik=2,Aop_Bank[[#This Row],[Item_en]],Aop_Bank[[#This Row],[Item_sr]])</f>
        <v xml:space="preserve">      e) Dobici od obustavljenog poslovanja</v>
      </c>
      <c r="H175" s="17" t="str">
        <f>Aop_Bank[[#This Row],[AOP_Text]]&amp;" - "&amp;TRIM(Aop_Bank[[#This Row],[Balance]])</f>
        <v>265 - e) Dobici od obustavljenog poslovanja</v>
      </c>
    </row>
    <row r="176" spans="1:8" x14ac:dyDescent="0.25">
      <c r="A176" s="25">
        <f t="shared" si="2"/>
        <v>175</v>
      </c>
      <c r="B176" s="26">
        <v>2</v>
      </c>
      <c r="C176" s="17" t="str">
        <f>IF(Aop_Bank[[#This Row],[AOP]]="","",TEXT(Aop_Bank[[#This Row],[AOP]],"000"))</f>
        <v>266</v>
      </c>
      <c r="D176" s="17">
        <v>266</v>
      </c>
      <c r="E176" s="17" t="s">
        <v>264</v>
      </c>
      <c r="F176" s="17"/>
      <c r="G176" s="17" t="str">
        <f>REPT("  ",Aop_Bank[[#This Row],[Aop_Level]])&amp;IF(Jezik=2,Aop_Bank[[#This Row],[Item_en]],Aop_Bank[[#This Row],[Item_sr]])</f>
        <v xml:space="preserve">    2. Ostali rashodi (267 do 273)</v>
      </c>
      <c r="H176" s="17" t="str">
        <f>Aop_Bank[[#This Row],[AOP_Text]]&amp;" - "&amp;TRIM(Aop_Bank[[#This Row],[Balance]])</f>
        <v>266 - 2. Ostali rashodi (267 do 273)</v>
      </c>
    </row>
    <row r="177" spans="1:8" x14ac:dyDescent="0.25">
      <c r="A177" s="25">
        <f t="shared" si="2"/>
        <v>176</v>
      </c>
      <c r="B177" s="26">
        <v>3</v>
      </c>
      <c r="C177" s="17" t="str">
        <f>IF(Aop_Bank[[#This Row],[AOP]]="","",TEXT(Aop_Bank[[#This Row],[AOP]],"000"))</f>
        <v>267</v>
      </c>
      <c r="D177" s="17">
        <v>267</v>
      </c>
      <c r="E177" s="17" t="s">
        <v>265</v>
      </c>
      <c r="F177" s="17"/>
      <c r="G177" s="17" t="str">
        <f>REPT("  ",Aop_Bank[[#This Row],[Aop_Level]])&amp;IF(Jezik=2,Aop_Bank[[#This Row],[Item_en]],Aop_Bank[[#This Row],[Item_sr]])</f>
        <v xml:space="preserve">      a) Rashodi po osnovu direktnog otpisa potraživanja</v>
      </c>
      <c r="H177" s="17" t="str">
        <f>Aop_Bank[[#This Row],[AOP_Text]]&amp;" - "&amp;TRIM(Aop_Bank[[#This Row],[Balance]])</f>
        <v>267 - a) Rashodi po osnovu direktnog otpisa potraživanja</v>
      </c>
    </row>
    <row r="178" spans="1:8" x14ac:dyDescent="0.25">
      <c r="A178" s="25">
        <f t="shared" si="2"/>
        <v>177</v>
      </c>
      <c r="B178" s="26">
        <v>3</v>
      </c>
      <c r="C178" s="17" t="str">
        <f>IF(Aop_Bank[[#This Row],[AOP]]="","",TEXT(Aop_Bank[[#This Row],[AOP]],"000"))</f>
        <v>268</v>
      </c>
      <c r="D178" s="17">
        <v>268</v>
      </c>
      <c r="E178" s="17" t="s">
        <v>266</v>
      </c>
      <c r="F178" s="17"/>
      <c r="G178" s="17" t="str">
        <f>REPT("  ",Aop_Bank[[#This Row],[Aop_Level]])&amp;IF(Jezik=2,Aop_Bank[[#This Row],[Item_en]],Aop_Bank[[#This Row],[Item_sr]])</f>
        <v xml:space="preserve">      b) Gubici od prodaje osnovnih sredstava i nematerijalnih ulaganja</v>
      </c>
      <c r="H178" s="17" t="str">
        <f>Aop_Bank[[#This Row],[AOP_Text]]&amp;" - "&amp;TRIM(Aop_Bank[[#This Row],[Balance]])</f>
        <v>268 - b) Gubici od prodaje osnovnih sredstava i nematerijalnih ulaganja</v>
      </c>
    </row>
    <row r="179" spans="1:8" x14ac:dyDescent="0.25">
      <c r="A179" s="25">
        <f t="shared" si="2"/>
        <v>178</v>
      </c>
      <c r="B179" s="26">
        <v>3</v>
      </c>
      <c r="C179" s="17" t="str">
        <f>IF(Aop_Bank[[#This Row],[AOP]]="","",TEXT(Aop_Bank[[#This Row],[AOP]],"000"))</f>
        <v>269</v>
      </c>
      <c r="D179" s="17">
        <v>269</v>
      </c>
      <c r="E179" s="17" t="s">
        <v>342</v>
      </c>
      <c r="F179" s="17"/>
      <c r="G179" s="17" t="str">
        <f>REPT("  ",Aop_Bank[[#This Row],[Aop_Level]])&amp;IF(Jezik=2,Aop_Bank[[#This Row],[Item_en]],Aop_Bank[[#This Row],[Item_sr]])</f>
        <v xml:space="preserve">      v) Gubici po osnovu rashodovanja i otpisa osnovnih sredstava i nematerijalnih ulaganja</v>
      </c>
      <c r="H179" s="17" t="str">
        <f>Aop_Bank[[#This Row],[AOP_Text]]&amp;" - "&amp;TRIM(Aop_Bank[[#This Row],[Balance]])</f>
        <v>269 - v) Gubici po osnovu rashodovanja i otpisa osnovnih sredstava i nematerijalnih ulaganja</v>
      </c>
    </row>
    <row r="180" spans="1:8" x14ac:dyDescent="0.25">
      <c r="A180" s="25">
        <f t="shared" si="2"/>
        <v>179</v>
      </c>
      <c r="B180" s="26">
        <v>3</v>
      </c>
      <c r="C180" s="17" t="str">
        <f>IF(Aop_Bank[[#This Row],[AOP]]="","",TEXT(Aop_Bank[[#This Row],[AOP]],"000"))</f>
        <v>270</v>
      </c>
      <c r="D180" s="17">
        <v>270</v>
      </c>
      <c r="E180" s="17" t="s">
        <v>267</v>
      </c>
      <c r="F180" s="17"/>
      <c r="G180" s="17" t="str">
        <f>REPT("  ",Aop_Bank[[#This Row],[Aop_Level]])&amp;IF(Jezik=2,Aop_Bank[[#This Row],[Item_en]],Aop_Bank[[#This Row],[Item_sr]])</f>
        <v xml:space="preserve">      g) Manjkovi</v>
      </c>
      <c r="H180" s="17" t="str">
        <f>Aop_Bank[[#This Row],[AOP_Text]]&amp;" - "&amp;TRIM(Aop_Bank[[#This Row],[Balance]])</f>
        <v>270 - g) Manjkovi</v>
      </c>
    </row>
    <row r="181" spans="1:8" x14ac:dyDescent="0.25">
      <c r="A181" s="25">
        <f t="shared" si="2"/>
        <v>180</v>
      </c>
      <c r="B181" s="26">
        <v>3</v>
      </c>
      <c r="C181" s="17" t="str">
        <f>IF(Aop_Bank[[#This Row],[AOP]]="","",TEXT(Aop_Bank[[#This Row],[AOP]],"000"))</f>
        <v>271</v>
      </c>
      <c r="D181" s="17">
        <v>271</v>
      </c>
      <c r="E181" s="17" t="s">
        <v>268</v>
      </c>
      <c r="F181" s="17"/>
      <c r="G181" s="17" t="str">
        <f>REPT("  ",Aop_Bank[[#This Row],[Aop_Level]])&amp;IF(Jezik=2,Aop_Bank[[#This Row],[Item_en]],Aop_Bank[[#This Row],[Item_sr]])</f>
        <v xml:space="preserve">      d) Otpis zaliha</v>
      </c>
      <c r="H181" s="17" t="str">
        <f>Aop_Bank[[#This Row],[AOP_Text]]&amp;" - "&amp;TRIM(Aop_Bank[[#This Row],[Balance]])</f>
        <v>271 - d) Otpis zaliha</v>
      </c>
    </row>
    <row r="182" spans="1:8" x14ac:dyDescent="0.25">
      <c r="A182" s="25">
        <f t="shared" si="2"/>
        <v>181</v>
      </c>
      <c r="B182" s="26">
        <v>3</v>
      </c>
      <c r="C182" s="17" t="str">
        <f>IF(Aop_Bank[[#This Row],[AOP]]="","",TEXT(Aop_Bank[[#This Row],[AOP]],"000"))</f>
        <v>272</v>
      </c>
      <c r="D182" s="17">
        <v>272</v>
      </c>
      <c r="E182" s="17" t="s">
        <v>269</v>
      </c>
      <c r="F182" s="17"/>
      <c r="G182" s="17" t="str">
        <f>REPT("  ",Aop_Bank[[#This Row],[Aop_Level]])&amp;IF(Jezik=2,Aop_Bank[[#This Row],[Item_en]],Aop_Bank[[#This Row],[Item_sr]])</f>
        <v xml:space="preserve">      đ) Ostali rashodi</v>
      </c>
      <c r="H182" s="17" t="str">
        <f>Aop_Bank[[#This Row],[AOP_Text]]&amp;" - "&amp;TRIM(Aop_Bank[[#This Row],[Balance]])</f>
        <v>272 - đ) Ostali rashodi</v>
      </c>
    </row>
    <row r="183" spans="1:8" x14ac:dyDescent="0.25">
      <c r="A183" s="25">
        <f t="shared" si="2"/>
        <v>182</v>
      </c>
      <c r="B183" s="26">
        <v>3</v>
      </c>
      <c r="C183" s="17" t="str">
        <f>IF(Aop_Bank[[#This Row],[AOP]]="","",TEXT(Aop_Bank[[#This Row],[AOP]],"000"))</f>
        <v>273</v>
      </c>
      <c r="D183" s="17">
        <v>273</v>
      </c>
      <c r="E183" s="17" t="s">
        <v>270</v>
      </c>
      <c r="F183" s="17"/>
      <c r="G183" s="17" t="str">
        <f>REPT("  ",Aop_Bank[[#This Row],[Aop_Level]])&amp;IF(Jezik=2,Aop_Bank[[#This Row],[Item_en]],Aop_Bank[[#This Row],[Item_sr]])</f>
        <v xml:space="preserve">      e) Gubici od obustavljenog poslovanja</v>
      </c>
      <c r="H183" s="17" t="str">
        <f>Aop_Bank[[#This Row],[AOP_Text]]&amp;" - "&amp;TRIM(Aop_Bank[[#This Row],[Balance]])</f>
        <v>273 - e) Gubici od obustavljenog poslovanja</v>
      </c>
    </row>
    <row r="184" spans="1:8" x14ac:dyDescent="0.25">
      <c r="A184" s="25">
        <f t="shared" si="2"/>
        <v>183</v>
      </c>
      <c r="B184" s="26">
        <v>2</v>
      </c>
      <c r="C184" s="17" t="str">
        <f>IF(Aop_Bank[[#This Row],[AOP]]="","",TEXT(Aop_Bank[[#This Row],[AOP]],"000"))</f>
        <v>274</v>
      </c>
      <c r="D184" s="17">
        <v>274</v>
      </c>
      <c r="E184" s="17" t="s">
        <v>271</v>
      </c>
      <c r="F184" s="17"/>
      <c r="G184" s="17" t="str">
        <f>REPT("  ",Aop_Bank[[#This Row],[Aop_Level]])&amp;IF(Jezik=2,Aop_Bank[[#This Row],[Item_en]],Aop_Bank[[#This Row],[Item_sr]])</f>
        <v xml:space="preserve">    3. DOBITAK PO OSNOVU OSTALIH PRIHODA I RASHODA (258-266)</v>
      </c>
      <c r="H184" s="17" t="str">
        <f>Aop_Bank[[#This Row],[AOP_Text]]&amp;" - "&amp;TRIM(Aop_Bank[[#This Row],[Balance]])</f>
        <v>274 - 3. DOBITAK PO OSNOVU OSTALIH PRIHODA I RASHODA (258-266)</v>
      </c>
    </row>
    <row r="185" spans="1:8" x14ac:dyDescent="0.25">
      <c r="A185" s="25">
        <f t="shared" si="2"/>
        <v>184</v>
      </c>
      <c r="B185" s="26">
        <v>2</v>
      </c>
      <c r="C185" s="17" t="str">
        <f>IF(Aop_Bank[[#This Row],[AOP]]="","",TEXT(Aop_Bank[[#This Row],[AOP]],"000"))</f>
        <v>275</v>
      </c>
      <c r="D185" s="17">
        <v>275</v>
      </c>
      <c r="E185" s="17" t="s">
        <v>272</v>
      </c>
      <c r="F185" s="17"/>
      <c r="G185" s="17" t="str">
        <f>REPT("  ",Aop_Bank[[#This Row],[Aop_Level]])&amp;IF(Jezik=2,Aop_Bank[[#This Row],[Item_en]],Aop_Bank[[#This Row],[Item_sr]])</f>
        <v xml:space="preserve">    4. GUBITAK PO OSNOVU OSTALIH PRIHODA I RASHODA (266-258)</v>
      </c>
      <c r="H185" s="17" t="str">
        <f>Aop_Bank[[#This Row],[AOP_Text]]&amp;" - "&amp;TRIM(Aop_Bank[[#This Row],[Balance]])</f>
        <v>275 - 4. GUBITAK PO OSNOVU OSTALIH PRIHODA I RASHODA (266-258)</v>
      </c>
    </row>
    <row r="186" spans="1:8" x14ac:dyDescent="0.25">
      <c r="A186" s="25">
        <f t="shared" si="2"/>
        <v>185</v>
      </c>
      <c r="B186" s="26">
        <v>1</v>
      </c>
      <c r="C186" s="17" t="str">
        <f>IF(Aop_Bank[[#This Row],[AOP]]="","",TEXT(Aop_Bank[[#This Row],[AOP]],"000"))</f>
        <v>276</v>
      </c>
      <c r="D186" s="17">
        <v>276</v>
      </c>
      <c r="E186" s="17" t="s">
        <v>273</v>
      </c>
      <c r="F186" s="17"/>
      <c r="G186" s="17" t="str">
        <f>REPT("  ",Aop_Bank[[#This Row],[Aop_Level]])&amp;IF(Jezik=2,Aop_Bank[[#This Row],[Item_en]],Aop_Bank[[#This Row],[Item_sr]])</f>
        <v xml:space="preserve">  G. POSLOVNI DOBITAK (233+256+274-234-257-275)</v>
      </c>
      <c r="H186" s="17" t="str">
        <f>Aop_Bank[[#This Row],[AOP_Text]]&amp;" - "&amp;TRIM(Aop_Bank[[#This Row],[Balance]])</f>
        <v>276 - G. POSLOVNI DOBITAK (233+256+274-234-257-275)</v>
      </c>
    </row>
    <row r="187" spans="1:8" x14ac:dyDescent="0.25">
      <c r="A187" s="25">
        <f t="shared" si="2"/>
        <v>186</v>
      </c>
      <c r="B187" s="26">
        <v>1</v>
      </c>
      <c r="C187" s="17" t="str">
        <f>IF(Aop_Bank[[#This Row],[AOP]]="","",TEXT(Aop_Bank[[#This Row],[AOP]],"000"))</f>
        <v>277</v>
      </c>
      <c r="D187" s="17">
        <v>277</v>
      </c>
      <c r="E187" s="17" t="s">
        <v>274</v>
      </c>
      <c r="F187" s="17"/>
      <c r="G187" s="17" t="str">
        <f>REPT("  ",Aop_Bank[[#This Row],[Aop_Level]])&amp;IF(Jezik=2,Aop_Bank[[#This Row],[Item_en]],Aop_Bank[[#This Row],[Item_sr]])</f>
        <v xml:space="preserve">  D. POSLOVNI GUBITAK (234+257+275-233-256-274)</v>
      </c>
      <c r="H187" s="17" t="str">
        <f>Aop_Bank[[#This Row],[AOP_Text]]&amp;" - "&amp;TRIM(Aop_Bank[[#This Row],[Balance]])</f>
        <v>277 - D. POSLOVNI GUBITAK (234+257+275-233-256-274)</v>
      </c>
    </row>
    <row r="188" spans="1:8" x14ac:dyDescent="0.25">
      <c r="A188" s="25">
        <f t="shared" si="2"/>
        <v>187</v>
      </c>
      <c r="B188" s="26">
        <v>1</v>
      </c>
      <c r="C188" s="17" t="str">
        <f>IF(Aop_Bank[[#This Row],[AOP]]="","",TEXT(Aop_Bank[[#This Row],[AOP]],"000"))</f>
        <v/>
      </c>
      <c r="D188" s="17"/>
      <c r="E188" s="17" t="s">
        <v>275</v>
      </c>
      <c r="F188" s="17"/>
      <c r="G188" s="17" t="str">
        <f>REPT("  ",Aop_Bank[[#This Row],[Aop_Level]])&amp;IF(Jezik=2,Aop_Bank[[#This Row],[Item_en]],Aop_Bank[[#This Row],[Item_sr]])</f>
        <v xml:space="preserve">  Đ. PRIHODI I RASHODI OD PROMJENE VRIJEDNOSTI IMOVINE I OBAVEZA</v>
      </c>
      <c r="H188" s="17" t="str">
        <f>Aop_Bank[[#This Row],[AOP_Text]]&amp;" - "&amp;TRIM(Aop_Bank[[#This Row],[Balance]])</f>
        <v xml:space="preserve"> - Đ. PRIHODI I RASHODI OD PROMJENE VRIJEDNOSTI IMOVINE I OBAVEZA</v>
      </c>
    </row>
    <row r="189" spans="1:8" x14ac:dyDescent="0.25">
      <c r="A189" s="25">
        <f t="shared" si="2"/>
        <v>188</v>
      </c>
      <c r="B189" s="26">
        <v>2</v>
      </c>
      <c r="C189" s="17" t="str">
        <f>IF(Aop_Bank[[#This Row],[AOP]]="","",TEXT(Aop_Bank[[#This Row],[AOP]],"000"))</f>
        <v>278</v>
      </c>
      <c r="D189" s="17">
        <v>278</v>
      </c>
      <c r="E189" s="17" t="s">
        <v>276</v>
      </c>
      <c r="F189" s="17"/>
      <c r="G189" s="17" t="str">
        <f>REPT("  ",Aop_Bank[[#This Row],[Aop_Level]])&amp;IF(Jezik=2,Aop_Bank[[#This Row],[Item_en]],Aop_Bank[[#This Row],[Item_sr]])</f>
        <v xml:space="preserve">    1. Prihodi od promjene vrijednosti imovine i obaveza (279 do 283)</v>
      </c>
      <c r="H189" s="17" t="str">
        <f>Aop_Bank[[#This Row],[AOP_Text]]&amp;" - "&amp;TRIM(Aop_Bank[[#This Row],[Balance]])</f>
        <v>278 - 1. Prihodi od promjene vrijednosti imovine i obaveza (279 do 283)</v>
      </c>
    </row>
    <row r="190" spans="1:8" x14ac:dyDescent="0.25">
      <c r="A190" s="25">
        <f t="shared" si="2"/>
        <v>189</v>
      </c>
      <c r="B190" s="26">
        <v>3</v>
      </c>
      <c r="C190" s="17" t="str">
        <f>IF(Aop_Bank[[#This Row],[AOP]]="","",TEXT(Aop_Bank[[#This Row],[AOP]],"000"))</f>
        <v>279</v>
      </c>
      <c r="D190" s="17">
        <v>279</v>
      </c>
      <c r="E190" s="17" t="s">
        <v>277</v>
      </c>
      <c r="F190" s="17"/>
      <c r="G190" s="17" t="str">
        <f>REPT("  ",Aop_Bank[[#This Row],[Aop_Level]])&amp;IF(Jezik=2,Aop_Bank[[#This Row],[Item_en]],Aop_Bank[[#This Row],[Item_sr]])</f>
        <v xml:space="preserve">      a) Prihodi po osnovu promjene vrijednosti plasmana i potraživanja</v>
      </c>
      <c r="H190" s="17" t="str">
        <f>Aop_Bank[[#This Row],[AOP_Text]]&amp;" - "&amp;TRIM(Aop_Bank[[#This Row],[Balance]])</f>
        <v>279 - a) Prihodi po osnovu promjene vrijednosti plasmana i potraživanja</v>
      </c>
    </row>
    <row r="191" spans="1:8" x14ac:dyDescent="0.25">
      <c r="A191" s="25">
        <f t="shared" si="2"/>
        <v>190</v>
      </c>
      <c r="B191" s="26">
        <v>3</v>
      </c>
      <c r="C191" s="17" t="str">
        <f>IF(Aop_Bank[[#This Row],[AOP]]="","",TEXT(Aop_Bank[[#This Row],[AOP]],"000"))</f>
        <v>280</v>
      </c>
      <c r="D191" s="17">
        <v>280</v>
      </c>
      <c r="E191" s="17" t="s">
        <v>278</v>
      </c>
      <c r="F191" s="17"/>
      <c r="G191" s="17" t="str">
        <f>REPT("  ",Aop_Bank[[#This Row],[Aop_Level]])&amp;IF(Jezik=2,Aop_Bank[[#This Row],[Item_en]],Aop_Bank[[#This Row],[Item_sr]])</f>
        <v xml:space="preserve">      b) Prihodi po osnovu promjene vrijednosti HOV</v>
      </c>
      <c r="H191" s="17" t="str">
        <f>Aop_Bank[[#This Row],[AOP_Text]]&amp;" - "&amp;TRIM(Aop_Bank[[#This Row],[Balance]])</f>
        <v>280 - b) Prihodi po osnovu promjene vrijednosti HOV</v>
      </c>
    </row>
    <row r="192" spans="1:8" x14ac:dyDescent="0.25">
      <c r="A192" s="25">
        <f t="shared" si="2"/>
        <v>191</v>
      </c>
      <c r="B192" s="26">
        <v>3</v>
      </c>
      <c r="C192" s="17" t="str">
        <f>IF(Aop_Bank[[#This Row],[AOP]]="","",TEXT(Aop_Bank[[#This Row],[AOP]],"000"))</f>
        <v>281</v>
      </c>
      <c r="D192" s="17">
        <v>281</v>
      </c>
      <c r="E192" s="17" t="s">
        <v>279</v>
      </c>
      <c r="F192" s="17"/>
      <c r="G192" s="17" t="str">
        <f>REPT("  ",Aop_Bank[[#This Row],[Aop_Level]])&amp;IF(Jezik=2,Aop_Bank[[#This Row],[Item_en]],Aop_Bank[[#This Row],[Item_sr]])</f>
        <v xml:space="preserve">      v) Prihodi po osnovu promjene vrijednosti obaveza</v>
      </c>
      <c r="H192" s="17" t="str">
        <f>Aop_Bank[[#This Row],[AOP_Text]]&amp;" - "&amp;TRIM(Aop_Bank[[#This Row],[Balance]])</f>
        <v>281 - v) Prihodi po osnovu promjene vrijednosti obaveza</v>
      </c>
    </row>
    <row r="193" spans="1:8" x14ac:dyDescent="0.25">
      <c r="A193" s="25">
        <f t="shared" si="2"/>
        <v>192</v>
      </c>
      <c r="B193" s="26">
        <v>3</v>
      </c>
      <c r="C193" s="17" t="str">
        <f>IF(Aop_Bank[[#This Row],[AOP]]="","",TEXT(Aop_Bank[[#This Row],[AOP]],"000"))</f>
        <v>282</v>
      </c>
      <c r="D193" s="17">
        <v>282</v>
      </c>
      <c r="E193" s="17" t="s">
        <v>280</v>
      </c>
      <c r="F193" s="17"/>
      <c r="G193" s="17" t="str">
        <f>REPT("  ",Aop_Bank[[#This Row],[Aop_Level]])&amp;IF(Jezik=2,Aop_Bank[[#This Row],[Item_en]],Aop_Bank[[#This Row],[Item_sr]])</f>
        <v xml:space="preserve">      g) Prihodi od promjene vrijednosti osnovnih sredstava, ulaganja u nekretnine i nematerijalnih ulaganja</v>
      </c>
      <c r="H193" s="17" t="str">
        <f>Aop_Bank[[#This Row],[AOP_Text]]&amp;" - "&amp;TRIM(Aop_Bank[[#This Row],[Balance]])</f>
        <v>282 - g) Prihodi od promjene vrijednosti osnovnih sredstava, ulaganja u nekretnine i nematerijalnih ulaganja</v>
      </c>
    </row>
    <row r="194" spans="1:8" x14ac:dyDescent="0.25">
      <c r="A194" s="25">
        <f t="shared" ref="A194:A257" si="3">ROW()-1</f>
        <v>193</v>
      </c>
      <c r="B194" s="26">
        <v>3</v>
      </c>
      <c r="C194" s="17" t="str">
        <f>IF(Aop_Bank[[#This Row],[AOP]]="","",TEXT(Aop_Bank[[#This Row],[AOP]],"000"))</f>
        <v>283</v>
      </c>
      <c r="D194" s="17">
        <v>283</v>
      </c>
      <c r="E194" s="17" t="s">
        <v>281</v>
      </c>
      <c r="F194" s="17"/>
      <c r="G194" s="17" t="str">
        <f>REPT("  ",Aop_Bank[[#This Row],[Aop_Level]])&amp;IF(Jezik=2,Aop_Bank[[#This Row],[Item_en]],Aop_Bank[[#This Row],[Item_sr]])</f>
        <v xml:space="preserve">      d) Prihodi od pozitivnih kursnih razlika</v>
      </c>
      <c r="H194" s="17" t="str">
        <f>Aop_Bank[[#This Row],[AOP_Text]]&amp;" - "&amp;TRIM(Aop_Bank[[#This Row],[Balance]])</f>
        <v>283 - d) Prihodi od pozitivnih kursnih razlika</v>
      </c>
    </row>
    <row r="195" spans="1:8" x14ac:dyDescent="0.25">
      <c r="A195" s="25">
        <f t="shared" si="3"/>
        <v>194</v>
      </c>
      <c r="B195" s="26">
        <v>2</v>
      </c>
      <c r="C195" s="17" t="str">
        <f>IF(Aop_Bank[[#This Row],[AOP]]="","",TEXT(Aop_Bank[[#This Row],[AOP]],"000"))</f>
        <v>284</v>
      </c>
      <c r="D195" s="17">
        <v>284</v>
      </c>
      <c r="E195" s="17" t="s">
        <v>282</v>
      </c>
      <c r="F195" s="17"/>
      <c r="G195" s="17" t="str">
        <f>REPT("  ",Aop_Bank[[#This Row],[Aop_Level]])&amp;IF(Jezik=2,Aop_Bank[[#This Row],[Item_en]],Aop_Bank[[#This Row],[Item_sr]])</f>
        <v xml:space="preserve">    2. Rashodi od promjene vrijednosti imovine i obaveza (285 do 289)</v>
      </c>
      <c r="H195" s="17" t="str">
        <f>Aop_Bank[[#This Row],[AOP_Text]]&amp;" - "&amp;TRIM(Aop_Bank[[#This Row],[Balance]])</f>
        <v>284 - 2. Rashodi od promjene vrijednosti imovine i obaveza (285 do 289)</v>
      </c>
    </row>
    <row r="196" spans="1:8" x14ac:dyDescent="0.25">
      <c r="A196" s="25">
        <f t="shared" si="3"/>
        <v>195</v>
      </c>
      <c r="B196" s="26">
        <v>3</v>
      </c>
      <c r="C196" s="17" t="str">
        <f>IF(Aop_Bank[[#This Row],[AOP]]="","",TEXT(Aop_Bank[[#This Row],[AOP]],"000"))</f>
        <v>285</v>
      </c>
      <c r="D196" s="17">
        <v>285</v>
      </c>
      <c r="E196" s="17" t="s">
        <v>283</v>
      </c>
      <c r="F196" s="17"/>
      <c r="G196" s="17" t="str">
        <f>REPT("  ",Aop_Bank[[#This Row],[Aop_Level]])&amp;IF(Jezik=2,Aop_Bank[[#This Row],[Item_en]],Aop_Bank[[#This Row],[Item_sr]])</f>
        <v xml:space="preserve">      a) Rashodi po osnovu promjene vrijednosti plasmana i potraživanja</v>
      </c>
      <c r="H196" s="17" t="str">
        <f>Aop_Bank[[#This Row],[AOP_Text]]&amp;" - "&amp;TRIM(Aop_Bank[[#This Row],[Balance]])</f>
        <v>285 - a) Rashodi po osnovu promjene vrijednosti plasmana i potraživanja</v>
      </c>
    </row>
    <row r="197" spans="1:8" x14ac:dyDescent="0.25">
      <c r="A197" s="25">
        <f t="shared" si="3"/>
        <v>196</v>
      </c>
      <c r="B197" s="26">
        <v>3</v>
      </c>
      <c r="C197" s="17" t="str">
        <f>IF(Aop_Bank[[#This Row],[AOP]]="","",TEXT(Aop_Bank[[#This Row],[AOP]],"000"))</f>
        <v>286</v>
      </c>
      <c r="D197" s="17">
        <v>286</v>
      </c>
      <c r="E197" s="17" t="s">
        <v>284</v>
      </c>
      <c r="F197" s="17"/>
      <c r="G197" s="17" t="str">
        <f>REPT("  ",Aop_Bank[[#This Row],[Aop_Level]])&amp;IF(Jezik=2,Aop_Bank[[#This Row],[Item_en]],Aop_Bank[[#This Row],[Item_sr]])</f>
        <v xml:space="preserve">      b) Rashodi po osnovu promjene vrijednosti HOV</v>
      </c>
      <c r="H197" s="17" t="str">
        <f>Aop_Bank[[#This Row],[AOP_Text]]&amp;" - "&amp;TRIM(Aop_Bank[[#This Row],[Balance]])</f>
        <v>286 - b) Rashodi po osnovu promjene vrijednosti HOV</v>
      </c>
    </row>
    <row r="198" spans="1:8" x14ac:dyDescent="0.25">
      <c r="A198" s="25">
        <f t="shared" si="3"/>
        <v>197</v>
      </c>
      <c r="B198" s="26">
        <v>3</v>
      </c>
      <c r="C198" s="17" t="str">
        <f>IF(Aop_Bank[[#This Row],[AOP]]="","",TEXT(Aop_Bank[[#This Row],[AOP]],"000"))</f>
        <v>287</v>
      </c>
      <c r="D198" s="17">
        <v>287</v>
      </c>
      <c r="E198" s="17" t="s">
        <v>285</v>
      </c>
      <c r="F198" s="17"/>
      <c r="G198" s="17" t="str">
        <f>REPT("  ",Aop_Bank[[#This Row],[Aop_Level]])&amp;IF(Jezik=2,Aop_Bank[[#This Row],[Item_en]],Aop_Bank[[#This Row],[Item_sr]])</f>
        <v xml:space="preserve">      v) Rashodi po osnovu promjene vrijednosti obaveza</v>
      </c>
      <c r="H198" s="17" t="str">
        <f>Aop_Bank[[#This Row],[AOP_Text]]&amp;" - "&amp;TRIM(Aop_Bank[[#This Row],[Balance]])</f>
        <v>287 - v) Rashodi po osnovu promjene vrijednosti obaveza</v>
      </c>
    </row>
    <row r="199" spans="1:8" x14ac:dyDescent="0.25">
      <c r="A199" s="25">
        <f t="shared" si="3"/>
        <v>198</v>
      </c>
      <c r="B199" s="26">
        <v>3</v>
      </c>
      <c r="C199" s="17" t="str">
        <f>IF(Aop_Bank[[#This Row],[AOP]]="","",TEXT(Aop_Bank[[#This Row],[AOP]],"000"))</f>
        <v>288</v>
      </c>
      <c r="D199" s="17">
        <v>288</v>
      </c>
      <c r="E199" s="17" t="s">
        <v>286</v>
      </c>
      <c r="F199" s="17"/>
      <c r="G199" s="17" t="str">
        <f>REPT("  ",Aop_Bank[[#This Row],[Aop_Level]])&amp;IF(Jezik=2,Aop_Bank[[#This Row],[Item_en]],Aop_Bank[[#This Row],[Item_sr]])</f>
        <v xml:space="preserve">      g) Rashodi po osnovu promjene vrijednosti osnovnih sredstava, ulaganja u nekretnine i nematerijalnih ulaganja</v>
      </c>
      <c r="H199" s="17" t="str">
        <f>Aop_Bank[[#This Row],[AOP_Text]]&amp;" - "&amp;TRIM(Aop_Bank[[#This Row],[Balance]])</f>
        <v>288 - g) Rashodi po osnovu promjene vrijednosti osnovnih sredstava, ulaganja u nekretnine i nematerijalnih ulaganja</v>
      </c>
    </row>
    <row r="200" spans="1:8" x14ac:dyDescent="0.25">
      <c r="A200" s="25">
        <f t="shared" si="3"/>
        <v>199</v>
      </c>
      <c r="B200" s="26">
        <v>3</v>
      </c>
      <c r="C200" s="17" t="str">
        <f>IF(Aop_Bank[[#This Row],[AOP]]="","",TEXT(Aop_Bank[[#This Row],[AOP]],"000"))</f>
        <v>289</v>
      </c>
      <c r="D200" s="17">
        <v>289</v>
      </c>
      <c r="E200" s="17" t="s">
        <v>287</v>
      </c>
      <c r="F200" s="17"/>
      <c r="G200" s="17" t="str">
        <f>REPT("  ",Aop_Bank[[#This Row],[Aop_Level]])&amp;IF(Jezik=2,Aop_Bank[[#This Row],[Item_en]],Aop_Bank[[#This Row],[Item_sr]])</f>
        <v xml:space="preserve">      d) Rashodi po osnovu negativnih kursnih razlika</v>
      </c>
      <c r="H200" s="17" t="str">
        <f>Aop_Bank[[#This Row],[AOP_Text]]&amp;" - "&amp;TRIM(Aop_Bank[[#This Row],[Balance]])</f>
        <v>289 - d) Rashodi po osnovu negativnih kursnih razlika</v>
      </c>
    </row>
    <row r="201" spans="1:8" x14ac:dyDescent="0.25">
      <c r="A201" s="25">
        <f t="shared" si="3"/>
        <v>200</v>
      </c>
      <c r="B201" s="26">
        <v>1</v>
      </c>
      <c r="C201" s="17" t="str">
        <f>IF(Aop_Bank[[#This Row],[AOP]]="","",TEXT(Aop_Bank[[#This Row],[AOP]],"000"))</f>
        <v>290</v>
      </c>
      <c r="D201" s="17">
        <v>290</v>
      </c>
      <c r="E201" s="17" t="s">
        <v>288</v>
      </c>
      <c r="F201" s="17"/>
      <c r="G201" s="17" t="str">
        <f>REPT("  ",Aop_Bank[[#This Row],[Aop_Level]])&amp;IF(Jezik=2,Aop_Bank[[#This Row],[Item_en]],Aop_Bank[[#This Row],[Item_sr]])</f>
        <v xml:space="preserve">  E. DOBITAK PO OSNOVU PROMJENE VRIJEDNOSTI IMOVINE I OBAVEZA (278-284)</v>
      </c>
      <c r="H201" s="17" t="str">
        <f>Aop_Bank[[#This Row],[AOP_Text]]&amp;" - "&amp;TRIM(Aop_Bank[[#This Row],[Balance]])</f>
        <v>290 - E. DOBITAK PO OSNOVU PROMJENE VRIJEDNOSTI IMOVINE I OBAVEZA (278-284)</v>
      </c>
    </row>
    <row r="202" spans="1:8" x14ac:dyDescent="0.25">
      <c r="A202" s="25">
        <f t="shared" si="3"/>
        <v>201</v>
      </c>
      <c r="B202" s="26">
        <v>1</v>
      </c>
      <c r="C202" s="17" t="str">
        <f>IF(Aop_Bank[[#This Row],[AOP]]="","",TEXT(Aop_Bank[[#This Row],[AOP]],"000"))</f>
        <v>291</v>
      </c>
      <c r="D202" s="17">
        <v>291</v>
      </c>
      <c r="E202" s="17" t="s">
        <v>289</v>
      </c>
      <c r="F202" s="17"/>
      <c r="G202" s="17" t="str">
        <f>REPT("  ",Aop_Bank[[#This Row],[Aop_Level]])&amp;IF(Jezik=2,Aop_Bank[[#This Row],[Item_en]],Aop_Bank[[#This Row],[Item_sr]])</f>
        <v xml:space="preserve">  Ž. GUBITAK PO OSNOVU PROMJENE VRIJEDNOSTI IMOVINE I OBAVEZA (284-278)</v>
      </c>
      <c r="H202" s="17" t="str">
        <f>Aop_Bank[[#This Row],[AOP_Text]]&amp;" - "&amp;TRIM(Aop_Bank[[#This Row],[Balance]])</f>
        <v>291 - Ž. GUBITAK PO OSNOVU PROMJENE VRIJEDNOSTI IMOVINE I OBAVEZA (284-278)</v>
      </c>
    </row>
    <row r="203" spans="1:8" x14ac:dyDescent="0.25">
      <c r="A203" s="25">
        <f t="shared" si="3"/>
        <v>202</v>
      </c>
      <c r="B203" s="26">
        <v>1</v>
      </c>
      <c r="C203" s="17" t="str">
        <f>IF(Aop_Bank[[#This Row],[AOP]]="","",TEXT(Aop_Bank[[#This Row],[AOP]],"000"))</f>
        <v/>
      </c>
      <c r="D203" s="17"/>
      <c r="E203" s="17" t="s">
        <v>290</v>
      </c>
      <c r="F203" s="17"/>
      <c r="G203" s="17" t="str">
        <f>REPT("  ",Aop_Bank[[#This Row],[Aop_Level]])&amp;IF(Jezik=2,Aop_Bank[[#This Row],[Item_en]],Aop_Bank[[#This Row],[Item_sr]])</f>
        <v xml:space="preserve">  I. DOBITAK I GUBITAK PRIJE OPOREZIVANJA</v>
      </c>
      <c r="H203" s="17" t="str">
        <f>Aop_Bank[[#This Row],[AOP_Text]]&amp;" - "&amp;TRIM(Aop_Bank[[#This Row],[Balance]])</f>
        <v xml:space="preserve"> - I. DOBITAK I GUBITAK PRIJE OPOREZIVANJA</v>
      </c>
    </row>
    <row r="204" spans="1:8" x14ac:dyDescent="0.25">
      <c r="A204" s="25">
        <f t="shared" si="3"/>
        <v>203</v>
      </c>
      <c r="B204" s="26">
        <v>2</v>
      </c>
      <c r="C204" s="17" t="str">
        <f>IF(Aop_Bank[[#This Row],[AOP]]="","",TEXT(Aop_Bank[[#This Row],[AOP]],"000"))</f>
        <v>292</v>
      </c>
      <c r="D204" s="17">
        <v>292</v>
      </c>
      <c r="E204" s="17" t="s">
        <v>343</v>
      </c>
      <c r="F204" s="17"/>
      <c r="G204" s="17" t="str">
        <f>REPT("  ",Aop_Bank[[#This Row],[Aop_Level]])&amp;IF(Jezik=2,Aop_Bank[[#This Row],[Item_en]],Aop_Bank[[#This Row],[Item_sr]])</f>
        <v xml:space="preserve">    1. Dobitak prije oporezivanja (276+290–277–291)</v>
      </c>
      <c r="H204" s="17" t="str">
        <f>Aop_Bank[[#This Row],[AOP_Text]]&amp;" - "&amp;TRIM(Aop_Bank[[#This Row],[Balance]])</f>
        <v>292 - 1. Dobitak prije oporezivanja (276+290–277–291)</v>
      </c>
    </row>
    <row r="205" spans="1:8" x14ac:dyDescent="0.25">
      <c r="A205" s="25">
        <f t="shared" si="3"/>
        <v>204</v>
      </c>
      <c r="B205" s="26">
        <v>2</v>
      </c>
      <c r="C205" s="17" t="str">
        <f>IF(Aop_Bank[[#This Row],[AOP]]="","",TEXT(Aop_Bank[[#This Row],[AOP]],"000"))</f>
        <v>293</v>
      </c>
      <c r="D205" s="17">
        <v>293</v>
      </c>
      <c r="E205" s="17" t="s">
        <v>291</v>
      </c>
      <c r="F205" s="17"/>
      <c r="G205" s="17" t="str">
        <f>REPT("  ",Aop_Bank[[#This Row],[Aop_Level]])&amp;IF(Jezik=2,Aop_Bank[[#This Row],[Item_en]],Aop_Bank[[#This Row],[Item_sr]])</f>
        <v xml:space="preserve">    2. Gubitak prije oporezivanja (277+291–276–290)</v>
      </c>
      <c r="H205" s="17" t="str">
        <f>Aop_Bank[[#This Row],[AOP_Text]]&amp;" - "&amp;TRIM(Aop_Bank[[#This Row],[Balance]])</f>
        <v>293 - 2. Gubitak prije oporezivanja (277+291–276–290)</v>
      </c>
    </row>
    <row r="206" spans="1:8" x14ac:dyDescent="0.25">
      <c r="A206" s="25">
        <f t="shared" si="3"/>
        <v>205</v>
      </c>
      <c r="B206" s="26">
        <v>1</v>
      </c>
      <c r="C206" s="17" t="str">
        <f>IF(Aop_Bank[[#This Row],[AOP]]="","",TEXT(Aop_Bank[[#This Row],[AOP]],"000"))</f>
        <v/>
      </c>
      <c r="D206" s="17"/>
      <c r="E206" s="17" t="s">
        <v>344</v>
      </c>
      <c r="F206" s="17"/>
      <c r="G206" s="17" t="str">
        <f>REPT("  ",Aop_Bank[[#This Row],[Aop_Level]])&amp;IF(Jezik=2,Aop_Bank[[#This Row],[Item_en]],Aop_Bank[[#This Row],[Item_sr]])</f>
        <v xml:space="preserve">  J. TEKUĆI I ODLOŽENI POREZ NA DOBIT</v>
      </c>
      <c r="H206" s="17" t="str">
        <f>Aop_Bank[[#This Row],[AOP_Text]]&amp;" - "&amp;TRIM(Aop_Bank[[#This Row],[Balance]])</f>
        <v xml:space="preserve"> - J. TEKUĆI I ODLOŽENI POREZ NA DOBIT</v>
      </c>
    </row>
    <row r="207" spans="1:8" x14ac:dyDescent="0.25">
      <c r="A207" s="25">
        <f t="shared" si="3"/>
        <v>206</v>
      </c>
      <c r="B207" s="26">
        <v>2</v>
      </c>
      <c r="C207" s="17" t="str">
        <f>IF(Aop_Bank[[#This Row],[AOP]]="","",TEXT(Aop_Bank[[#This Row],[AOP]],"000"))</f>
        <v>294</v>
      </c>
      <c r="D207" s="17">
        <v>294</v>
      </c>
      <c r="E207" s="17" t="s">
        <v>292</v>
      </c>
      <c r="F207" s="17"/>
      <c r="G207" s="17" t="str">
        <f>REPT("  ",Aop_Bank[[#This Row],[Aop_Level]])&amp;IF(Jezik=2,Aop_Bank[[#This Row],[Item_en]],Aop_Bank[[#This Row],[Item_sr]])</f>
        <v xml:space="preserve">    1. Porez na dobit</v>
      </c>
      <c r="H207" s="17" t="str">
        <f>Aop_Bank[[#This Row],[AOP_Text]]&amp;" - "&amp;TRIM(Aop_Bank[[#This Row],[Balance]])</f>
        <v>294 - 1. Porez na dobit</v>
      </c>
    </row>
    <row r="208" spans="1:8" x14ac:dyDescent="0.25">
      <c r="A208" s="25">
        <f t="shared" si="3"/>
        <v>207</v>
      </c>
      <c r="B208" s="26">
        <v>2</v>
      </c>
      <c r="C208" s="17" t="str">
        <f>IF(Aop_Bank[[#This Row],[AOP]]="","",TEXT(Aop_Bank[[#This Row],[AOP]],"000"))</f>
        <v>295</v>
      </c>
      <c r="D208" s="17">
        <v>295</v>
      </c>
      <c r="E208" s="17" t="s">
        <v>293</v>
      </c>
      <c r="F208" s="17"/>
      <c r="G208" s="17" t="str">
        <f>REPT("  ",Aop_Bank[[#This Row],[Aop_Level]])&amp;IF(Jezik=2,Aop_Bank[[#This Row],[Item_en]],Aop_Bank[[#This Row],[Item_sr]])</f>
        <v xml:space="preserve">    2. Dobitak po osnovu povećanja odloženih poreskih sredstava i smanjenja odloženih poreskih obaveza</v>
      </c>
      <c r="H208" s="17" t="str">
        <f>Aop_Bank[[#This Row],[AOP_Text]]&amp;" - "&amp;TRIM(Aop_Bank[[#This Row],[Balance]])</f>
        <v>295 - 2. Dobitak po osnovu povećanja odloženih poreskih sredstava i smanjenja odloženih poreskih obaveza</v>
      </c>
    </row>
    <row r="209" spans="1:8" x14ac:dyDescent="0.25">
      <c r="A209" s="25">
        <f t="shared" si="3"/>
        <v>208</v>
      </c>
      <c r="B209" s="26">
        <v>2</v>
      </c>
      <c r="C209" s="17" t="str">
        <f>IF(Aop_Bank[[#This Row],[AOP]]="","",TEXT(Aop_Bank[[#This Row],[AOP]],"000"))</f>
        <v>296</v>
      </c>
      <c r="D209" s="17">
        <v>296</v>
      </c>
      <c r="E209" s="17" t="s">
        <v>294</v>
      </c>
      <c r="F209" s="17"/>
      <c r="G209" s="17" t="str">
        <f>REPT("  ",Aop_Bank[[#This Row],[Aop_Level]])&amp;IF(Jezik=2,Aop_Bank[[#This Row],[Item_en]],Aop_Bank[[#This Row],[Item_sr]])</f>
        <v xml:space="preserve">    3. Gubitak po osnovu smanjenja odloženih poreskih sredstava i povećanja odloženih poreskih obaveza</v>
      </c>
      <c r="H209" s="17" t="str">
        <f>Aop_Bank[[#This Row],[AOP_Text]]&amp;" - "&amp;TRIM(Aop_Bank[[#This Row],[Balance]])</f>
        <v>296 - 3. Gubitak po osnovu smanjenja odloženih poreskih sredstava i povećanja odloženih poreskih obaveza</v>
      </c>
    </row>
    <row r="210" spans="1:8" x14ac:dyDescent="0.25">
      <c r="A210" s="25">
        <f t="shared" si="3"/>
        <v>209</v>
      </c>
      <c r="B210" s="26">
        <v>1</v>
      </c>
      <c r="C210" s="17" t="str">
        <f>IF(Aop_Bank[[#This Row],[AOP]]="","",TEXT(Aop_Bank[[#This Row],[AOP]],"000"))</f>
        <v/>
      </c>
      <c r="D210" s="17"/>
      <c r="E210" s="17" t="s">
        <v>345</v>
      </c>
      <c r="F210" s="17"/>
      <c r="G210" s="17" t="str">
        <f>REPT("  ",Aop_Bank[[#This Row],[Aop_Level]])&amp;IF(Jezik=2,Aop_Bank[[#This Row],[Item_en]],Aop_Bank[[#This Row],[Item_sr]])</f>
        <v xml:space="preserve">  K. NETO DOBITAK I GUBITAK</v>
      </c>
      <c r="H210" s="17" t="str">
        <f>Aop_Bank[[#This Row],[AOP_Text]]&amp;" - "&amp;TRIM(Aop_Bank[[#This Row],[Balance]])</f>
        <v xml:space="preserve"> - K. NETO DOBITAK I GUBITAK</v>
      </c>
    </row>
    <row r="211" spans="1:8" x14ac:dyDescent="0.25">
      <c r="A211" s="25">
        <f t="shared" si="3"/>
        <v>210</v>
      </c>
      <c r="B211" s="26">
        <v>2</v>
      </c>
      <c r="C211" s="17" t="str">
        <f>IF(Aop_Bank[[#This Row],[AOP]]="","",TEXT(Aop_Bank[[#This Row],[AOP]],"000"))</f>
        <v>297</v>
      </c>
      <c r="D211" s="17">
        <v>297</v>
      </c>
      <c r="E211" s="17" t="s">
        <v>295</v>
      </c>
      <c r="F211" s="17"/>
      <c r="G211" s="17" t="str">
        <f>REPT("  ",Aop_Bank[[#This Row],[Aop_Level]])&amp;IF(Jezik=2,Aop_Bank[[#This Row],[Item_en]],Aop_Bank[[#This Row],[Item_sr]])</f>
        <v xml:space="preserve">    1. Neto dobitak tekuće godine (292+295–294–296) ili (295–293–294–296)</v>
      </c>
      <c r="H211" s="17" t="str">
        <f>Aop_Bank[[#This Row],[AOP_Text]]&amp;" - "&amp;TRIM(Aop_Bank[[#This Row],[Balance]])</f>
        <v>297 - 1. Neto dobitak tekuće godine (292+295–294–296) ili (295–293–294–296)</v>
      </c>
    </row>
    <row r="212" spans="1:8" x14ac:dyDescent="0.25">
      <c r="A212" s="25">
        <f t="shared" si="3"/>
        <v>211</v>
      </c>
      <c r="B212" s="26">
        <v>2</v>
      </c>
      <c r="C212" s="17" t="str">
        <f>IF(Aop_Bank[[#This Row],[AOP]]="","",TEXT(Aop_Bank[[#This Row],[AOP]],"000"))</f>
        <v>298</v>
      </c>
      <c r="D212" s="17">
        <v>298</v>
      </c>
      <c r="E212" s="17" t="s">
        <v>296</v>
      </c>
      <c r="F212" s="17"/>
      <c r="G212" s="17" t="str">
        <f>REPT("  ",Aop_Bank[[#This Row],[Aop_Level]])&amp;IF(Jezik=2,Aop_Bank[[#This Row],[Item_en]],Aop_Bank[[#This Row],[Item_sr]])</f>
        <v xml:space="preserve">    2. Neto gubitak tekuće godine (293+294+296–295) ili (294+296–292–295)</v>
      </c>
      <c r="H212" s="17" t="str">
        <f>Aop_Bank[[#This Row],[AOP_Text]]&amp;" - "&amp;TRIM(Aop_Bank[[#This Row],[Balance]])</f>
        <v>298 - 2. Neto gubitak tekuće godine (293+294+296–295) ili (294+296–292–295)</v>
      </c>
    </row>
    <row r="213" spans="1:8" x14ac:dyDescent="0.25">
      <c r="A213" s="25">
        <f t="shared" si="3"/>
        <v>212</v>
      </c>
      <c r="B213" s="26">
        <v>1</v>
      </c>
      <c r="C213" s="17" t="str">
        <f>IF(Aop_Bank[[#This Row],[AOP]]="","",TEXT(Aop_Bank[[#This Row],[AOP]],"000"))</f>
        <v/>
      </c>
      <c r="D213" s="17"/>
      <c r="E213" s="17" t="s">
        <v>297</v>
      </c>
      <c r="F213" s="17"/>
      <c r="G213" s="17" t="str">
        <f>REPT("  ",Aop_Bank[[#This Row],[Aop_Level]])&amp;IF(Jezik=2,Aop_Bank[[#This Row],[Item_en]],Aop_Bank[[#This Row],[Item_sr]])</f>
        <v xml:space="preserve">  L. OSTALI DOBICI I GUBICI U PERIODU</v>
      </c>
      <c r="H213" s="17" t="str">
        <f>Aop_Bank[[#This Row],[AOP_Text]]&amp;" - "&amp;TRIM(Aop_Bank[[#This Row],[Balance]])</f>
        <v xml:space="preserve"> - L. OSTALI DOBICI I GUBICI U PERIODU</v>
      </c>
    </row>
    <row r="214" spans="1:8" x14ac:dyDescent="0.25">
      <c r="A214" s="25">
        <f t="shared" si="3"/>
        <v>213</v>
      </c>
      <c r="B214" s="26">
        <v>2</v>
      </c>
      <c r="C214" s="17" t="str">
        <f>IF(Aop_Bank[[#This Row],[AOP]]="","",TEXT(Aop_Bank[[#This Row],[AOP]],"000"))</f>
        <v>299</v>
      </c>
      <c r="D214" s="17">
        <v>299</v>
      </c>
      <c r="E214" s="17" t="s">
        <v>298</v>
      </c>
      <c r="F214" s="17"/>
      <c r="G214" s="17" t="str">
        <f>REPT("  ",Aop_Bank[[#This Row],[Aop_Level]])&amp;IF(Jezik=2,Aop_Bank[[#This Row],[Item_en]],Aop_Bank[[#This Row],[Item_sr]])</f>
        <v xml:space="preserve">    1. Dobici utvrđeni direktno u kapitalu (300 do 305)</v>
      </c>
      <c r="H214" s="17" t="str">
        <f>Aop_Bank[[#This Row],[AOP_Text]]&amp;" - "&amp;TRIM(Aop_Bank[[#This Row],[Balance]])</f>
        <v>299 - 1. Dobici utvrđeni direktno u kapitalu (300 do 305)</v>
      </c>
    </row>
    <row r="215" spans="1:8" x14ac:dyDescent="0.25">
      <c r="A215" s="25">
        <f t="shared" si="3"/>
        <v>214</v>
      </c>
      <c r="B215" s="26">
        <v>3</v>
      </c>
      <c r="C215" s="17" t="str">
        <f>IF(Aop_Bank[[#This Row],[AOP]]="","",TEXT(Aop_Bank[[#This Row],[AOP]],"000"))</f>
        <v>300</v>
      </c>
      <c r="D215" s="17">
        <v>300</v>
      </c>
      <c r="E215" s="17" t="s">
        <v>299</v>
      </c>
      <c r="F215" s="17"/>
      <c r="G215" s="17" t="str">
        <f>REPT("  ",Aop_Bank[[#This Row],[Aop_Level]])&amp;IF(Jezik=2,Aop_Bank[[#This Row],[Item_en]],Aop_Bank[[#This Row],[Item_sr]])</f>
        <v xml:space="preserve">      a) Dobici po osnovu smanjenja revalorizacionih rezervi na osnovnim sredstvima i nematerijalnim ulaganjima</v>
      </c>
      <c r="H215" s="17" t="str">
        <f>Aop_Bank[[#This Row],[AOP_Text]]&amp;" - "&amp;TRIM(Aop_Bank[[#This Row],[Balance]])</f>
        <v>300 - a) Dobici po osnovu smanjenja revalorizacionih rezervi na osnovnim sredstvima i nematerijalnim ulaganjima</v>
      </c>
    </row>
    <row r="216" spans="1:8" x14ac:dyDescent="0.25">
      <c r="A216" s="25">
        <f t="shared" si="3"/>
        <v>215</v>
      </c>
      <c r="B216" s="26">
        <v>3</v>
      </c>
      <c r="C216" s="17" t="str">
        <f>IF(Aop_Bank[[#This Row],[AOP]]="","",TEXT(Aop_Bank[[#This Row],[AOP]],"000"))</f>
        <v>301</v>
      </c>
      <c r="D216" s="17">
        <v>301</v>
      </c>
      <c r="E216" s="17" t="s">
        <v>300</v>
      </c>
      <c r="F216" s="17"/>
      <c r="G216" s="17" t="str">
        <f>REPT("  ",Aop_Bank[[#This Row],[Aop_Level]])&amp;IF(Jezik=2,Aop_Bank[[#This Row],[Item_en]],Aop_Bank[[#This Row],[Item_sr]])</f>
        <v xml:space="preserve">      b) Dobici po osnovu promjene fer vrijednosti HOV raspoloživih za prodaju</v>
      </c>
      <c r="H216" s="17" t="str">
        <f>Aop_Bank[[#This Row],[AOP_Text]]&amp;" - "&amp;TRIM(Aop_Bank[[#This Row],[Balance]])</f>
        <v>301 - b) Dobici po osnovu promjene fer vrijednosti HOV raspoloživih za prodaju</v>
      </c>
    </row>
    <row r="217" spans="1:8" x14ac:dyDescent="0.25">
      <c r="A217" s="25">
        <f t="shared" si="3"/>
        <v>216</v>
      </c>
      <c r="B217" s="26">
        <v>3</v>
      </c>
      <c r="C217" s="17" t="str">
        <f>IF(Aop_Bank[[#This Row],[AOP]]="","",TEXT(Aop_Bank[[#This Row],[AOP]],"000"))</f>
        <v>302</v>
      </c>
      <c r="D217" s="17">
        <v>302</v>
      </c>
      <c r="E217" s="17" t="s">
        <v>301</v>
      </c>
      <c r="F217" s="17"/>
      <c r="G217" s="17" t="str">
        <f>REPT("  ",Aop_Bank[[#This Row],[Aop_Level]])&amp;IF(Jezik=2,Aop_Bank[[#This Row],[Item_en]],Aop_Bank[[#This Row],[Item_sr]])</f>
        <v xml:space="preserve">      v) Dobici po osnovu prevođenja finansijskih izvještaja inostranog poslovanja</v>
      </c>
      <c r="H217" s="17" t="str">
        <f>Aop_Bank[[#This Row],[AOP_Text]]&amp;" - "&amp;TRIM(Aop_Bank[[#This Row],[Balance]])</f>
        <v>302 - v) Dobici po osnovu prevođenja finansijskih izvještaja inostranog poslovanja</v>
      </c>
    </row>
    <row r="218" spans="1:8" x14ac:dyDescent="0.25">
      <c r="A218" s="25">
        <f t="shared" si="3"/>
        <v>217</v>
      </c>
      <c r="B218" s="26">
        <v>3</v>
      </c>
      <c r="C218" s="17" t="str">
        <f>IF(Aop_Bank[[#This Row],[AOP]]="","",TEXT(Aop_Bank[[#This Row],[AOP]],"000"))</f>
        <v>303</v>
      </c>
      <c r="D218" s="17">
        <v>303</v>
      </c>
      <c r="E218" s="17" t="s">
        <v>302</v>
      </c>
      <c r="F218" s="17"/>
      <c r="G218" s="17" t="str">
        <f>REPT("  ",Aop_Bank[[#This Row],[Aop_Level]])&amp;IF(Jezik=2,Aop_Bank[[#This Row],[Item_en]],Aop_Bank[[#This Row],[Item_sr]])</f>
        <v xml:space="preserve">      g) Aktuarski dobici od planova definisanih primanja</v>
      </c>
      <c r="H218" s="17" t="str">
        <f>Aop_Bank[[#This Row],[AOP_Text]]&amp;" - "&amp;TRIM(Aop_Bank[[#This Row],[Balance]])</f>
        <v>303 - g) Aktuarski dobici od planova definisanih primanja</v>
      </c>
    </row>
    <row r="219" spans="1:8" x14ac:dyDescent="0.25">
      <c r="A219" s="25">
        <f t="shared" si="3"/>
        <v>218</v>
      </c>
      <c r="B219" s="26">
        <v>3</v>
      </c>
      <c r="C219" s="17" t="str">
        <f>IF(Aop_Bank[[#This Row],[AOP]]="","",TEXT(Aop_Bank[[#This Row],[AOP]],"000"))</f>
        <v>304</v>
      </c>
      <c r="D219" s="17">
        <v>304</v>
      </c>
      <c r="E219" s="17" t="s">
        <v>346</v>
      </c>
      <c r="F219" s="17"/>
      <c r="G219" s="17" t="str">
        <f>REPT("  ",Aop_Bank[[#This Row],[Aop_Level]])&amp;IF(Jezik=2,Aop_Bank[[#This Row],[Item_en]],Aop_Bank[[#This Row],[Item_sr]])</f>
        <v xml:space="preserve">      d) Efektivni dio dobitaka po osnovu zaštite od rizika gotovinskih tokova</v>
      </c>
      <c r="H219" s="17" t="str">
        <f>Aop_Bank[[#This Row],[AOP_Text]]&amp;" - "&amp;TRIM(Aop_Bank[[#This Row],[Balance]])</f>
        <v>304 - d) Efektivni dio dobitaka po osnovu zaštite od rizika gotovinskih tokova</v>
      </c>
    </row>
    <row r="220" spans="1:8" x14ac:dyDescent="0.25">
      <c r="A220" s="25">
        <f t="shared" si="3"/>
        <v>219</v>
      </c>
      <c r="B220" s="26">
        <v>3</v>
      </c>
      <c r="C220" s="17" t="str">
        <f>IF(Aop_Bank[[#This Row],[AOP]]="","",TEXT(Aop_Bank[[#This Row],[AOP]],"000"))</f>
        <v>305</v>
      </c>
      <c r="D220" s="17">
        <v>305</v>
      </c>
      <c r="E220" s="17" t="s">
        <v>303</v>
      </c>
      <c r="F220" s="17"/>
      <c r="G220" s="17" t="str">
        <f>REPT("  ",Aop_Bank[[#This Row],[Aop_Level]])&amp;IF(Jezik=2,Aop_Bank[[#This Row],[Item_en]],Aop_Bank[[#This Row],[Item_sr]])</f>
        <v xml:space="preserve">      đ) Ostali dobici utvrđeni direktno u kapitalu</v>
      </c>
      <c r="H220" s="17" t="str">
        <f>Aop_Bank[[#This Row],[AOP_Text]]&amp;" - "&amp;TRIM(Aop_Bank[[#This Row],[Balance]])</f>
        <v>305 - đ) Ostali dobici utvrđeni direktno u kapitalu</v>
      </c>
    </row>
    <row r="221" spans="1:8" x14ac:dyDescent="0.25">
      <c r="A221" s="25">
        <f t="shared" si="3"/>
        <v>220</v>
      </c>
      <c r="B221" s="26">
        <v>2</v>
      </c>
      <c r="C221" s="17" t="str">
        <f>IF(Aop_Bank[[#This Row],[AOP]]="","",TEXT(Aop_Bank[[#This Row],[AOP]],"000"))</f>
        <v>306</v>
      </c>
      <c r="D221" s="17">
        <v>306</v>
      </c>
      <c r="E221" s="17" t="s">
        <v>304</v>
      </c>
      <c r="F221" s="17"/>
      <c r="G221" s="17" t="str">
        <f>REPT("  ",Aop_Bank[[#This Row],[Aop_Level]])&amp;IF(Jezik=2,Aop_Bank[[#This Row],[Item_en]],Aop_Bank[[#This Row],[Item_sr]])</f>
        <v xml:space="preserve">    2. Gubici utvrđeni direktno u kapitalu (307 do 311)</v>
      </c>
      <c r="H221" s="17" t="str">
        <f>Aop_Bank[[#This Row],[AOP_Text]]&amp;" - "&amp;TRIM(Aop_Bank[[#This Row],[Balance]])</f>
        <v>306 - 2. Gubici utvrđeni direktno u kapitalu (307 do 311)</v>
      </c>
    </row>
    <row r="222" spans="1:8" x14ac:dyDescent="0.25">
      <c r="A222" s="25">
        <f t="shared" si="3"/>
        <v>221</v>
      </c>
      <c r="B222" s="26">
        <v>3</v>
      </c>
      <c r="C222" s="17" t="str">
        <f>IF(Aop_Bank[[#This Row],[AOP]]="","",TEXT(Aop_Bank[[#This Row],[AOP]],"000"))</f>
        <v>307</v>
      </c>
      <c r="D222" s="17">
        <v>307</v>
      </c>
      <c r="E222" s="17" t="s">
        <v>305</v>
      </c>
      <c r="F222" s="17"/>
      <c r="G222" s="17" t="str">
        <f>REPT("  ",Aop_Bank[[#This Row],[Aop_Level]])&amp;IF(Jezik=2,Aop_Bank[[#This Row],[Item_en]],Aop_Bank[[#This Row],[Item_sr]])</f>
        <v xml:space="preserve">      a) Gubici po osnovu promjene fer vrijednosti HOV raspoloživih za prodaju</v>
      </c>
      <c r="H222" s="17" t="str">
        <f>Aop_Bank[[#This Row],[AOP_Text]]&amp;" - "&amp;TRIM(Aop_Bank[[#This Row],[Balance]])</f>
        <v>307 - a) Gubici po osnovu promjene fer vrijednosti HOV raspoloživih za prodaju</v>
      </c>
    </row>
    <row r="223" spans="1:8" x14ac:dyDescent="0.25">
      <c r="A223" s="25">
        <f t="shared" si="3"/>
        <v>222</v>
      </c>
      <c r="B223" s="26">
        <v>3</v>
      </c>
      <c r="C223" s="17" t="str">
        <f>IF(Aop_Bank[[#This Row],[AOP]]="","",TEXT(Aop_Bank[[#This Row],[AOP]],"000"))</f>
        <v>308</v>
      </c>
      <c r="D223" s="17">
        <v>308</v>
      </c>
      <c r="E223" s="17" t="s">
        <v>306</v>
      </c>
      <c r="F223" s="17"/>
      <c r="G223" s="17" t="str">
        <f>REPT("  ",Aop_Bank[[#This Row],[Aop_Level]])&amp;IF(Jezik=2,Aop_Bank[[#This Row],[Item_en]],Aop_Bank[[#This Row],[Item_sr]])</f>
        <v xml:space="preserve">      b) Gubici po osnovu prevođenja finansijskih izvještaja inostranog poslovanja</v>
      </c>
      <c r="H223" s="17" t="str">
        <f>Aop_Bank[[#This Row],[AOP_Text]]&amp;" - "&amp;TRIM(Aop_Bank[[#This Row],[Balance]])</f>
        <v>308 - b) Gubici po osnovu prevođenja finansijskih izvještaja inostranog poslovanja</v>
      </c>
    </row>
    <row r="224" spans="1:8" x14ac:dyDescent="0.25">
      <c r="A224" s="25">
        <f t="shared" si="3"/>
        <v>223</v>
      </c>
      <c r="B224" s="26">
        <v>3</v>
      </c>
      <c r="C224" s="17" t="str">
        <f>IF(Aop_Bank[[#This Row],[AOP]]="","",TEXT(Aop_Bank[[#This Row],[AOP]],"000"))</f>
        <v>309</v>
      </c>
      <c r="D224" s="17">
        <v>309</v>
      </c>
      <c r="E224" s="17" t="s">
        <v>307</v>
      </c>
      <c r="F224" s="17"/>
      <c r="G224" s="17" t="str">
        <f>REPT("  ",Aop_Bank[[#This Row],[Aop_Level]])&amp;IF(Jezik=2,Aop_Bank[[#This Row],[Item_en]],Aop_Bank[[#This Row],[Item_sr]])</f>
        <v xml:space="preserve">      v) Aktuarski gubici od planova definisanih primanja</v>
      </c>
      <c r="H224" s="17" t="str">
        <f>Aop_Bank[[#This Row],[AOP_Text]]&amp;" - "&amp;TRIM(Aop_Bank[[#This Row],[Balance]])</f>
        <v>309 - v) Aktuarski gubici od planova definisanih primanja</v>
      </c>
    </row>
    <row r="225" spans="1:8" x14ac:dyDescent="0.25">
      <c r="A225" s="25">
        <f t="shared" si="3"/>
        <v>224</v>
      </c>
      <c r="B225" s="26">
        <v>3</v>
      </c>
      <c r="C225" s="17" t="str">
        <f>IF(Aop_Bank[[#This Row],[AOP]]="","",TEXT(Aop_Bank[[#This Row],[AOP]],"000"))</f>
        <v>310</v>
      </c>
      <c r="D225" s="17">
        <v>310</v>
      </c>
      <c r="E225" s="17" t="s">
        <v>347</v>
      </c>
      <c r="F225" s="17"/>
      <c r="G225" s="17" t="str">
        <f>REPT("  ",Aop_Bank[[#This Row],[Aop_Level]])&amp;IF(Jezik=2,Aop_Bank[[#This Row],[Item_en]],Aop_Bank[[#This Row],[Item_sr]])</f>
        <v xml:space="preserve">      g) Efektivni dio gubitaka po osnovu zaštite od rizika gotovinskih tokova</v>
      </c>
      <c r="H225" s="17" t="str">
        <f>Aop_Bank[[#This Row],[AOP_Text]]&amp;" - "&amp;TRIM(Aop_Bank[[#This Row],[Balance]])</f>
        <v>310 - g) Efektivni dio gubitaka po osnovu zaštite od rizika gotovinskih tokova</v>
      </c>
    </row>
    <row r="226" spans="1:8" x14ac:dyDescent="0.25">
      <c r="A226" s="25">
        <f t="shared" si="3"/>
        <v>225</v>
      </c>
      <c r="B226" s="26">
        <v>3</v>
      </c>
      <c r="C226" s="17" t="str">
        <f>IF(Aop_Bank[[#This Row],[AOP]]="","",TEXT(Aop_Bank[[#This Row],[AOP]],"000"))</f>
        <v>311</v>
      </c>
      <c r="D226" s="17">
        <v>311</v>
      </c>
      <c r="E226" s="17" t="s">
        <v>308</v>
      </c>
      <c r="F226" s="17"/>
      <c r="G226" s="17" t="str">
        <f>REPT("  ",Aop_Bank[[#This Row],[Aop_Level]])&amp;IF(Jezik=2,Aop_Bank[[#This Row],[Item_en]],Aop_Bank[[#This Row],[Item_sr]])</f>
        <v xml:space="preserve">      d) Ostali gubici utvrđeni direktno u kapitalu</v>
      </c>
      <c r="H226" s="17" t="str">
        <f>Aop_Bank[[#This Row],[AOP_Text]]&amp;" - "&amp;TRIM(Aop_Bank[[#This Row],[Balance]])</f>
        <v>311 - d) Ostali gubici utvrđeni direktno u kapitalu</v>
      </c>
    </row>
    <row r="227" spans="1:8" x14ac:dyDescent="0.25">
      <c r="A227" s="25">
        <f t="shared" si="3"/>
        <v>226</v>
      </c>
      <c r="B227" s="26">
        <v>1</v>
      </c>
      <c r="C227" s="17" t="str">
        <f>IF(Aop_Bank[[#This Row],[AOP]]="","",TEXT(Aop_Bank[[#This Row],[AOP]],"000"))</f>
        <v>312</v>
      </c>
      <c r="D227" s="17">
        <v>312</v>
      </c>
      <c r="E227" s="17" t="s">
        <v>348</v>
      </c>
      <c r="F227" s="17"/>
      <c r="G227" s="17" t="str">
        <f>REPT("  ",Aop_Bank[[#This Row],[Aop_Level]])&amp;IF(Jezik=2,Aop_Bank[[#This Row],[Item_en]],Aop_Bank[[#This Row],[Item_sr]])</f>
        <v xml:space="preserve">  LJ. NETO DOBICI ILI NETO GUBICI PO OSNOVU OSTALOG UKUPNOG REZULTATA U PERIODU (299 – 306) ili (306 – 299)</v>
      </c>
      <c r="H227" s="17" t="str">
        <f>Aop_Bank[[#This Row],[AOP_Text]]&amp;" - "&amp;TRIM(Aop_Bank[[#This Row],[Balance]])</f>
        <v>312 - LJ. NETO DOBICI ILI NETO GUBICI PO OSNOVU OSTALOG UKUPNOG REZULTATA U PERIODU (299 – 306) ili (306 – 299)</v>
      </c>
    </row>
    <row r="228" spans="1:8" x14ac:dyDescent="0.25">
      <c r="A228" s="25">
        <f t="shared" si="3"/>
        <v>227</v>
      </c>
      <c r="B228" s="26">
        <v>1</v>
      </c>
      <c r="C228" s="17" t="str">
        <f>IF(Aop_Bank[[#This Row],[AOP]]="","",TEXT(Aop_Bank[[#This Row],[AOP]],"000"))</f>
        <v>313</v>
      </c>
      <c r="D228" s="17">
        <v>313</v>
      </c>
      <c r="E228" s="17" t="s">
        <v>349</v>
      </c>
      <c r="F228" s="17"/>
      <c r="G228" s="17" t="str">
        <f>REPT("  ",Aop_Bank[[#This Row],[Aop_Level]])&amp;IF(Jezik=2,Aop_Bank[[#This Row],[Item_en]],Aop_Bank[[#This Row],[Item_sr]])</f>
        <v xml:space="preserve">  N. POREZ NA DOBIT KOJI SE ODNOSI NA OSTALI UKUPAN REZULTAT</v>
      </c>
      <c r="H228" s="17" t="str">
        <f>Aop_Bank[[#This Row],[AOP_Text]]&amp;" - "&amp;TRIM(Aop_Bank[[#This Row],[Balance]])</f>
        <v>313 - N. POREZ NA DOBIT KOJI SE ODNOSI NA OSTALI UKUPAN REZULTAT</v>
      </c>
    </row>
    <row r="229" spans="1:8" x14ac:dyDescent="0.25">
      <c r="A229" s="25">
        <f t="shared" si="3"/>
        <v>228</v>
      </c>
      <c r="B229" s="26">
        <v>1</v>
      </c>
      <c r="C229" s="17" t="str">
        <f>IF(Aop_Bank[[#This Row],[AOP]]="","",TEXT(Aop_Bank[[#This Row],[AOP]],"000"))</f>
        <v>314</v>
      </c>
      <c r="D229" s="17">
        <v>314</v>
      </c>
      <c r="E229" s="17" t="s">
        <v>309</v>
      </c>
      <c r="F229" s="17"/>
      <c r="G229" s="17" t="str">
        <f>REPT("  ",Aop_Bank[[#This Row],[Aop_Level]])&amp;IF(Jezik=2,Aop_Bank[[#This Row],[Item_en]],Aop_Bank[[#This Row],[Item_sr]])</f>
        <v xml:space="preserve">  NJ. OSTALI UKUPAN REZULTAT U PERIODU (312 ± 313)</v>
      </c>
      <c r="H229" s="17" t="str">
        <f>Aop_Bank[[#This Row],[AOP_Text]]&amp;" - "&amp;TRIM(Aop_Bank[[#This Row],[Balance]])</f>
        <v>314 - NJ. OSTALI UKUPAN REZULTAT U PERIODU (312 ± 313)</v>
      </c>
    </row>
    <row r="230" spans="1:8" x14ac:dyDescent="0.25">
      <c r="A230" s="25">
        <f t="shared" si="3"/>
        <v>229</v>
      </c>
      <c r="B230" s="26">
        <v>1</v>
      </c>
      <c r="C230" s="17" t="str">
        <f>IF(Aop_Bank[[#This Row],[AOP]]="","",TEXT(Aop_Bank[[#This Row],[AOP]],"000"))</f>
        <v/>
      </c>
      <c r="D230" s="17"/>
      <c r="E230" s="17" t="s">
        <v>310</v>
      </c>
      <c r="F230" s="17"/>
      <c r="G230" s="17" t="str">
        <f>REPT("  ",Aop_Bank[[#This Row],[Aop_Level]])&amp;IF(Jezik=2,Aop_Bank[[#This Row],[Item_en]],Aop_Bank[[#This Row],[Item_sr]])</f>
        <v xml:space="preserve">  O. UKUPAN REZULTAT ZA OBRAČUNSKI PERIOD</v>
      </c>
      <c r="H230" s="17" t="str">
        <f>Aop_Bank[[#This Row],[AOP_Text]]&amp;" - "&amp;TRIM(Aop_Bank[[#This Row],[Balance]])</f>
        <v xml:space="preserve"> - O. UKUPAN REZULTAT ZA OBRAČUNSKI PERIOD</v>
      </c>
    </row>
    <row r="231" spans="1:8" x14ac:dyDescent="0.25">
      <c r="A231" s="25">
        <f t="shared" si="3"/>
        <v>230</v>
      </c>
      <c r="B231" s="26">
        <v>2</v>
      </c>
      <c r="C231" s="17" t="str">
        <f>IF(Aop_Bank[[#This Row],[AOP]]="","",TEXT(Aop_Bank[[#This Row],[AOP]],"000"))</f>
        <v>315</v>
      </c>
      <c r="D231" s="17">
        <v>315</v>
      </c>
      <c r="E231" s="17" t="s">
        <v>311</v>
      </c>
      <c r="F231" s="17"/>
      <c r="G231" s="17" t="str">
        <f>REPT("  ",Aop_Bank[[#This Row],[Aop_Level]])&amp;IF(Jezik=2,Aop_Bank[[#This Row],[Item_en]],Aop_Bank[[#This Row],[Item_sr]])</f>
        <v xml:space="preserve">    1. Ukupan neto dobitak u obračunskom periodu (297 ± 314)</v>
      </c>
      <c r="H231" s="17" t="str">
        <f>Aop_Bank[[#This Row],[AOP_Text]]&amp;" - "&amp;TRIM(Aop_Bank[[#This Row],[Balance]])</f>
        <v>315 - 1. Ukupan neto dobitak u obračunskom periodu (297 ± 314)</v>
      </c>
    </row>
    <row r="232" spans="1:8" x14ac:dyDescent="0.25">
      <c r="A232" s="25">
        <f t="shared" si="3"/>
        <v>231</v>
      </c>
      <c r="B232" s="26">
        <v>2</v>
      </c>
      <c r="C232" s="17" t="str">
        <f>IF(Aop_Bank[[#This Row],[AOP]]="","",TEXT(Aop_Bank[[#This Row],[AOP]],"000"))</f>
        <v>316</v>
      </c>
      <c r="D232" s="17">
        <v>316</v>
      </c>
      <c r="E232" s="17" t="s">
        <v>312</v>
      </c>
      <c r="F232" s="17"/>
      <c r="G232" s="17" t="str">
        <f>REPT("  ",Aop_Bank[[#This Row],[Aop_Level]])&amp;IF(Jezik=2,Aop_Bank[[#This Row],[Item_en]],Aop_Bank[[#This Row],[Item_sr]])</f>
        <v xml:space="preserve">    2. Ukupan neto gubitak u obračunskom periodu (298 ± 314)</v>
      </c>
      <c r="H232" s="17" t="str">
        <f>Aop_Bank[[#This Row],[AOP_Text]]&amp;" - "&amp;TRIM(Aop_Bank[[#This Row],[Balance]])</f>
        <v>316 - 2. Ukupan neto gubitak u obračunskom periodu (298 ± 314)</v>
      </c>
    </row>
    <row r="233" spans="1:8" x14ac:dyDescent="0.25">
      <c r="A233" s="25">
        <f t="shared" si="3"/>
        <v>232</v>
      </c>
      <c r="B233" s="26">
        <v>3</v>
      </c>
      <c r="C233" s="17" t="str">
        <f>IF(Aop_Bank[[#This Row],[AOP]]="","",TEXT(Aop_Bank[[#This Row],[AOP]],"000"))</f>
        <v>317</v>
      </c>
      <c r="D233" s="17">
        <v>317</v>
      </c>
      <c r="E233" s="17" t="s">
        <v>313</v>
      </c>
      <c r="F233" s="17"/>
      <c r="G233" s="17" t="str">
        <f>REPT("  ",Aop_Bank[[#This Row],[Aop_Level]])&amp;IF(Jezik=2,Aop_Bank[[#This Row],[Item_en]],Aop_Bank[[#This Row],[Item_sr]])</f>
        <v xml:space="preserve">      Dio neto dobiti/gubitka koji pripada većinskim vlasnicima</v>
      </c>
      <c r="H233" s="17" t="str">
        <f>Aop_Bank[[#This Row],[AOP_Text]]&amp;" - "&amp;TRIM(Aop_Bank[[#This Row],[Balance]])</f>
        <v>317 - Dio neto dobiti/gubitka koji pripada većinskim vlasnicima</v>
      </c>
    </row>
    <row r="234" spans="1:8" x14ac:dyDescent="0.25">
      <c r="A234" s="25">
        <f t="shared" si="3"/>
        <v>233</v>
      </c>
      <c r="B234" s="26">
        <v>3</v>
      </c>
      <c r="C234" s="17" t="str">
        <f>IF(Aop_Bank[[#This Row],[AOP]]="","",TEXT(Aop_Bank[[#This Row],[AOP]],"000"))</f>
        <v>318</v>
      </c>
      <c r="D234" s="17">
        <v>318</v>
      </c>
      <c r="E234" s="17" t="s">
        <v>314</v>
      </c>
      <c r="F234" s="17"/>
      <c r="G234" s="17" t="str">
        <f>REPT("  ",Aop_Bank[[#This Row],[Aop_Level]])&amp;IF(Jezik=2,Aop_Bank[[#This Row],[Item_en]],Aop_Bank[[#This Row],[Item_sr]])</f>
        <v xml:space="preserve">      Dio neto dobiti/gubitka koji pripada manjinskim vlasnicima</v>
      </c>
      <c r="H234" s="17" t="str">
        <f>Aop_Bank[[#This Row],[AOP_Text]]&amp;" - "&amp;TRIM(Aop_Bank[[#This Row],[Balance]])</f>
        <v>318 - Dio neto dobiti/gubitka koji pripada manjinskim vlasnicima</v>
      </c>
    </row>
    <row r="235" spans="1:8" x14ac:dyDescent="0.25">
      <c r="A235" s="25">
        <f t="shared" si="3"/>
        <v>234</v>
      </c>
      <c r="B235" s="26">
        <v>3</v>
      </c>
      <c r="C235" s="17" t="str">
        <f>IF(Aop_Bank[[#This Row],[AOP]]="","",TEXT(Aop_Bank[[#This Row],[AOP]],"000"))</f>
        <v>319</v>
      </c>
      <c r="D235" s="17">
        <v>319</v>
      </c>
      <c r="E235" s="17" t="s">
        <v>315</v>
      </c>
      <c r="F235" s="17"/>
      <c r="G235" s="17" t="str">
        <f>REPT("  ",Aop_Bank[[#This Row],[Aop_Level]])&amp;IF(Jezik=2,Aop_Bank[[#This Row],[Item_en]],Aop_Bank[[#This Row],[Item_sr]])</f>
        <v xml:space="preserve">      Obična zarada po akciji</v>
      </c>
      <c r="H235" s="17" t="str">
        <f>Aop_Bank[[#This Row],[AOP_Text]]&amp;" - "&amp;TRIM(Aop_Bank[[#This Row],[Balance]])</f>
        <v>319 - Obična zarada po akciji</v>
      </c>
    </row>
    <row r="236" spans="1:8" x14ac:dyDescent="0.25">
      <c r="A236" s="25">
        <f>ROW()-1</f>
        <v>235</v>
      </c>
      <c r="B236" s="26">
        <v>3</v>
      </c>
      <c r="C236" s="17" t="str">
        <f>IF(Aop_Bank[[#This Row],[AOP]]="","",TEXT(Aop_Bank[[#This Row],[AOP]],"000"))</f>
        <v>320</v>
      </c>
      <c r="D236" s="17">
        <v>320</v>
      </c>
      <c r="E236" s="17" t="s">
        <v>316</v>
      </c>
      <c r="F236" s="17"/>
      <c r="G236" s="17" t="str">
        <f>REPT("  ",Aop_Bank[[#This Row],[Aop_Level]])&amp;IF(Jezik=2,Aop_Bank[[#This Row],[Item_en]],Aop_Bank[[#This Row],[Item_sr]])</f>
        <v xml:space="preserve">      Razrijeđena zarada po akciji</v>
      </c>
      <c r="H236" s="17" t="str">
        <f>Aop_Bank[[#This Row],[AOP_Text]]&amp;" - "&amp;TRIM(Aop_Bank[[#This Row],[Balance]])</f>
        <v>320 - Razrijeđena zarada po akciji</v>
      </c>
    </row>
    <row r="237" spans="1:8" x14ac:dyDescent="0.25">
      <c r="A237" s="25">
        <f t="shared" si="3"/>
        <v>236</v>
      </c>
      <c r="B237" s="26">
        <v>1</v>
      </c>
      <c r="C237" s="66" t="str">
        <f>IF(Aop_Bank[[#This Row],[AOP]]="","",TEXT(Aop_Bank[[#This Row],[AOP]],"000"))</f>
        <v>321</v>
      </c>
      <c r="D237" s="26">
        <v>321</v>
      </c>
      <c r="E237" s="26" t="s">
        <v>317</v>
      </c>
      <c r="F237" s="26"/>
      <c r="G237" s="66" t="str">
        <f>REPT("  ",Aop_Bank[[#This Row],[Aop_Level]])&amp;IF(Jezik=2,Aop_Bank[[#This Row],[Item_en]],Aop_Bank[[#This Row],[Item_sr]])</f>
        <v xml:space="preserve">  Prosječan broj zaposlenih na osnovu časova rada</v>
      </c>
      <c r="H237" s="66" t="str">
        <f>Aop_Bank[[#This Row],[AOP_Text]]&amp;" - "&amp;TRIM(Aop_Bank[[#This Row],[Balance]])</f>
        <v>321 - Prosječan broj zaposlenih na osnovu časova rada</v>
      </c>
    </row>
    <row r="238" spans="1:8" x14ac:dyDescent="0.25">
      <c r="A238" s="25">
        <f t="shared" si="3"/>
        <v>237</v>
      </c>
      <c r="B238" s="26">
        <v>1</v>
      </c>
      <c r="C238" s="66" t="str">
        <f>IF(Aop_Bank[[#This Row],[AOP]]="","",TEXT(Aop_Bank[[#This Row],[AOP]],"000"))</f>
        <v>322</v>
      </c>
      <c r="D238" s="26">
        <v>322</v>
      </c>
      <c r="E238" s="26" t="s">
        <v>318</v>
      </c>
      <c r="F238" s="26"/>
      <c r="G238" s="66" t="str">
        <f>REPT("  ",Aop_Bank[[#This Row],[Aop_Level]])&amp;IF(Jezik=2,Aop_Bank[[#This Row],[Item_en]],Aop_Bank[[#This Row],[Item_sr]])</f>
        <v xml:space="preserve">  Prosječan broj zaposlenih na osnovu stanja na kraju perioda</v>
      </c>
      <c r="H238" s="66" t="str">
        <f>Aop_Bank[[#This Row],[AOP_Text]]&amp;" - "&amp;TRIM(Aop_Bank[[#This Row],[Balance]])</f>
        <v>322 - Prosječan broj zaposlenih na osnovu stanja na kraju perioda</v>
      </c>
    </row>
    <row r="239" spans="1:8" x14ac:dyDescent="0.25">
      <c r="A239" s="51">
        <f t="shared" si="3"/>
        <v>238</v>
      </c>
      <c r="B239" s="26">
        <v>1</v>
      </c>
      <c r="C239" s="66" t="str">
        <f>IF(Aop_Bank[[#This Row],[AOP]]="","",TEXT(Aop_Bank[[#This Row],[AOP]],"000"))</f>
        <v/>
      </c>
      <c r="D239" s="26"/>
      <c r="E239" s="26" t="s">
        <v>350</v>
      </c>
      <c r="F239" s="26"/>
      <c r="G239" s="66" t="str">
        <f>REPT("  ",Aop_Bank[[#This Row],[Aop_Level]])&amp;IF(Jezik=2,Aop_Bank[[#This Row],[Item_en]],Aop_Bank[[#This Row],[Item_sr]])</f>
        <v xml:space="preserve">  NOVČANI TOKOVI IZ POSLOVNIH AKTIVNOSTI</v>
      </c>
      <c r="H239" s="66" t="str">
        <f>Aop_Bank[[#This Row],[AOP_Text]]&amp;" - "&amp;TRIM(Aop_Bank[[#This Row],[Balance]])</f>
        <v xml:space="preserve"> - NOVČANI TOKOVI IZ POSLOVNIH AKTIVNOSTI</v>
      </c>
    </row>
    <row r="240" spans="1:8" x14ac:dyDescent="0.25">
      <c r="A240" s="25">
        <f t="shared" si="3"/>
        <v>239</v>
      </c>
      <c r="B240" s="26">
        <v>2</v>
      </c>
      <c r="C240" s="66" t="str">
        <f>IF(Aop_Bank[[#This Row],[AOP]]="","",TEXT(Aop_Bank[[#This Row],[AOP]],"000"))</f>
        <v>501</v>
      </c>
      <c r="D240" s="26">
        <v>501</v>
      </c>
      <c r="E240" s="26" t="s">
        <v>351</v>
      </c>
      <c r="F240" s="26"/>
      <c r="G240" s="66" t="str">
        <f>REPT("  ",Aop_Bank[[#This Row],[Aop_Level]])&amp;IF(Jezik=2,Aop_Bank[[#This Row],[Item_en]],Aop_Bank[[#This Row],[Item_sr]])</f>
        <v xml:space="preserve">    Primici kamata, naknada i provizija po kreditima i poslovima lizinga</v>
      </c>
      <c r="H240" s="66" t="str">
        <f>Aop_Bank[[#This Row],[AOP_Text]]&amp;" - "&amp;TRIM(Aop_Bank[[#This Row],[Balance]])</f>
        <v>501 - Primici kamata, naknada i provizija po kreditima i poslovima lizinga</v>
      </c>
    </row>
    <row r="241" spans="1:8" x14ac:dyDescent="0.25">
      <c r="A241" s="25">
        <f t="shared" si="3"/>
        <v>240</v>
      </c>
      <c r="B241" s="26">
        <v>2</v>
      </c>
      <c r="C241" s="66" t="str">
        <f>IF(Aop_Bank[[#This Row],[AOP]]="","",TEXT(Aop_Bank[[#This Row],[AOP]],"000"))</f>
        <v>502</v>
      </c>
      <c r="D241" s="26">
        <v>502</v>
      </c>
      <c r="E241" s="26" t="s">
        <v>352</v>
      </c>
      <c r="F241" s="26"/>
      <c r="G241" s="66" t="str">
        <f>REPT("  ",Aop_Bank[[#This Row],[Aop_Level]])&amp;IF(Jezik=2,Aop_Bank[[#This Row],[Item_en]],Aop_Bank[[#This Row],[Item_sr]])</f>
        <v xml:space="preserve">    Isplate kamata</v>
      </c>
      <c r="H241" s="66" t="str">
        <f>Aop_Bank[[#This Row],[AOP_Text]]&amp;" - "&amp;TRIM(Aop_Bank[[#This Row],[Balance]])</f>
        <v>502 - Isplate kamata</v>
      </c>
    </row>
    <row r="242" spans="1:8" x14ac:dyDescent="0.25">
      <c r="A242" s="25">
        <f t="shared" si="3"/>
        <v>241</v>
      </c>
      <c r="B242" s="26">
        <v>2</v>
      </c>
      <c r="C242" s="66" t="str">
        <f>IF(Aop_Bank[[#This Row],[AOP]]="","",TEXT(Aop_Bank[[#This Row],[AOP]],"000"))</f>
        <v>503</v>
      </c>
      <c r="D242" s="26">
        <v>503</v>
      </c>
      <c r="E242" s="26" t="s">
        <v>353</v>
      </c>
      <c r="F242" s="26"/>
      <c r="G242" s="66" t="str">
        <f>REPT("  ",Aop_Bank[[#This Row],[Aop_Level]])&amp;IF(Jezik=2,Aop_Bank[[#This Row],[Item_en]],Aop_Bank[[#This Row],[Item_sr]])</f>
        <v xml:space="preserve">    Naplate po kreditima koji su ranije bili otpisani (glavnica i kamata)</v>
      </c>
      <c r="H242" s="66" t="str">
        <f>Aop_Bank[[#This Row],[AOP_Text]]&amp;" - "&amp;TRIM(Aop_Bank[[#This Row],[Balance]])</f>
        <v>503 - Naplate po kreditima koji su ranije bili otpisani (glavnica i kamata)</v>
      </c>
    </row>
    <row r="243" spans="1:8" x14ac:dyDescent="0.25">
      <c r="A243" s="25">
        <f t="shared" si="3"/>
        <v>242</v>
      </c>
      <c r="B243" s="26">
        <v>2</v>
      </c>
      <c r="C243" s="66" t="str">
        <f>IF(Aop_Bank[[#This Row],[AOP]]="","",TEXT(Aop_Bank[[#This Row],[AOP]],"000"))</f>
        <v>504</v>
      </c>
      <c r="D243" s="26">
        <v>504</v>
      </c>
      <c r="E243" s="26" t="s">
        <v>354</v>
      </c>
      <c r="F243" s="26"/>
      <c r="G243" s="66" t="str">
        <f>REPT("  ",Aop_Bank[[#This Row],[Aop_Level]])&amp;IF(Jezik=2,Aop_Bank[[#This Row],[Item_en]],Aop_Bank[[#This Row],[Item_sr]])</f>
        <v xml:space="preserve">    Novčane isplate zaposlenim i dobavljačima</v>
      </c>
      <c r="H243" s="66" t="str">
        <f>Aop_Bank[[#This Row],[AOP_Text]]&amp;" - "&amp;TRIM(Aop_Bank[[#This Row],[Balance]])</f>
        <v>504 - Novčane isplate zaposlenim i dobavljačima</v>
      </c>
    </row>
    <row r="244" spans="1:8" x14ac:dyDescent="0.25">
      <c r="A244" s="25">
        <f t="shared" si="3"/>
        <v>243</v>
      </c>
      <c r="B244" s="26">
        <v>2</v>
      </c>
      <c r="C244" s="66" t="str">
        <f>IF(Aop_Bank[[#This Row],[AOP]]="","",TEXT(Aop_Bank[[#This Row],[AOP]],"000"))</f>
        <v>505</v>
      </c>
      <c r="D244" s="26">
        <v>505</v>
      </c>
      <c r="E244" s="26" t="s">
        <v>355</v>
      </c>
      <c r="F244" s="26"/>
      <c r="G244" s="66" t="str">
        <f>REPT("  ",Aop_Bank[[#This Row],[Aop_Level]])&amp;IF(Jezik=2,Aop_Bank[[#This Row],[Item_en]],Aop_Bank[[#This Row],[Item_sr]])</f>
        <v xml:space="preserve">    Isplate po vanbilansnim ugovorima</v>
      </c>
      <c r="H244" s="66" t="str">
        <f>Aop_Bank[[#This Row],[AOP_Text]]&amp;" - "&amp;TRIM(Aop_Bank[[#This Row],[Balance]])</f>
        <v>505 - Isplate po vanbilansnim ugovorima</v>
      </c>
    </row>
    <row r="245" spans="1:8" x14ac:dyDescent="0.25">
      <c r="A245" s="25">
        <f t="shared" si="3"/>
        <v>244</v>
      </c>
      <c r="B245" s="26">
        <v>2</v>
      </c>
      <c r="C245" s="66" t="str">
        <f>IF(Aop_Bank[[#This Row],[AOP]]="","",TEXT(Aop_Bank[[#This Row],[AOP]],"000"))</f>
        <v>506</v>
      </c>
      <c r="D245" s="26">
        <v>506</v>
      </c>
      <c r="E245" s="26" t="s">
        <v>356</v>
      </c>
      <c r="F245" s="26"/>
      <c r="G245" s="66" t="str">
        <f>REPT("  ",Aop_Bank[[#This Row],[Aop_Level]])&amp;IF(Jezik=2,Aop_Bank[[#This Row],[Item_en]],Aop_Bank[[#This Row],[Item_sr]])</f>
        <v xml:space="preserve">    Primici i isplate po vanrednim stavkama</v>
      </c>
      <c r="H245" s="66" t="str">
        <f>Aop_Bank[[#This Row],[AOP_Text]]&amp;" - "&amp;TRIM(Aop_Bank[[#This Row],[Balance]])</f>
        <v>506 - Primici i isplate po vanrednim stavkama</v>
      </c>
    </row>
    <row r="246" spans="1:8" x14ac:dyDescent="0.25">
      <c r="A246" s="25">
        <f t="shared" si="3"/>
        <v>245</v>
      </c>
      <c r="B246" s="26">
        <v>2</v>
      </c>
      <c r="C246" s="66" t="str">
        <f>IF(Aop_Bank[[#This Row],[AOP]]="","",TEXT(Aop_Bank[[#This Row],[AOP]],"000"))</f>
        <v>507</v>
      </c>
      <c r="D246" s="26">
        <v>507</v>
      </c>
      <c r="E246" s="26" t="s">
        <v>357</v>
      </c>
      <c r="F246" s="26"/>
      <c r="G246" s="66" t="str">
        <f>REPT("  ",Aop_Bank[[#This Row],[Aop_Level]])&amp;IF(Jezik=2,Aop_Bank[[#This Row],[Item_en]],Aop_Bank[[#This Row],[Item_sr]])</f>
        <v xml:space="preserve">    (Povećanje) smanjenje u operativnoj aktivi</v>
      </c>
      <c r="H246" s="66" t="str">
        <f>Aop_Bank[[#This Row],[AOP_Text]]&amp;" - "&amp;TRIM(Aop_Bank[[#This Row],[Balance]])</f>
        <v>507 - (Povećanje) smanjenje u operativnoj aktivi</v>
      </c>
    </row>
    <row r="247" spans="1:8" x14ac:dyDescent="0.25">
      <c r="A247" s="25">
        <f t="shared" si="3"/>
        <v>246</v>
      </c>
      <c r="B247" s="26">
        <v>2</v>
      </c>
      <c r="C247" s="66" t="str">
        <f>IF(Aop_Bank[[#This Row],[AOP]]="","",TEXT(Aop_Bank[[#This Row],[AOP]],"000"))</f>
        <v>508</v>
      </c>
      <c r="D247" s="26">
        <v>508</v>
      </c>
      <c r="E247" s="26" t="s">
        <v>358</v>
      </c>
      <c r="F247" s="26"/>
      <c r="G247" s="66" t="str">
        <f>REPT("  ",Aop_Bank[[#This Row],[Aop_Level]])&amp;IF(Jezik=2,Aop_Bank[[#This Row],[Item_en]],Aop_Bank[[#This Row],[Item_sr]])</f>
        <v xml:space="preserve">    Novčane pozajmice i krediti dati klijentima i naplate istih</v>
      </c>
      <c r="H247" s="66" t="str">
        <f>Aop_Bank[[#This Row],[AOP_Text]]&amp;" - "&amp;TRIM(Aop_Bank[[#This Row],[Balance]])</f>
        <v>508 - Novčane pozajmice i krediti dati klijentima i naplate istih</v>
      </c>
    </row>
    <row r="248" spans="1:8" x14ac:dyDescent="0.25">
      <c r="A248" s="25">
        <f t="shared" si="3"/>
        <v>247</v>
      </c>
      <c r="B248" s="26">
        <v>2</v>
      </c>
      <c r="C248" s="66" t="str">
        <f>IF(Aop_Bank[[#This Row],[AOP]]="","",TEXT(Aop_Bank[[#This Row],[AOP]],"000"))</f>
        <v>509</v>
      </c>
      <c r="D248" s="26">
        <v>509</v>
      </c>
      <c r="E248" s="26" t="s">
        <v>359</v>
      </c>
      <c r="F248" s="26"/>
      <c r="G248" s="66" t="str">
        <f>REPT("  ",Aop_Bank[[#This Row],[Aop_Level]])&amp;IF(Jezik=2,Aop_Bank[[#This Row],[Item_en]],Aop_Bank[[#This Row],[Item_sr]])</f>
        <v xml:space="preserve">    Računi depozita kod državnih institucija -propisi i monetarni zahtjevi-</v>
      </c>
      <c r="H248" s="66" t="str">
        <f>Aop_Bank[[#This Row],[AOP_Text]]&amp;" - "&amp;TRIM(Aop_Bank[[#This Row],[Balance]])</f>
        <v>509 - Računi depozita kod državnih institucija -propisi i monetarni zahtjevi-</v>
      </c>
    </row>
    <row r="249" spans="1:8" x14ac:dyDescent="0.25">
      <c r="A249" s="25">
        <f t="shared" si="3"/>
        <v>248</v>
      </c>
      <c r="B249" s="26">
        <v>2</v>
      </c>
      <c r="C249" s="66" t="str">
        <f>IF(Aop_Bank[[#This Row],[AOP]]="","",TEXT(Aop_Bank[[#This Row],[AOP]],"000"))</f>
        <v>510</v>
      </c>
      <c r="D249" s="26">
        <v>510</v>
      </c>
      <c r="E249" s="26" t="s">
        <v>360</v>
      </c>
      <c r="F249" s="26"/>
      <c r="G249" s="66" t="str">
        <f>REPT("  ",Aop_Bank[[#This Row],[Aop_Level]])&amp;IF(Jezik=2,Aop_Bank[[#This Row],[Item_en]],Aop_Bank[[#This Row],[Item_sr]])</f>
        <v xml:space="preserve">    Depoziti klijenata</v>
      </c>
      <c r="H249" s="66" t="str">
        <f>Aop_Bank[[#This Row],[AOP_Text]]&amp;" - "&amp;TRIM(Aop_Bank[[#This Row],[Balance]])</f>
        <v>510 - Depoziti klijenata</v>
      </c>
    </row>
    <row r="250" spans="1:8" x14ac:dyDescent="0.25">
      <c r="A250" s="25">
        <f t="shared" si="3"/>
        <v>249</v>
      </c>
      <c r="B250" s="26">
        <v>2</v>
      </c>
      <c r="C250" s="66" t="str">
        <f>IF(Aop_Bank[[#This Row],[AOP]]="","",TEXT(Aop_Bank[[#This Row],[AOP]],"000"))</f>
        <v>511</v>
      </c>
      <c r="D250" s="26">
        <v>511</v>
      </c>
      <c r="E250" s="26" t="s">
        <v>361</v>
      </c>
      <c r="F250" s="26"/>
      <c r="G250" s="66" t="str">
        <f>REPT("  ",Aop_Bank[[#This Row],[Aop_Level]])&amp;IF(Jezik=2,Aop_Bank[[#This Row],[Item_en]],Aop_Bank[[#This Row],[Item_sr]])</f>
        <v xml:space="preserve">    Plaćeni porez na dobit</v>
      </c>
      <c r="H250" s="66" t="str">
        <f>Aop_Bank[[#This Row],[AOP_Text]]&amp;" - "&amp;TRIM(Aop_Bank[[#This Row],[Balance]])</f>
        <v>511 - Plaćeni porez na dobit</v>
      </c>
    </row>
    <row r="251" spans="1:8" x14ac:dyDescent="0.25">
      <c r="A251" s="25">
        <f t="shared" si="3"/>
        <v>250</v>
      </c>
      <c r="B251" s="26">
        <v>2</v>
      </c>
      <c r="C251" s="66" t="str">
        <f>IF(Aop_Bank[[#This Row],[AOP]]="","",TEXT(Aop_Bank[[#This Row],[AOP]],"000"))</f>
        <v>512</v>
      </c>
      <c r="D251" s="26">
        <v>512</v>
      </c>
      <c r="E251" s="26" t="s">
        <v>362</v>
      </c>
      <c r="F251" s="26"/>
      <c r="G251" s="66" t="str">
        <f>REPT("  ",Aop_Bank[[#This Row],[Aop_Level]])&amp;IF(Jezik=2,Aop_Bank[[#This Row],[Item_en]],Aop_Bank[[#This Row],[Item_sr]])</f>
        <v xml:space="preserve">    Neto novčana sredstva iz poslovnih aktivnosti</v>
      </c>
      <c r="H251" s="66" t="str">
        <f>Aop_Bank[[#This Row],[AOP_Text]]&amp;" - "&amp;TRIM(Aop_Bank[[#This Row],[Balance]])</f>
        <v>512 - Neto novčana sredstva iz poslovnih aktivnosti</v>
      </c>
    </row>
    <row r="252" spans="1:8" x14ac:dyDescent="0.25">
      <c r="A252" s="25">
        <f t="shared" si="3"/>
        <v>251</v>
      </c>
      <c r="B252" s="26">
        <v>1</v>
      </c>
      <c r="C252" s="66" t="str">
        <f>IF(Aop_Bank[[#This Row],[AOP]]="","",TEXT(Aop_Bank[[#This Row],[AOP]],"000"))</f>
        <v/>
      </c>
      <c r="D252" s="26"/>
      <c r="E252" s="26" t="s">
        <v>363</v>
      </c>
      <c r="F252" s="26"/>
      <c r="G252" s="66" t="str">
        <f>REPT("  ",Aop_Bank[[#This Row],[Aop_Level]])&amp;IF(Jezik=2,Aop_Bank[[#This Row],[Item_en]],Aop_Bank[[#This Row],[Item_sr]])</f>
        <v xml:space="preserve">  NOVČANI TOKOVI IZ AKTIVNOSTI INVESTIRANJA</v>
      </c>
      <c r="H252" s="66" t="str">
        <f>Aop_Bank[[#This Row],[AOP_Text]]&amp;" - "&amp;TRIM(Aop_Bank[[#This Row],[Balance]])</f>
        <v xml:space="preserve"> - NOVČANI TOKOVI IZ AKTIVNOSTI INVESTIRANJA</v>
      </c>
    </row>
    <row r="253" spans="1:8" x14ac:dyDescent="0.25">
      <c r="A253" s="25">
        <f t="shared" si="3"/>
        <v>252</v>
      </c>
      <c r="B253" s="26">
        <v>2</v>
      </c>
      <c r="C253" s="66" t="str">
        <f>IF(Aop_Bank[[#This Row],[AOP]]="","",TEXT(Aop_Bank[[#This Row],[AOP]],"000"))</f>
        <v>513</v>
      </c>
      <c r="D253" s="26">
        <v>513</v>
      </c>
      <c r="E253" s="26" t="s">
        <v>364</v>
      </c>
      <c r="F253" s="26"/>
      <c r="G253" s="66" t="str">
        <f>REPT("  ",Aop_Bank[[#This Row],[Aop_Level]])&amp;IF(Jezik=2,Aop_Bank[[#This Row],[Item_en]],Aop_Bank[[#This Row],[Item_sr]])</f>
        <v xml:space="preserve">    Kratkoročni plasmani finansijskim insitucijama</v>
      </c>
      <c r="H253" s="66" t="str">
        <f>Aop_Bank[[#This Row],[AOP_Text]]&amp;" - "&amp;TRIM(Aop_Bank[[#This Row],[Balance]])</f>
        <v>513 - Kratkoročni plasmani finansijskim insitucijama</v>
      </c>
    </row>
    <row r="254" spans="1:8" x14ac:dyDescent="0.25">
      <c r="A254" s="25">
        <f t="shared" si="3"/>
        <v>253</v>
      </c>
      <c r="B254" s="26">
        <v>2</v>
      </c>
      <c r="C254" s="66" t="str">
        <f>IF(Aop_Bank[[#This Row],[AOP]]="","",TEXT(Aop_Bank[[#This Row],[AOP]],"000"))</f>
        <v>514</v>
      </c>
      <c r="D254" s="26">
        <v>514</v>
      </c>
      <c r="E254" s="26" t="s">
        <v>365</v>
      </c>
      <c r="F254" s="26"/>
      <c r="G254" s="66" t="str">
        <f>REPT("  ",Aop_Bank[[#This Row],[Aop_Level]])&amp;IF(Jezik=2,Aop_Bank[[#This Row],[Item_en]],Aop_Bank[[#This Row],[Item_sr]])</f>
        <v xml:space="preserve">    Primici kamata</v>
      </c>
      <c r="H254" s="66" t="str">
        <f>Aop_Bank[[#This Row],[AOP_Text]]&amp;" - "&amp;TRIM(Aop_Bank[[#This Row],[Balance]])</f>
        <v>514 - Primici kamata</v>
      </c>
    </row>
    <row r="255" spans="1:8" x14ac:dyDescent="0.25">
      <c r="A255" s="25">
        <f t="shared" si="3"/>
        <v>254</v>
      </c>
      <c r="B255" s="26">
        <v>2</v>
      </c>
      <c r="C255" s="66" t="str">
        <f>IF(Aop_Bank[[#This Row],[AOP]]="","",TEXT(Aop_Bank[[#This Row],[AOP]],"000"))</f>
        <v>515</v>
      </c>
      <c r="D255" s="26">
        <v>515</v>
      </c>
      <c r="E255" s="26" t="s">
        <v>366</v>
      </c>
      <c r="F255" s="26"/>
      <c r="G255" s="66" t="str">
        <f>REPT("  ",Aop_Bank[[#This Row],[Aop_Level]])&amp;IF(Jezik=2,Aop_Bank[[#This Row],[Item_en]],Aop_Bank[[#This Row],[Item_sr]])</f>
        <v xml:space="preserve">    Primici dividendi</v>
      </c>
      <c r="H255" s="66" t="str">
        <f>Aop_Bank[[#This Row],[AOP_Text]]&amp;" - "&amp;TRIM(Aop_Bank[[#This Row],[Balance]])</f>
        <v>515 - Primici dividendi</v>
      </c>
    </row>
    <row r="256" spans="1:8" x14ac:dyDescent="0.25">
      <c r="A256" s="25">
        <f t="shared" si="3"/>
        <v>255</v>
      </c>
      <c r="B256" s="26">
        <v>2</v>
      </c>
      <c r="C256" s="66" t="str">
        <f>IF(Aop_Bank[[#This Row],[AOP]]="","",TEXT(Aop_Bank[[#This Row],[AOP]],"000"))</f>
        <v>516</v>
      </c>
      <c r="D256" s="26">
        <v>516</v>
      </c>
      <c r="E256" s="26" t="s">
        <v>367</v>
      </c>
      <c r="F256" s="26"/>
      <c r="G256" s="66" t="str">
        <f>REPT("  ",Aop_Bank[[#This Row],[Aop_Level]])&amp;IF(Jezik=2,Aop_Bank[[#This Row],[Item_en]],Aop_Bank[[#This Row],[Item_sr]])</f>
        <v xml:space="preserve">    Ulaganja u vrijednosne papire koji se drže do dospijeća</v>
      </c>
      <c r="H256" s="66" t="str">
        <f>Aop_Bank[[#This Row],[AOP_Text]]&amp;" - "&amp;TRIM(Aop_Bank[[#This Row],[Balance]])</f>
        <v>516 - Ulaganja u vrijednosne papire koji se drže do dospijeća</v>
      </c>
    </row>
    <row r="257" spans="1:8" x14ac:dyDescent="0.25">
      <c r="A257" s="25">
        <f t="shared" si="3"/>
        <v>256</v>
      </c>
      <c r="B257" s="26">
        <v>2</v>
      </c>
      <c r="C257" s="66" t="str">
        <f>IF(Aop_Bank[[#This Row],[AOP]]="","",TEXT(Aop_Bank[[#This Row],[AOP]],"000"))</f>
        <v>517</v>
      </c>
      <c r="D257" s="26">
        <v>517</v>
      </c>
      <c r="E257" s="26" t="s">
        <v>368</v>
      </c>
      <c r="F257" s="26"/>
      <c r="G257" s="66" t="str">
        <f>REPT("  ",Aop_Bank[[#This Row],[Aop_Level]])&amp;IF(Jezik=2,Aop_Bank[[#This Row],[Item_en]],Aop_Bank[[#This Row],[Item_sr]])</f>
        <v xml:space="preserve">    Naplativi dospjeli vrijednosni papiri koji se drže do roka dospijeća</v>
      </c>
      <c r="H257" s="66" t="str">
        <f>Aop_Bank[[#This Row],[AOP_Text]]&amp;" - "&amp;TRIM(Aop_Bank[[#This Row],[Balance]])</f>
        <v>517 - Naplativi dospjeli vrijednosni papiri koji se drže do roka dospijeća</v>
      </c>
    </row>
    <row r="258" spans="1:8" x14ac:dyDescent="0.25">
      <c r="A258" s="25">
        <f t="shared" ref="A258:A282" si="4">ROW()-1</f>
        <v>257</v>
      </c>
      <c r="B258" s="26">
        <v>2</v>
      </c>
      <c r="C258" s="66" t="str">
        <f>IF(Aop_Bank[[#This Row],[AOP]]="","",TEXT(Aop_Bank[[#This Row],[AOP]],"000"))</f>
        <v>518</v>
      </c>
      <c r="D258" s="26">
        <v>518</v>
      </c>
      <c r="E258" s="26" t="s">
        <v>369</v>
      </c>
      <c r="F258" s="26"/>
      <c r="G258" s="66" t="str">
        <f>REPT("  ",Aop_Bank[[#This Row],[Aop_Level]])&amp;IF(Jezik=2,Aop_Bank[[#This Row],[Item_en]],Aop_Bank[[#This Row],[Item_sr]])</f>
        <v xml:space="preserve">    Kupovina (prodaja) nematerijalne aktive</v>
      </c>
      <c r="H258" s="66" t="str">
        <f>Aop_Bank[[#This Row],[AOP_Text]]&amp;" - "&amp;TRIM(Aop_Bank[[#This Row],[Balance]])</f>
        <v>518 - Kupovina (prodaja) nematerijalne aktive</v>
      </c>
    </row>
    <row r="259" spans="1:8" x14ac:dyDescent="0.25">
      <c r="A259" s="25">
        <f t="shared" si="4"/>
        <v>258</v>
      </c>
      <c r="B259" s="26">
        <v>2</v>
      </c>
      <c r="C259" s="66" t="str">
        <f>IF(Aop_Bank[[#This Row],[AOP]]="","",TEXT(Aop_Bank[[#This Row],[AOP]],"000"))</f>
        <v>519</v>
      </c>
      <c r="D259" s="26">
        <v>519</v>
      </c>
      <c r="E259" s="26" t="s">
        <v>370</v>
      </c>
      <c r="F259" s="26"/>
      <c r="G259" s="66" t="str">
        <f>REPT("  ",Aop_Bank[[#This Row],[Aop_Level]])&amp;IF(Jezik=2,Aop_Bank[[#This Row],[Item_en]],Aop_Bank[[#This Row],[Item_sr]])</f>
        <v xml:space="preserve">    Kupovina (prodaja) materijalne aktive</v>
      </c>
      <c r="H259" s="66" t="str">
        <f>Aop_Bank[[#This Row],[AOP_Text]]&amp;" - "&amp;TRIM(Aop_Bank[[#This Row],[Balance]])</f>
        <v>519 - Kupovina (prodaja) materijalne aktive</v>
      </c>
    </row>
    <row r="260" spans="1:8" x14ac:dyDescent="0.25">
      <c r="A260" s="25">
        <f t="shared" si="4"/>
        <v>259</v>
      </c>
      <c r="B260" s="26">
        <v>2</v>
      </c>
      <c r="C260" s="66" t="str">
        <f>IF(Aop_Bank[[#This Row],[AOP]]="","",TEXT(Aop_Bank[[#This Row],[AOP]],"000"))</f>
        <v>520</v>
      </c>
      <c r="D260" s="26">
        <v>520</v>
      </c>
      <c r="E260" s="26" t="s">
        <v>371</v>
      </c>
      <c r="F260" s="26"/>
      <c r="G260" s="66" t="str">
        <f>REPT("  ",Aop_Bank[[#This Row],[Aop_Level]])&amp;IF(Jezik=2,Aop_Bank[[#This Row],[Item_en]],Aop_Bank[[#This Row],[Item_sr]])</f>
        <v xml:space="preserve">    Sticanje (prodaja) učešća u supsidijarnim licima</v>
      </c>
      <c r="H260" s="66" t="str">
        <f>Aop_Bank[[#This Row],[AOP_Text]]&amp;" - "&amp;TRIM(Aop_Bank[[#This Row],[Balance]])</f>
        <v>520 - Sticanje (prodaja) učešća u supsidijarnim licima</v>
      </c>
    </row>
    <row r="261" spans="1:8" x14ac:dyDescent="0.25">
      <c r="A261" s="25">
        <f t="shared" si="4"/>
        <v>260</v>
      </c>
      <c r="B261" s="26">
        <v>2</v>
      </c>
      <c r="C261" s="66" t="str">
        <f>IF(Aop_Bank[[#This Row],[AOP]]="","",TEXT(Aop_Bank[[#This Row],[AOP]],"000"))</f>
        <v>521</v>
      </c>
      <c r="D261" s="26">
        <v>521</v>
      </c>
      <c r="E261" s="26" t="s">
        <v>372</v>
      </c>
      <c r="F261" s="26"/>
      <c r="G261" s="66" t="str">
        <f>REPT("  ",Aop_Bank[[#This Row],[Aop_Level]])&amp;IF(Jezik=2,Aop_Bank[[#This Row],[Item_en]],Aop_Bank[[#This Row],[Item_sr]])</f>
        <v xml:space="preserve">    Sticanje (prodaja) učešća u drugim povezanim preduzećima</v>
      </c>
      <c r="H261" s="66" t="str">
        <f>Aop_Bank[[#This Row],[AOP_Text]]&amp;" - "&amp;TRIM(Aop_Bank[[#This Row],[Balance]])</f>
        <v>521 - Sticanje (prodaja) učešća u drugim povezanim preduzećima</v>
      </c>
    </row>
    <row r="262" spans="1:8" x14ac:dyDescent="0.25">
      <c r="A262" s="25">
        <f t="shared" si="4"/>
        <v>261</v>
      </c>
      <c r="B262" s="26">
        <v>2</v>
      </c>
      <c r="C262" s="66" t="str">
        <f>IF(Aop_Bank[[#This Row],[AOP]]="","",TEXT(Aop_Bank[[#This Row],[AOP]],"000"))</f>
        <v>522</v>
      </c>
      <c r="D262" s="26">
        <v>522</v>
      </c>
      <c r="E262" s="26" t="s">
        <v>373</v>
      </c>
      <c r="F262" s="26"/>
      <c r="G262" s="66" t="str">
        <f>REPT("  ",Aop_Bank[[#This Row],[Aop_Level]])&amp;IF(Jezik=2,Aop_Bank[[#This Row],[Item_en]],Aop_Bank[[#This Row],[Item_sr]])</f>
        <v xml:space="preserve">    Krediti (povrat kredita) supsidijarnim licima</v>
      </c>
      <c r="H262" s="66" t="str">
        <f>Aop_Bank[[#This Row],[AOP_Text]]&amp;" - "&amp;TRIM(Aop_Bank[[#This Row],[Balance]])</f>
        <v>522 - Krediti (povrat kredita) supsidijarnim licima</v>
      </c>
    </row>
    <row r="263" spans="1:8" x14ac:dyDescent="0.25">
      <c r="A263" s="25">
        <f t="shared" si="4"/>
        <v>262</v>
      </c>
      <c r="B263" s="26">
        <v>2</v>
      </c>
      <c r="C263" s="66" t="str">
        <f>IF(Aop_Bank[[#This Row],[AOP]]="","",TEXT(Aop_Bank[[#This Row],[AOP]],"000"))</f>
        <v>523</v>
      </c>
      <c r="D263" s="26">
        <v>523</v>
      </c>
      <c r="E263" s="26" t="s">
        <v>374</v>
      </c>
      <c r="F263" s="26"/>
      <c r="G263" s="66" t="str">
        <f>REPT("  ",Aop_Bank[[#This Row],[Aop_Level]])&amp;IF(Jezik=2,Aop_Bank[[#This Row],[Item_en]],Aop_Bank[[#This Row],[Item_sr]])</f>
        <v xml:space="preserve">    Krediti (povrat kredita) drugim povezanim preduzećima</v>
      </c>
      <c r="H263" s="66" t="str">
        <f>Aop_Bank[[#This Row],[AOP_Text]]&amp;" - "&amp;TRIM(Aop_Bank[[#This Row],[Balance]])</f>
        <v>523 - Krediti (povrat kredita) drugim povezanim preduzećima</v>
      </c>
    </row>
    <row r="264" spans="1:8" x14ac:dyDescent="0.25">
      <c r="A264" s="25">
        <f t="shared" si="4"/>
        <v>263</v>
      </c>
      <c r="B264" s="26">
        <v>2</v>
      </c>
      <c r="C264" s="66" t="str">
        <f>IF(Aop_Bank[[#This Row],[AOP]]="","",TEXT(Aop_Bank[[#This Row],[AOP]],"000"))</f>
        <v>524</v>
      </c>
      <c r="D264" s="26">
        <v>524</v>
      </c>
      <c r="E264" s="26" t="s">
        <v>375</v>
      </c>
      <c r="F264" s="26"/>
      <c r="G264" s="66" t="str">
        <f>REPT("  ",Aop_Bank[[#This Row],[Aop_Level]])&amp;IF(Jezik=2,Aop_Bank[[#This Row],[Item_en]],Aop_Bank[[#This Row],[Item_sr]])</f>
        <v xml:space="preserve">    Kupovina (prodja) drugih ulaganja</v>
      </c>
      <c r="H264" s="66" t="str">
        <f>Aop_Bank[[#This Row],[AOP_Text]]&amp;" - "&amp;TRIM(Aop_Bank[[#This Row],[Balance]])</f>
        <v>524 - Kupovina (prodja) drugih ulaganja</v>
      </c>
    </row>
    <row r="265" spans="1:8" x14ac:dyDescent="0.25">
      <c r="A265" s="25">
        <f t="shared" si="4"/>
        <v>264</v>
      </c>
      <c r="B265" s="26">
        <v>2</v>
      </c>
      <c r="C265" s="66" t="str">
        <f>IF(Aop_Bank[[#This Row],[AOP]]="","",TEXT(Aop_Bank[[#This Row],[AOP]],"000"))</f>
        <v>525</v>
      </c>
      <c r="D265" s="26">
        <v>525</v>
      </c>
      <c r="E265" s="26" t="s">
        <v>355</v>
      </c>
      <c r="F265" s="26"/>
      <c r="G265" s="66" t="str">
        <f>REPT("  ",Aop_Bank[[#This Row],[Aop_Level]])&amp;IF(Jezik=2,Aop_Bank[[#This Row],[Item_en]],Aop_Bank[[#This Row],[Item_sr]])</f>
        <v xml:space="preserve">    Isplate po vanbilansnim ugovorima</v>
      </c>
      <c r="H265" s="66" t="str">
        <f>Aop_Bank[[#This Row],[AOP_Text]]&amp;" - "&amp;TRIM(Aop_Bank[[#This Row],[Balance]])</f>
        <v>525 - Isplate po vanbilansnim ugovorima</v>
      </c>
    </row>
    <row r="266" spans="1:8" x14ac:dyDescent="0.25">
      <c r="A266" s="25">
        <f t="shared" si="4"/>
        <v>265</v>
      </c>
      <c r="B266" s="26">
        <v>2</v>
      </c>
      <c r="C266" s="66" t="str">
        <f>IF(Aop_Bank[[#This Row],[AOP]]="","",TEXT(Aop_Bank[[#This Row],[AOP]],"000"))</f>
        <v>526</v>
      </c>
      <c r="D266" s="26">
        <v>526</v>
      </c>
      <c r="E266" s="26" t="s">
        <v>356</v>
      </c>
      <c r="F266" s="26"/>
      <c r="G266" s="66" t="str">
        <f>REPT("  ",Aop_Bank[[#This Row],[Aop_Level]])&amp;IF(Jezik=2,Aop_Bank[[#This Row],[Item_en]],Aop_Bank[[#This Row],[Item_sr]])</f>
        <v xml:space="preserve">    Primici i isplate po vanrednim stavkama</v>
      </c>
      <c r="H266" s="66" t="str">
        <f>Aop_Bank[[#This Row],[AOP_Text]]&amp;" - "&amp;TRIM(Aop_Bank[[#This Row],[Balance]])</f>
        <v>526 - Primici i isplate po vanrednim stavkama</v>
      </c>
    </row>
    <row r="267" spans="1:8" x14ac:dyDescent="0.25">
      <c r="A267" s="25">
        <f t="shared" si="4"/>
        <v>266</v>
      </c>
      <c r="B267" s="26">
        <v>2</v>
      </c>
      <c r="C267" s="66" t="str">
        <f>IF(Aop_Bank[[#This Row],[AOP]]="","",TEXT(Aop_Bank[[#This Row],[AOP]],"000"))</f>
        <v>527</v>
      </c>
      <c r="D267" s="26">
        <v>527</v>
      </c>
      <c r="E267" s="26" t="s">
        <v>376</v>
      </c>
      <c r="F267" s="26"/>
      <c r="G267" s="66" t="str">
        <f>REPT("  ",Aop_Bank[[#This Row],[Aop_Level]])&amp;IF(Jezik=2,Aop_Bank[[#This Row],[Item_en]],Aop_Bank[[#This Row],[Item_sr]])</f>
        <v xml:space="preserve">    Neto novčana sredstva iz ulagačkih aktivnosti</v>
      </c>
      <c r="H267" s="66" t="str">
        <f>Aop_Bank[[#This Row],[AOP_Text]]&amp;" - "&amp;TRIM(Aop_Bank[[#This Row],[Balance]])</f>
        <v>527 - Neto novčana sredstva iz ulagačkih aktivnosti</v>
      </c>
    </row>
    <row r="268" spans="1:8" x14ac:dyDescent="0.25">
      <c r="A268" s="25">
        <f t="shared" si="4"/>
        <v>267</v>
      </c>
      <c r="B268" s="26">
        <v>1</v>
      </c>
      <c r="C268" s="66" t="str">
        <f>IF(Aop_Bank[[#This Row],[AOP]]="","",TEXT(Aop_Bank[[#This Row],[AOP]],"000"))</f>
        <v/>
      </c>
      <c r="D268" s="26"/>
      <c r="E268" s="26" t="s">
        <v>377</v>
      </c>
      <c r="F268" s="26"/>
      <c r="G268" s="66" t="str">
        <f>REPT("  ",Aop_Bank[[#This Row],[Aop_Level]])&amp;IF(Jezik=2,Aop_Bank[[#This Row],[Item_en]],Aop_Bank[[#This Row],[Item_sr]])</f>
        <v xml:space="preserve">  NOVČANI TOKOVI OD AKTIVNOSTI FINANSIRANJA</v>
      </c>
      <c r="H268" s="66" t="str">
        <f>Aop_Bank[[#This Row],[AOP_Text]]&amp;" - "&amp;TRIM(Aop_Bank[[#This Row],[Balance]])</f>
        <v xml:space="preserve"> - NOVČANI TOKOVI OD AKTIVNOSTI FINANSIRANJA</v>
      </c>
    </row>
    <row r="269" spans="1:8" x14ac:dyDescent="0.25">
      <c r="A269" s="25">
        <f t="shared" si="4"/>
        <v>268</v>
      </c>
      <c r="B269" s="26">
        <v>2</v>
      </c>
      <c r="C269" s="66" t="str">
        <f>IF(Aop_Bank[[#This Row],[AOP]]="","",TEXT(Aop_Bank[[#This Row],[AOP]],"000"))</f>
        <v>528</v>
      </c>
      <c r="D269" s="26">
        <v>528</v>
      </c>
      <c r="E269" s="26" t="s">
        <v>378</v>
      </c>
      <c r="F269" s="26"/>
      <c r="G269" s="66" t="str">
        <f>REPT("  ",Aop_Bank[[#This Row],[Aop_Level]])&amp;IF(Jezik=2,Aop_Bank[[#This Row],[Item_en]],Aop_Bank[[#This Row],[Item_sr]])</f>
        <v xml:space="preserve">    Primici od izdavanja akcija</v>
      </c>
      <c r="H269" s="66" t="str">
        <f>Aop_Bank[[#This Row],[AOP_Text]]&amp;" - "&amp;TRIM(Aop_Bank[[#This Row],[Balance]])</f>
        <v>528 - Primici od izdavanja akcija</v>
      </c>
    </row>
    <row r="270" spans="1:8" x14ac:dyDescent="0.25">
      <c r="A270" s="25">
        <f t="shared" si="4"/>
        <v>269</v>
      </c>
      <c r="B270" s="26">
        <v>2</v>
      </c>
      <c r="C270" s="66" t="str">
        <f>IF(Aop_Bank[[#This Row],[AOP]]="","",TEXT(Aop_Bank[[#This Row],[AOP]],"000"))</f>
        <v>529</v>
      </c>
      <c r="D270" s="26">
        <v>529</v>
      </c>
      <c r="E270" s="26" t="s">
        <v>379</v>
      </c>
      <c r="F270" s="26"/>
      <c r="G270" s="66" t="str">
        <f>REPT("  ",Aop_Bank[[#This Row],[Aop_Level]])&amp;IF(Jezik=2,Aop_Bank[[#This Row],[Item_en]],Aop_Bank[[#This Row],[Item_sr]])</f>
        <v xml:space="preserve">    Reotkup akcija</v>
      </c>
      <c r="H270" s="66" t="str">
        <f>Aop_Bank[[#This Row],[AOP_Text]]&amp;" - "&amp;TRIM(Aop_Bank[[#This Row],[Balance]])</f>
        <v>529 - Reotkup akcija</v>
      </c>
    </row>
    <row r="271" spans="1:8" x14ac:dyDescent="0.25">
      <c r="A271" s="25">
        <f t="shared" si="4"/>
        <v>270</v>
      </c>
      <c r="B271" s="26">
        <v>2</v>
      </c>
      <c r="C271" s="66" t="str">
        <f>IF(Aop_Bank[[#This Row],[AOP]]="","",TEXT(Aop_Bank[[#This Row],[AOP]],"000"))</f>
        <v>530</v>
      </c>
      <c r="D271" s="26">
        <v>530</v>
      </c>
      <c r="E271" s="26" t="s">
        <v>380</v>
      </c>
      <c r="F271" s="26"/>
      <c r="G271" s="66" t="str">
        <f>REPT("  ",Aop_Bank[[#This Row],[Aop_Level]])&amp;IF(Jezik=2,Aop_Bank[[#This Row],[Item_en]],Aop_Bank[[#This Row],[Item_sr]])</f>
        <v xml:space="preserve">    Kupovina vlastitih akcija</v>
      </c>
      <c r="H271" s="66" t="str">
        <f>Aop_Bank[[#This Row],[AOP_Text]]&amp;" - "&amp;TRIM(Aop_Bank[[#This Row],[Balance]])</f>
        <v>530 - Kupovina vlastitih akcija</v>
      </c>
    </row>
    <row r="272" spans="1:8" x14ac:dyDescent="0.25">
      <c r="A272" s="25">
        <f t="shared" si="4"/>
        <v>271</v>
      </c>
      <c r="B272" s="26">
        <v>2</v>
      </c>
      <c r="C272" s="66" t="str">
        <f>IF(Aop_Bank[[#This Row],[AOP]]="","",TEXT(Aop_Bank[[#This Row],[AOP]],"000"))</f>
        <v>531</v>
      </c>
      <c r="D272" s="26">
        <v>531</v>
      </c>
      <c r="E272" s="26" t="s">
        <v>381</v>
      </c>
      <c r="F272" s="26"/>
      <c r="G272" s="66" t="str">
        <f>REPT("  ",Aop_Bank[[#This Row],[Aop_Level]])&amp;IF(Jezik=2,Aop_Bank[[#This Row],[Item_en]],Aop_Bank[[#This Row],[Item_sr]])</f>
        <v xml:space="preserve">    Kamata plaćena na pozajmice</v>
      </c>
      <c r="H272" s="66" t="str">
        <f>Aop_Bank[[#This Row],[AOP_Text]]&amp;" - "&amp;TRIM(Aop_Bank[[#This Row],[Balance]])</f>
        <v>531 - Kamata plaćena na pozajmice</v>
      </c>
    </row>
    <row r="273" spans="1:8" x14ac:dyDescent="0.25">
      <c r="A273" s="25">
        <f t="shared" si="4"/>
        <v>272</v>
      </c>
      <c r="B273" s="26">
        <v>2</v>
      </c>
      <c r="C273" s="66" t="str">
        <f>IF(Aop_Bank[[#This Row],[AOP]]="","",TEXT(Aop_Bank[[#This Row],[AOP]],"000"))</f>
        <v>532</v>
      </c>
      <c r="D273" s="26">
        <v>532</v>
      </c>
      <c r="E273" s="26" t="s">
        <v>382</v>
      </c>
      <c r="F273" s="26"/>
      <c r="G273" s="66" t="str">
        <f>REPT("  ",Aop_Bank[[#This Row],[Aop_Level]])&amp;IF(Jezik=2,Aop_Bank[[#This Row],[Item_en]],Aop_Bank[[#This Row],[Item_sr]])</f>
        <v xml:space="preserve">    Uzete pozajmice</v>
      </c>
      <c r="H273" s="66" t="str">
        <f>Aop_Bank[[#This Row],[AOP_Text]]&amp;" - "&amp;TRIM(Aop_Bank[[#This Row],[Balance]])</f>
        <v>532 - Uzete pozajmice</v>
      </c>
    </row>
    <row r="274" spans="1:8" x14ac:dyDescent="0.25">
      <c r="A274" s="25">
        <f t="shared" si="4"/>
        <v>273</v>
      </c>
      <c r="B274" s="26">
        <v>2</v>
      </c>
      <c r="C274" s="66" t="str">
        <f>IF(Aop_Bank[[#This Row],[AOP]]="","",TEXT(Aop_Bank[[#This Row],[AOP]],"000"))</f>
        <v>533</v>
      </c>
      <c r="D274" s="26">
        <v>533</v>
      </c>
      <c r="E274" s="26" t="s">
        <v>383</v>
      </c>
      <c r="F274" s="26"/>
      <c r="G274" s="66" t="str">
        <f>REPT("  ",Aop_Bank[[#This Row],[Aop_Level]])&amp;IF(Jezik=2,Aop_Bank[[#This Row],[Item_en]],Aop_Bank[[#This Row],[Item_sr]])</f>
        <v xml:space="preserve">    Povrat pozajmica</v>
      </c>
      <c r="H274" s="66" t="str">
        <f>Aop_Bank[[#This Row],[AOP_Text]]&amp;" - "&amp;TRIM(Aop_Bank[[#This Row],[Balance]])</f>
        <v>533 - Povrat pozajmica</v>
      </c>
    </row>
    <row r="275" spans="1:8" x14ac:dyDescent="0.25">
      <c r="A275" s="25">
        <f t="shared" si="4"/>
        <v>274</v>
      </c>
      <c r="B275" s="26">
        <v>2</v>
      </c>
      <c r="C275" s="66" t="str">
        <f>IF(Aop_Bank[[#This Row],[AOP]]="","",TEXT(Aop_Bank[[#This Row],[AOP]],"000"))</f>
        <v>534</v>
      </c>
      <c r="D275" s="26">
        <v>534</v>
      </c>
      <c r="E275" s="26" t="s">
        <v>384</v>
      </c>
      <c r="F275" s="26"/>
      <c r="G275" s="66" t="str">
        <f>REPT("  ",Aop_Bank[[#This Row],[Aop_Level]])&amp;IF(Jezik=2,Aop_Bank[[#This Row],[Item_en]],Aop_Bank[[#This Row],[Item_sr]])</f>
        <v xml:space="preserve">    Isplata dividendi</v>
      </c>
      <c r="H275" s="66" t="str">
        <f>Aop_Bank[[#This Row],[AOP_Text]]&amp;" - "&amp;TRIM(Aop_Bank[[#This Row],[Balance]])</f>
        <v>534 - Isplata dividendi</v>
      </c>
    </row>
    <row r="276" spans="1:8" x14ac:dyDescent="0.25">
      <c r="A276" s="25">
        <f t="shared" si="4"/>
        <v>275</v>
      </c>
      <c r="B276" s="26">
        <v>2</v>
      </c>
      <c r="C276" s="66" t="str">
        <f>IF(Aop_Bank[[#This Row],[AOP]]="","",TEXT(Aop_Bank[[#This Row],[AOP]],"000"))</f>
        <v>535</v>
      </c>
      <c r="D276" s="26">
        <v>535</v>
      </c>
      <c r="E276" s="26" t="s">
        <v>385</v>
      </c>
      <c r="F276" s="26"/>
      <c r="G276" s="66" t="str">
        <f>REPT("  ",Aop_Bank[[#This Row],[Aop_Level]])&amp;IF(Jezik=2,Aop_Bank[[#This Row],[Item_en]],Aop_Bank[[#This Row],[Item_sr]])</f>
        <v xml:space="preserve">    Isplata po vanbilansnim ugovorima</v>
      </c>
      <c r="H276" s="66" t="str">
        <f>Aop_Bank[[#This Row],[AOP_Text]]&amp;" - "&amp;TRIM(Aop_Bank[[#This Row],[Balance]])</f>
        <v>535 - Isplata po vanbilansnim ugovorima</v>
      </c>
    </row>
    <row r="277" spans="1:8" x14ac:dyDescent="0.25">
      <c r="A277" s="25">
        <f t="shared" si="4"/>
        <v>276</v>
      </c>
      <c r="B277" s="26">
        <v>2</v>
      </c>
      <c r="C277" s="66" t="str">
        <f>IF(Aop_Bank[[#This Row],[AOP]]="","",TEXT(Aop_Bank[[#This Row],[AOP]],"000"))</f>
        <v>536</v>
      </c>
      <c r="D277" s="26">
        <v>536</v>
      </c>
      <c r="E277" s="26" t="s">
        <v>356</v>
      </c>
      <c r="F277" s="26"/>
      <c r="G277" s="66" t="str">
        <f>REPT("  ",Aop_Bank[[#This Row],[Aop_Level]])&amp;IF(Jezik=2,Aop_Bank[[#This Row],[Item_en]],Aop_Bank[[#This Row],[Item_sr]])</f>
        <v xml:space="preserve">    Primici i isplate po vanrednim stavkama</v>
      </c>
      <c r="H277" s="66" t="str">
        <f>Aop_Bank[[#This Row],[AOP_Text]]&amp;" - "&amp;TRIM(Aop_Bank[[#This Row],[Balance]])</f>
        <v>536 - Primici i isplate po vanrednim stavkama</v>
      </c>
    </row>
    <row r="278" spans="1:8" x14ac:dyDescent="0.25">
      <c r="A278" s="25">
        <f t="shared" si="4"/>
        <v>277</v>
      </c>
      <c r="B278" s="26">
        <v>2</v>
      </c>
      <c r="C278" s="66" t="str">
        <f>IF(Aop_Bank[[#This Row],[AOP]]="","",TEXT(Aop_Bank[[#This Row],[AOP]],"000"))</f>
        <v>537</v>
      </c>
      <c r="D278" s="26">
        <v>537</v>
      </c>
      <c r="E278" s="26" t="s">
        <v>386</v>
      </c>
      <c r="F278" s="26"/>
      <c r="G278" s="66" t="str">
        <f>REPT("  ",Aop_Bank[[#This Row],[Aop_Level]])&amp;IF(Jezik=2,Aop_Bank[[#This Row],[Item_en]],Aop_Bank[[#This Row],[Item_sr]])</f>
        <v xml:space="preserve">    Neto novčana sredstva od finansijskih aktivnosti</v>
      </c>
      <c r="H278" s="66" t="str">
        <f>Aop_Bank[[#This Row],[AOP_Text]]&amp;" - "&amp;TRIM(Aop_Bank[[#This Row],[Balance]])</f>
        <v>537 - Neto novčana sredstva od finansijskih aktivnosti</v>
      </c>
    </row>
    <row r="279" spans="1:8" x14ac:dyDescent="0.25">
      <c r="A279" s="25">
        <f t="shared" si="4"/>
        <v>278</v>
      </c>
      <c r="B279" s="26">
        <v>1</v>
      </c>
      <c r="C279" s="66" t="str">
        <f>IF(Aop_Bank[[#This Row],[AOP]]="","",TEXT(Aop_Bank[[#This Row],[AOP]],"000"))</f>
        <v>538</v>
      </c>
      <c r="D279" s="26">
        <v>538</v>
      </c>
      <c r="E279" s="26" t="s">
        <v>387</v>
      </c>
      <c r="F279" s="26"/>
      <c r="G279" s="66" t="str">
        <f>REPT("  ",Aop_Bank[[#This Row],[Aop_Level]])&amp;IF(Jezik=2,Aop_Bank[[#This Row],[Item_en]],Aop_Bank[[#This Row],[Item_sr]])</f>
        <v xml:space="preserve">  NETO PORAST NS i NE ** (A+B+V)</v>
      </c>
      <c r="H279" s="66" t="str">
        <f>Aop_Bank[[#This Row],[AOP_Text]]&amp;" - "&amp;TRIM(Aop_Bank[[#This Row],[Balance]])</f>
        <v>538 - NETO PORAST NS i NE ** (A+B+V)</v>
      </c>
    </row>
    <row r="280" spans="1:8" x14ac:dyDescent="0.25">
      <c r="A280" s="25">
        <f t="shared" si="4"/>
        <v>279</v>
      </c>
      <c r="B280" s="26">
        <v>1</v>
      </c>
      <c r="C280" s="66" t="str">
        <f>IF(Aop_Bank[[#This Row],[AOP]]="","",TEXT(Aop_Bank[[#This Row],[AOP]],"000"))</f>
        <v>539</v>
      </c>
      <c r="D280" s="26">
        <v>539</v>
      </c>
      <c r="E280" s="26" t="s">
        <v>388</v>
      </c>
      <c r="F280" s="26"/>
      <c r="G280" s="66" t="str">
        <f>REPT("  ",Aop_Bank[[#This Row],[Aop_Level]])&amp;IF(Jezik=2,Aop_Bank[[#This Row],[Item_en]],Aop_Bank[[#This Row],[Item_sr]])</f>
        <v xml:space="preserve">  NS i NE NA POČETKU PERIODA</v>
      </c>
      <c r="H280" s="66" t="str">
        <f>Aop_Bank[[#This Row],[AOP_Text]]&amp;" - "&amp;TRIM(Aop_Bank[[#This Row],[Balance]])</f>
        <v>539 - NS i NE NA POČETKU PERIODA</v>
      </c>
    </row>
    <row r="281" spans="1:8" x14ac:dyDescent="0.25">
      <c r="A281" s="25">
        <f t="shared" si="4"/>
        <v>280</v>
      </c>
      <c r="B281" s="26">
        <v>1</v>
      </c>
      <c r="C281" s="66" t="str">
        <f>IF(Aop_Bank[[#This Row],[AOP]]="","",TEXT(Aop_Bank[[#This Row],[AOP]],"000"))</f>
        <v>540</v>
      </c>
      <c r="D281" s="26">
        <v>540</v>
      </c>
      <c r="E281" s="26" t="s">
        <v>389</v>
      </c>
      <c r="F281" s="26"/>
      <c r="G281" s="66" t="str">
        <f>REPT("  ",Aop_Bank[[#This Row],[Aop_Level]])&amp;IF(Jezik=2,Aop_Bank[[#This Row],[Item_en]],Aop_Bank[[#This Row],[Item_sr]])</f>
        <v xml:space="preserve">  EFEKTI PROMJENE DEVIZNIH KURSEVA NS i NE</v>
      </c>
      <c r="H281" s="66" t="str">
        <f>Aop_Bank[[#This Row],[AOP_Text]]&amp;" - "&amp;TRIM(Aop_Bank[[#This Row],[Balance]])</f>
        <v>540 - EFEKTI PROMJENE DEVIZNIH KURSEVA NS i NE</v>
      </c>
    </row>
    <row r="282" spans="1:8" x14ac:dyDescent="0.25">
      <c r="A282" s="25">
        <f t="shared" si="4"/>
        <v>281</v>
      </c>
      <c r="B282" s="26">
        <v>1</v>
      </c>
      <c r="C282" s="66" t="str">
        <f>IF(Aop_Bank[[#This Row],[AOP]]="","",TEXT(Aop_Bank[[#This Row],[AOP]],"000"))</f>
        <v>541</v>
      </c>
      <c r="D282" s="26">
        <v>541</v>
      </c>
      <c r="E282" s="26" t="s">
        <v>390</v>
      </c>
      <c r="F282" s="26"/>
      <c r="G282" s="66" t="str">
        <f>REPT("  ",Aop_Bank[[#This Row],[Aop_Level]])&amp;IF(Jezik=2,Aop_Bank[[#This Row],[Item_en]],Aop_Bank[[#This Row],[Item_sr]])</f>
        <v xml:space="preserve">  NS i NE NA KRAJU PERIODA (4+5+6)</v>
      </c>
      <c r="H282" s="66" t="str">
        <f>Aop_Bank[[#This Row],[AOP_Text]]&amp;" - "&amp;TRIM(Aop_Bank[[#This Row],[Balance]])</f>
        <v>541 - NS i NE NA KRAJU PERIODA (4+5+6)</v>
      </c>
    </row>
  </sheetData>
  <sheetProtection password="CBEB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23</vt:i4>
      </vt:variant>
    </vt:vector>
  </HeadingPairs>
  <TitlesOfParts>
    <vt:vector size="28" baseType="lpstr">
      <vt:lpstr>Podesavanja | Settings</vt:lpstr>
      <vt:lpstr>Zbirno |Summary</vt:lpstr>
      <vt:lpstr>Bilans Stanja |Balance Sheet</vt:lpstr>
      <vt:lpstr>Bilans Uspjeha |Income Statem</vt:lpstr>
      <vt:lpstr>Bilans Toka Got|Cash Flow Stat</vt:lpstr>
      <vt:lpstr>_1_Zbirno__Summary</vt:lpstr>
      <vt:lpstr>_2_Bilans_Stanja__Balance_Sheet</vt:lpstr>
      <vt:lpstr>_3_Bilans_Uspjeha__Income_Statem</vt:lpstr>
      <vt:lpstr>_4_Bilans_Toka_Got__Cash_Flow_Stat</vt:lpstr>
      <vt:lpstr>Allowance_Current</vt:lpstr>
      <vt:lpstr>Balance_Type</vt:lpstr>
      <vt:lpstr>Code</vt:lpstr>
      <vt:lpstr>Current</vt:lpstr>
      <vt:lpstr>Gross_Current</vt:lpstr>
      <vt:lpstr>Issuer0</vt:lpstr>
      <vt:lpstr>Aop_Bank!IzborJedinice</vt:lpstr>
      <vt:lpstr>IzborJedinice</vt:lpstr>
      <vt:lpstr>Aop_Bank!IzborJezika</vt:lpstr>
      <vt:lpstr>IzborJezika</vt:lpstr>
      <vt:lpstr>Jedinica</vt:lpstr>
      <vt:lpstr>Jedinica1</vt:lpstr>
      <vt:lpstr>Jezik</vt:lpstr>
      <vt:lpstr>Net_Current</vt:lpstr>
      <vt:lpstr>Net_Previous</vt:lpstr>
      <vt:lpstr>Previous</vt:lpstr>
      <vt:lpstr>Aop_Bank!Simbol_Naziv</vt:lpstr>
      <vt:lpstr>Simbol_Naziv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Grahovac</dc:creator>
  <cp:lastModifiedBy>Milan Grahovac</cp:lastModifiedBy>
  <dcterms:created xsi:type="dcterms:W3CDTF">2011-03-28T12:47:31Z</dcterms:created>
  <dcterms:modified xsi:type="dcterms:W3CDTF">2013-08-19T11:18:53Z</dcterms:modified>
</cp:coreProperties>
</file>