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drawings/drawing8.xml" ContentType="application/vnd.openxmlformats-officedocument.drawing+xml"/>
  <Override PartName="/xl/ctrlProps/ctrlProp12.xml" ContentType="application/vnd.ms-excel.controlproperties+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4.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Users\mladen.saric\Desktop\Izvještavanja\APIF\2026\"/>
    </mc:Choice>
  </mc:AlternateContent>
  <xr:revisionPtr revIDLastSave="0" documentId="13_ncr:1_{5795B01A-4A35-4378-972D-AF87443DB189}" xr6:coauthVersionLast="45" xr6:coauthVersionMax="47" xr10:uidLastSave="{00000000-0000-0000-0000-000000000000}"/>
  <workbookProtection workbookAlgorithmName="SHA-512" workbookHashValue="UTrV3mcrvu1AINqI6Qdxnicpzz+NK8NUoCuMlE3xXMdabfewgHEDmHYAqQxlC3RgjRw72Cjae110IkRklt6O1w==" workbookSaltValue="jd3GDFCaE4zvOcKIGyQ78A==" workbookSpinCount="100000" lockStructure="1"/>
  <bookViews>
    <workbookView xWindow="-110" yWindow="-110" windowWidth="38620" windowHeight="21220" tabRatio="674" xr2:uid="{00000000-000D-0000-FFFF-FFFF00000000}"/>
  </bookViews>
  <sheets>
    <sheet name="Uputstvo" sheetId="11" r:id="rId1"/>
    <sheet name="Osnovni_podaci" sheetId="32" r:id="rId2"/>
    <sheet name="01" sheetId="1" r:id="rId3"/>
    <sheet name="02a" sheetId="2" r:id="rId4"/>
    <sheet name="02b" sheetId="36" r:id="rId5"/>
    <sheet name="03" sheetId="8" r:id="rId6"/>
    <sheet name="04" sheetId="14" r:id="rId7"/>
    <sheet name="Prevod" sheetId="31" state="hidden" r:id="rId8"/>
    <sheet name="Aop" sheetId="34" state="hidden" r:id="rId9"/>
    <sheet name="05" sheetId="10" r:id="rId10"/>
    <sheet name="Podesavanja" sheetId="33" state="hidden" r:id="rId11"/>
    <sheet name="Baza" sheetId="35" state="hidden" r:id="rId12"/>
    <sheet name="BazaBPK" sheetId="37" state="hidden" r:id="rId13"/>
    <sheet name="APIF_Import" sheetId="38" r:id="rId14"/>
  </sheets>
  <definedNames>
    <definedName name="_xlnm._FilterDatabase" localSheetId="2">'01'!$B$20:$P$158</definedName>
    <definedName name="_xlnm._FilterDatabase" localSheetId="3">'02a'!$B$20:$N$144</definedName>
    <definedName name="Datum_Broj">Podesavanja!$H$1</definedName>
    <definedName name="Datum_Format">Podesavanja!$X$1</definedName>
    <definedName name="Datumi_Datum_Aneks">Prevod!$G$61</definedName>
    <definedName name="Datumi_Datum_BPK">Prevod!$G$62</definedName>
    <definedName name="Datumi_Datum_BS">Prevod!$G$57</definedName>
    <definedName name="Datumi_Datum_BTG">Prevod!$G$59</definedName>
    <definedName name="Datumi_Datum_BU">Prevod!$G$58</definedName>
    <definedName name="Datumi_Datum_ODGP">Prevod!$G$60</definedName>
    <definedName name="Godina">Osnovni_podaci!$J$8</definedName>
    <definedName name="ID_Izvjestaj">Podesavanja!$I$1</definedName>
    <definedName name="ID_Jezik">Podesavanja!$B$1</definedName>
    <definedName name="Id_Konsolidovani">Podesavanja!$C$10</definedName>
    <definedName name="Konsolidovan_izvjestaj">Osnovni_podaci!$Y$76</definedName>
    <definedName name="Konsolidovani_Konsolidavani_Izvjestaj">Prevod!$G$33</definedName>
    <definedName name="Konsolidovani_Konsolidovani">Prevod!$G$34</definedName>
    <definedName name="Kontakt_Adresa">Prevod!$G$12</definedName>
    <definedName name="Kontakt_email">Prevod!$G$14</definedName>
    <definedName name="Kontakt_fax">Prevod!$G$16</definedName>
    <definedName name="Kontakt_tel">Prevod!$G$15</definedName>
    <definedName name="Kontakt_web">Prevod!$G$13</definedName>
    <definedName name="Kontrola_Neispravno">Prevod!$G$98</definedName>
    <definedName name="Kontrola_Obavezno">Prevod!$G$97</definedName>
    <definedName name="Linkovi_Link_Aneks">Prevod!$G$69</definedName>
    <definedName name="Linkovi_Link_BPK">Prevod!$G$70</definedName>
    <definedName name="Linkovi_Link_BS">Prevod!$G$65</definedName>
    <definedName name="Linkovi_Link_BTG">Prevod!$G$68</definedName>
    <definedName name="Linkovi_Link_BU">Prevod!$G$66</definedName>
    <definedName name="Linkovi_Link_ODGP">Prevod!$G$67</definedName>
    <definedName name="Linkovi_Link_Osnovni_podaci">Prevod!$G$64</definedName>
    <definedName name="Linkovi_Link_Uputstvo">Prevod!$G$63</definedName>
    <definedName name="Lookup_Aneks">'04'!$I$21:$K$87</definedName>
    <definedName name="Lookup_BPK">'05'!$G$20:$Q$53</definedName>
    <definedName name="Lookup_BSa">'01'!$I$21:$N$87</definedName>
    <definedName name="Lookup_BSp">'01'!$I$92:$N$162</definedName>
    <definedName name="Lookup_BTG">'03'!$I$21:$L$88</definedName>
    <definedName name="Lookup_BUa">'02a'!$I$21:$L$144</definedName>
    <definedName name="Lookup_BUb">'02b'!$I$21:$L$41</definedName>
    <definedName name="Napomena">'01'!$J$18</definedName>
    <definedName name="Nazivi_bilansa_Aneks">Prevod!$G$54</definedName>
    <definedName name="Nazivi_bilansa_Aneks1">Prevod!$G$55</definedName>
    <definedName name="Nazivi_bilansa_BPK">Prevod!$G$56</definedName>
    <definedName name="Nazivi_bilansa_BS">Prevod!$G$46</definedName>
    <definedName name="Nazivi_bilansa_BS1">Prevod!$G$47</definedName>
    <definedName name="Nazivi_bilansa_BTG">Prevod!$G$52</definedName>
    <definedName name="Nazivi_bilansa_BTG1">Prevod!$G$53</definedName>
    <definedName name="Nazivi_bilansa_BUa">Prevod!$G$48</definedName>
    <definedName name="Nazivi_bilansa_BUa1">Prevod!$G$49</definedName>
    <definedName name="Nazivi_bilansa_BUb">Prevod!$G$50</definedName>
    <definedName name="Nazivi_bilansa_BUb1">Prevod!$G$51</definedName>
    <definedName name="Nazivi_bilansa_Konsolidovani_naziv">Prevod!$G$45</definedName>
    <definedName name="Objasnjenja_Banka">Prevod!$G$4</definedName>
    <definedName name="Objasnjenja_Bankovni_racun">Prevod!$G$5</definedName>
    <definedName name="Objasnjenja_Dan">Prevod!$G$9</definedName>
    <definedName name="Objasnjenja_Glavni_racun">Prevod!$G$7</definedName>
    <definedName name="Objasnjenja_Godina">Prevod!$G$11</definedName>
    <definedName name="Objasnjenja_Kontakt">Prevod!$G$6</definedName>
    <definedName name="Objasnjenja_Mjesec">Prevod!$G$10</definedName>
    <definedName name="Objasnjenja_Navigacija">Prevod!$G$8</definedName>
    <definedName name="Objasnjenja_Podnozje">Prevod!$G$3</definedName>
    <definedName name="Objasnjenja_Zaglavlje">Prevod!$G$2</definedName>
    <definedName name="Osnovno_Izaberite_jezik">Prevod!$G$17</definedName>
    <definedName name="Osnovno_Izvjestajni_period">Prevod!$G$18</definedName>
    <definedName name="Osnovno_Kraj_perioda">Prevod!$G$20</definedName>
    <definedName name="Osnovno_Pocetak_perioda">Prevod!$G$19</definedName>
    <definedName name="Osnovno_Vrsta_izvjestaja">Prevod!$G$21</definedName>
    <definedName name="Period_Kraj_Dan">Osnovni_podaci!$D$10</definedName>
    <definedName name="Period_Kraj_Godina">Osnovni_podaci!$J$8</definedName>
    <definedName name="Period_Kraj_Mjesec">Osnovni_podaci!$G$10</definedName>
    <definedName name="Period_Pocetak_Dan">Osnovni_podaci!$D$8</definedName>
    <definedName name="Period_Pocetak_Mjesec">Osnovni_podaci!$G$8</definedName>
    <definedName name="Podatak_Adresa">Osnovni_podaci!$AB$52</definedName>
    <definedName name="Podatak_Broj_Licence">Osnovni_podaci!$AB$47</definedName>
    <definedName name="Podatak_Dana">Osnovni_podaci!$AB$43</definedName>
    <definedName name="Podatak_Direktor">Osnovni_podaci!$AB$49</definedName>
    <definedName name="Podatak_email">Osnovni_podaci!$AB$56</definedName>
    <definedName name="Podatak_fax">Osnovni_podaci!$AB$60</definedName>
    <definedName name="Podatak_JIB">Osnovni_podaci!$AB$24</definedName>
    <definedName name="Podatak_Lice_sa_licencom">Osnovni_podaci!$AB$45</definedName>
    <definedName name="Podatak_MB">Osnovni_podaci!$AB$15</definedName>
    <definedName name="Podatak_Naziv_preduzeca">Osnovni_podaci!$AB$20</definedName>
    <definedName name="Podatak_Sifra_djelatnosti">Osnovni_podaci!$AB$17</definedName>
    <definedName name="Podatak_Sjediste">Osnovni_podaci!$AB$22</definedName>
    <definedName name="Podatak_tel">Osnovni_podaci!$AB$58</definedName>
    <definedName name="Podatak_U">Osnovni_podaci!$AB$40</definedName>
    <definedName name="Podatak_web">Osnovni_podaci!$AB$54</definedName>
    <definedName name="Podatak_Ziro_racun_1">Osnovni_podaci!$AB$27</definedName>
    <definedName name="Podatak_Ziro_racun_2">Osnovni_podaci!$AB$29</definedName>
    <definedName name="Podatak_Ziro_racun_3">Osnovni_podaci!$AB$31</definedName>
    <definedName name="Podatak_Ziro_racun_4">Osnovni_podaci!$AB$33</definedName>
    <definedName name="Podatak_Ziro_racun_5">Osnovni_podaci!$AB$35</definedName>
    <definedName name="Podatak_Ziro_racun_6">Osnovni_podaci!$AB$37</definedName>
    <definedName name="Podnozje_Broj_licence">Prevod!$G$38</definedName>
    <definedName name="Podnozje_Dana">Prevod!$G$36</definedName>
    <definedName name="Podnozje_Direktor">Prevod!$G$39</definedName>
    <definedName name="Podnozje_Lice_sa_licencom">Prevod!$G$37</definedName>
    <definedName name="Podnozje_MP">Prevod!$G$44</definedName>
    <definedName name="Podnozje_U">Prevod!$G$35</definedName>
    <definedName name="_xlnm.Print_Area" localSheetId="2">'01'!$C$5:$N$170</definedName>
    <definedName name="_xlnm.Print_Area" localSheetId="3">'02a'!$B$7:$L$161</definedName>
    <definedName name="_xlnm.Print_Area" localSheetId="4">'02b'!$C$5:$L$61</definedName>
    <definedName name="_xlnm.Print_Area" localSheetId="5">'03'!$C$5:$M$92</definedName>
    <definedName name="_xlnm.Print_Area" localSheetId="6">'04'!$A$1:$N$96</definedName>
    <definedName name="_xlnm.Print_Area" localSheetId="9">'05'!$D$5:$Q$57</definedName>
    <definedName name="_xlnm.Print_Area" localSheetId="13">APIF_Import!$A$1:$N$444</definedName>
    <definedName name="_xlnm.Print_Area" localSheetId="1">Osnovni_podaci!$B$7:$W$126</definedName>
    <definedName name="_xlnm.Print_Area" localSheetId="0">Uputstvo!$5:$61</definedName>
    <definedName name="_xlnm.Print_Titles" localSheetId="3">'02a'!$18:$20</definedName>
    <definedName name="_xlnm.Print_Titles" localSheetId="5">'03'!$18:$19</definedName>
    <definedName name="_xlnm.Print_Titles" localSheetId="6">'04'!$18:$20</definedName>
    <definedName name="Revidiran_izvjestaj">Osnovni_podaci!$Y$62</definedName>
    <definedName name="Revizija_Misljenje">Prevod!$G$100</definedName>
    <definedName name="Revizija_Naziv_revizorske_firme">Prevod!$G$102</definedName>
    <definedName name="Revizija_Negativno">Prevod!$G$105</definedName>
    <definedName name="Revizija_Podaci_o_revizorskoj_firmi">Prevod!$G$101</definedName>
    <definedName name="Revizija_Pozitivno">Prevod!$G$103</definedName>
    <definedName name="Revizija_Revidiran_izvjestaj">Prevod!$G$99</definedName>
    <definedName name="Revizija_Sa_rezervom">Prevod!$G$104</definedName>
    <definedName name="Revizija_Uzdrzavanje">Prevod!$G$106</definedName>
    <definedName name="Tabela_Zaglavlje_Napomena_aop">Prevod!$G$73</definedName>
    <definedName name="Tabele_Tekuca_godina">Prevod!$G$82</definedName>
    <definedName name="Tabele_zaglavlje_BPK0">Prevod!$G$85</definedName>
    <definedName name="Tabele_zaglavlje_BPK1">Prevod!$G$86</definedName>
    <definedName name="Tabele_zaglavlje_BPK10">Prevod!$G$94</definedName>
    <definedName name="Tabele_zaglavlje_BPK11">Prevod!$G$95</definedName>
    <definedName name="Tabele_zaglavlje_BPK12">Prevod!$G$96</definedName>
    <definedName name="Tabele_zaglavlje_BPK3">Prevod!$G$87</definedName>
    <definedName name="Tabele_zaglavlje_BPK4">Prevod!$G$88</definedName>
    <definedName name="Tabele_zaglavlje_BPK5">Prevod!$G$89</definedName>
    <definedName name="Tabele_zaglavlje_BPK6">Prevod!$G$90</definedName>
    <definedName name="Tabele_zaglavlje_BPK7">Prevod!$G$91</definedName>
    <definedName name="Tabele_zaglavlje_BPK8">Prevod!$G$92</definedName>
    <definedName name="Tabele_zaglavlje_BPK9">Prevod!$G$93</definedName>
    <definedName name="Tabele_zaglavlje_BS_bruto">Prevod!$G$77</definedName>
    <definedName name="Tabele_zaglavlje_BS_ispravka">Prevod!$G$78</definedName>
    <definedName name="Tabele_zaglavlje_BS_iznos_prethodna">Prevod!$G$80</definedName>
    <definedName name="Tabele_zaglavlje_BS_iznos_tekuca">Prevod!$G$76</definedName>
    <definedName name="Tabele_zaglavlje_BS_neto">Prevod!$G$79</definedName>
    <definedName name="Tabele_zaglavlje_Grupa_racuna">Prevod!$G$71</definedName>
    <definedName name="Tabele_zaglavlje_Iznos">Prevod!$G$81</definedName>
    <definedName name="Tabele_zaglavlje_Napomena_aop">Prevod!$G$73</definedName>
    <definedName name="Tabele_zaglavlje_Oznaka_aop">Prevod!$G$74</definedName>
    <definedName name="Tabele_zaglavlje_Pozicija">Prevod!$G$72</definedName>
    <definedName name="Tabele_zaglavlje_Prethodna_godina">Prevod!$G$83</definedName>
    <definedName name="Tabele_zaglavlje_Redni_broj">Prevod!$G$75</definedName>
    <definedName name="Tabele_zaglavlje_Tekuca_godina">Prevod!$G$82</definedName>
    <definedName name="Tabele_zaglavlje_Valuta">Prevod!$G$84</definedName>
    <definedName name="Vrsta_izvjestaja">Podesavanja!$J$1</definedName>
    <definedName name="Vrsta_izvjestaja_Godisnji">Prevod!$G$25</definedName>
    <definedName name="Vrsta_izvjestaja_Polugodisnji">Prevod!$G$23</definedName>
    <definedName name="Vrsta_izvjestaja_Prvi_kvartal">Prevod!$G$22</definedName>
    <definedName name="Vrsta_izvjestaja_Specificni">Prevod!$G$26</definedName>
    <definedName name="Vrsta_izvjestaja_Treci_kvartal">Prevod!$G$24</definedName>
    <definedName name="Zaglavlje_JIB">Prevod!$G$31</definedName>
    <definedName name="Zaglavlje_MB">Prevod!$G$27</definedName>
    <definedName name="Zaglavlje_Naziv_preduzeca">Prevod!$G$29</definedName>
    <definedName name="Zaglavlje_Sifra_djelatnosti">Prevod!$G$28</definedName>
    <definedName name="Zaglavlje_Sjediste">Prevod!$G$30</definedName>
    <definedName name="Zaglavlje_Ziro_racun">Prevod!$G$32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0" i="38" l="1"/>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C176" i="38"/>
  <c r="C175" i="38"/>
  <c r="C174" i="38"/>
  <c r="C173" i="38"/>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C141" i="38"/>
  <c r="C140" i="38"/>
  <c r="C139" i="38"/>
  <c r="C138" i="38"/>
  <c r="C137" i="38"/>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C106" i="38"/>
  <c r="C10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C60" i="38"/>
  <c r="C59" i="38"/>
  <c r="C58" i="38"/>
  <c r="C57" i="38"/>
  <c r="C56" i="38"/>
  <c r="C55" i="38"/>
  <c r="C54" i="38"/>
  <c r="C53" i="38"/>
  <c r="C52" i="38"/>
  <c r="C51" i="38"/>
  <c r="C50"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L133" i="2"/>
  <c r="L130" i="2"/>
  <c r="L114" i="2"/>
  <c r="L106" i="2" s="1"/>
  <c r="L107" i="2"/>
  <c r="L101" i="2"/>
  <c r="L94" i="2"/>
  <c r="L93" i="2" s="1"/>
  <c r="L81" i="2"/>
  <c r="L71" i="2"/>
  <c r="L64" i="2"/>
  <c r="L59" i="2"/>
  <c r="L48" i="2"/>
  <c r="L47" i="2" s="1"/>
  <c r="L43" i="2"/>
  <c r="L30" i="2"/>
  <c r="L26" i="2"/>
  <c r="L22" i="2"/>
  <c r="K133" i="2"/>
  <c r="K130" i="2"/>
  <c r="K114" i="2"/>
  <c r="K107" i="2"/>
  <c r="K106" i="2"/>
  <c r="K120" i="2" s="1"/>
  <c r="K101" i="2"/>
  <c r="K94" i="2"/>
  <c r="K93" i="2"/>
  <c r="K81" i="2"/>
  <c r="K71" i="2"/>
  <c r="K92" i="2" s="1"/>
  <c r="K64" i="2"/>
  <c r="K59" i="2"/>
  <c r="K48" i="2"/>
  <c r="K47" i="2" s="1"/>
  <c r="K43" i="2"/>
  <c r="K30" i="2"/>
  <c r="K26" i="2"/>
  <c r="K22" i="2"/>
  <c r="N73" i="1"/>
  <c r="N72" i="1" s="1"/>
  <c r="N65" i="1"/>
  <c r="N57" i="1"/>
  <c r="N50" i="1"/>
  <c r="N45" i="1"/>
  <c r="N42" i="1"/>
  <c r="M80" i="1"/>
  <c r="M79" i="1"/>
  <c r="M78" i="1"/>
  <c r="M77" i="1"/>
  <c r="M76" i="1"/>
  <c r="M75" i="1"/>
  <c r="M74" i="1"/>
  <c r="M71" i="1"/>
  <c r="M70" i="1"/>
  <c r="M69" i="1"/>
  <c r="M68" i="1"/>
  <c r="M67" i="1"/>
  <c r="M66" i="1"/>
  <c r="M63" i="1"/>
  <c r="M62" i="1"/>
  <c r="M61" i="1"/>
  <c r="M60" i="1"/>
  <c r="M59" i="1"/>
  <c r="M58" i="1"/>
  <c r="M55" i="1"/>
  <c r="M54" i="1"/>
  <c r="M53" i="1"/>
  <c r="M52" i="1"/>
  <c r="M51" i="1"/>
  <c r="M50" i="1"/>
  <c r="M49" i="1"/>
  <c r="M48" i="1"/>
  <c r="M47" i="1"/>
  <c r="M46" i="1"/>
  <c r="M45" i="1"/>
  <c r="M44" i="1"/>
  <c r="M43" i="1"/>
  <c r="M42" i="1"/>
  <c r="M41" i="1"/>
  <c r="M40" i="1"/>
  <c r="M39" i="1"/>
  <c r="M38" i="1"/>
  <c r="M36" i="1"/>
  <c r="M35" i="1"/>
  <c r="M34" i="1"/>
  <c r="M33" i="1"/>
  <c r="M32" i="1"/>
  <c r="M31" i="1"/>
  <c r="M30" i="1"/>
  <c r="M29" i="1"/>
  <c r="M27" i="1"/>
  <c r="M26" i="1"/>
  <c r="M25" i="1"/>
  <c r="M24" i="1"/>
  <c r="M23" i="1"/>
  <c r="L81" i="1"/>
  <c r="K81" i="1"/>
  <c r="K73" i="1"/>
  <c r="K72" i="1" s="1"/>
  <c r="M72" i="1" s="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AA15" i="32"/>
  <c r="Y15" i="32" s="1"/>
  <c r="AB15" i="32" s="1"/>
  <c r="K119" i="2" l="1"/>
  <c r="K39" i="2"/>
  <c r="K126" i="2" s="1"/>
  <c r="M73" i="1"/>
  <c r="K21" i="2"/>
  <c r="L92" i="2"/>
  <c r="K91" i="2"/>
  <c r="K127" i="2"/>
  <c r="K125" i="2"/>
  <c r="L120" i="2"/>
  <c r="L119" i="2"/>
  <c r="L91" i="2"/>
  <c r="L125" i="2"/>
  <c r="L21" i="2"/>
  <c r="L39" i="2"/>
  <c r="L126" i="2" s="1"/>
  <c r="N92" i="1"/>
  <c r="M92" i="1"/>
  <c r="AA8" i="33"/>
  <c r="AA14" i="33"/>
  <c r="B67" i="35"/>
  <c r="F67" i="35"/>
  <c r="I67" i="35"/>
  <c r="K137" i="2" l="1"/>
  <c r="K58" i="2"/>
  <c r="K136" i="2"/>
  <c r="K57" i="2"/>
  <c r="K128" i="2"/>
  <c r="K69" i="2"/>
  <c r="K70" i="2"/>
  <c r="L137" i="2"/>
  <c r="L136" i="2"/>
  <c r="L127" i="2"/>
  <c r="L128" i="2"/>
  <c r="L69" i="2"/>
  <c r="L57" i="2"/>
  <c r="L70" i="2"/>
  <c r="L58" i="2"/>
  <c r="AA17" i="33"/>
  <c r="AA11" i="33"/>
  <c r="AA3" i="33"/>
  <c r="P3" i="33" a="1"/>
  <c r="P3" i="33" s="1"/>
  <c r="O3" i="33" a="1"/>
  <c r="O3" i="33" s="1"/>
  <c r="L73" i="1"/>
  <c r="J37" i="14"/>
  <c r="G109" i="31"/>
  <c r="C91" i="14" s="1"/>
  <c r="G110" i="31"/>
  <c r="C92" i="14" s="1"/>
  <c r="H109" i="31"/>
  <c r="H110" i="31"/>
  <c r="I109" i="31"/>
  <c r="I110" i="31"/>
  <c r="G108" i="31"/>
  <c r="C90" i="14" s="1"/>
  <c r="H108" i="31"/>
  <c r="I108" i="31"/>
  <c r="G107" i="31"/>
  <c r="C89" i="14" s="1"/>
  <c r="H107" i="31"/>
  <c r="I107" i="31"/>
  <c r="G40" i="31" l="1"/>
  <c r="G41" i="31"/>
  <c r="G42" i="31"/>
  <c r="G43" i="31"/>
  <c r="H40" i="31"/>
  <c r="I40" i="31"/>
  <c r="H41" i="31"/>
  <c r="I41" i="31"/>
  <c r="H42" i="31"/>
  <c r="I42" i="31"/>
  <c r="H43" i="31"/>
  <c r="I43" i="31"/>
  <c r="J66" i="14"/>
  <c r="J56" i="14"/>
  <c r="K56" i="14"/>
  <c r="K66" i="14"/>
  <c r="K37" i="14"/>
  <c r="B417" i="38"/>
  <c r="O23" i="10"/>
  <c r="Q23" i="10" s="1"/>
  <c r="O24" i="10"/>
  <c r="Q24" i="10" s="1"/>
  <c r="H25" i="10"/>
  <c r="I25" i="10"/>
  <c r="J25" i="10"/>
  <c r="K25" i="10"/>
  <c r="L25" i="10"/>
  <c r="M25" i="10"/>
  <c r="N25" i="10"/>
  <c r="P25" i="10"/>
  <c r="O25" i="10" l="1"/>
  <c r="Q25" i="10" s="1"/>
  <c r="A378" i="34"/>
  <c r="A379" i="34"/>
  <c r="M101" i="1" l="1"/>
  <c r="M106" i="1"/>
  <c r="H170" i="1" l="1"/>
  <c r="K65" i="1"/>
  <c r="L65" i="1"/>
  <c r="L72" i="1"/>
  <c r="N124" i="1"/>
  <c r="M124" i="1"/>
  <c r="K22" i="36"/>
  <c r="L22" i="36"/>
  <c r="M65" i="1" l="1"/>
  <c r="L64" i="1"/>
  <c r="K64" i="1"/>
  <c r="G89" i="31"/>
  <c r="G88" i="31"/>
  <c r="L57" i="1"/>
  <c r="G93" i="31"/>
  <c r="G92" i="31"/>
  <c r="G91" i="31"/>
  <c r="G90" i="31"/>
  <c r="I6" i="31"/>
  <c r="G6" i="31"/>
  <c r="B51" i="32" s="1" a="1"/>
  <c r="B51" i="32" s="1"/>
  <c r="H6" i="31"/>
  <c r="M64" i="1" l="1"/>
  <c r="M139" i="1"/>
  <c r="M146" i="1"/>
  <c r="N146" i="1"/>
  <c r="K37" i="1" l="1"/>
  <c r="M37" i="1" s="1"/>
  <c r="N37" i="1"/>
  <c r="L37" i="1"/>
  <c r="L29" i="36"/>
  <c r="L36" i="36" s="1"/>
  <c r="K29" i="36"/>
  <c r="K36" i="36" s="1"/>
  <c r="P29" i="10" l="1"/>
  <c r="K45" i="10"/>
  <c r="K45" i="1"/>
  <c r="L45" i="1"/>
  <c r="K50" i="1"/>
  <c r="N81" i="1"/>
  <c r="N64" i="1" s="1"/>
  <c r="N56" i="1" s="1"/>
  <c r="K57" i="1"/>
  <c r="M57" i="1" s="1"/>
  <c r="K42" i="1" l="1"/>
  <c r="G73" i="31" l="1"/>
  <c r="J89" i="1" s="1"/>
  <c r="K56" i="1" l="1"/>
  <c r="A135" i="34" l="1"/>
  <c r="A136" i="34"/>
  <c r="A137" i="34"/>
  <c r="A138" i="34"/>
  <c r="A139" i="34"/>
  <c r="B2" i="38"/>
  <c r="B3" i="38"/>
  <c r="B4" i="38"/>
  <c r="B5" i="38"/>
  <c r="B6" i="38"/>
  <c r="B7" i="38"/>
  <c r="B8" i="38"/>
  <c r="B9" i="38"/>
  <c r="B10" i="38"/>
  <c r="B11" i="38"/>
  <c r="B12" i="38"/>
  <c r="B13" i="38"/>
  <c r="B14" i="38"/>
  <c r="B15" i="38"/>
  <c r="B16" i="38"/>
  <c r="B17" i="38"/>
  <c r="B18" i="38"/>
  <c r="B19" i="38"/>
  <c r="B20" i="38"/>
  <c r="B101" i="38"/>
  <c r="B102" i="38"/>
  <c r="B103" i="38"/>
  <c r="B104" i="38"/>
  <c r="B105" i="38"/>
  <c r="B106" i="38"/>
  <c r="B107" i="38"/>
  <c r="B108" i="38"/>
  <c r="B109" i="38"/>
  <c r="B110" i="38"/>
  <c r="B111" i="38"/>
  <c r="B112" i="38"/>
  <c r="B113" i="38"/>
  <c r="B114" i="38"/>
  <c r="B115" i="38"/>
  <c r="B116" i="38"/>
  <c r="B117" i="38"/>
  <c r="B118" i="38"/>
  <c r="B119" i="38"/>
  <c r="B120" i="38"/>
  <c r="B121" i="38"/>
  <c r="B122" i="38"/>
  <c r="B123" i="38"/>
  <c r="B124" i="38"/>
  <c r="B125" i="38"/>
  <c r="B126" i="38"/>
  <c r="B127" i="38"/>
  <c r="B128" i="38"/>
  <c r="B129" i="38"/>
  <c r="B130" i="38"/>
  <c r="B131" i="38"/>
  <c r="B132" i="38"/>
  <c r="B133" i="38"/>
  <c r="B134" i="38"/>
  <c r="B135" i="38"/>
  <c r="B136" i="38"/>
  <c r="B137" i="38"/>
  <c r="B138" i="38"/>
  <c r="B139" i="38"/>
  <c r="B140" i="38"/>
  <c r="B141" i="38"/>
  <c r="B142" i="38"/>
  <c r="B143" i="38"/>
  <c r="B144" i="38"/>
  <c r="B145" i="38"/>
  <c r="B146" i="38"/>
  <c r="B147" i="38"/>
  <c r="B148" i="38"/>
  <c r="B149" i="38"/>
  <c r="B150" i="38"/>
  <c r="B151" i="38"/>
  <c r="B152" i="38"/>
  <c r="B153" i="38"/>
  <c r="B154" i="38"/>
  <c r="B155" i="38"/>
  <c r="B156" i="38"/>
  <c r="B157" i="38"/>
  <c r="B158" i="38"/>
  <c r="B159" i="38"/>
  <c r="B160" i="38"/>
  <c r="B161" i="38"/>
  <c r="B162" i="38"/>
  <c r="B163" i="38"/>
  <c r="B164" i="38"/>
  <c r="B165" i="38"/>
  <c r="B166" i="38"/>
  <c r="B167" i="38"/>
  <c r="B168" i="38"/>
  <c r="B169" i="38"/>
  <c r="B170" i="38"/>
  <c r="B171" i="38"/>
  <c r="B172" i="38"/>
  <c r="B173" i="38"/>
  <c r="B174" i="38"/>
  <c r="B175" i="38"/>
  <c r="B176" i="38"/>
  <c r="B177" i="38"/>
  <c r="B178" i="38"/>
  <c r="B179" i="38"/>
  <c r="B180" i="38"/>
  <c r="B181" i="38"/>
  <c r="B182" i="38"/>
  <c r="B183" i="38"/>
  <c r="B184" i="38"/>
  <c r="B185" i="38"/>
  <c r="B186" i="38"/>
  <c r="B187" i="38"/>
  <c r="B188" i="38"/>
  <c r="B189" i="38"/>
  <c r="B190" i="38"/>
  <c r="B191" i="38"/>
  <c r="B192" i="38"/>
  <c r="B193" i="38"/>
  <c r="B194" i="38"/>
  <c r="B195" i="38"/>
  <c r="B196" i="38"/>
  <c r="B197" i="38"/>
  <c r="B198" i="38"/>
  <c r="B199" i="38"/>
  <c r="B200" i="38"/>
  <c r="B201" i="38"/>
  <c r="B202" i="38"/>
  <c r="B203" i="38"/>
  <c r="B204" i="38"/>
  <c r="B205" i="38"/>
  <c r="B206" i="38"/>
  <c r="B207" i="38"/>
  <c r="B208" i="38"/>
  <c r="B209" i="38"/>
  <c r="B210" i="38"/>
  <c r="B211" i="38"/>
  <c r="B212" i="38"/>
  <c r="B213" i="38"/>
  <c r="B214" i="38"/>
  <c r="B215" i="38"/>
  <c r="B216" i="38"/>
  <c r="B217" i="38"/>
  <c r="B218" i="38"/>
  <c r="B219" i="38"/>
  <c r="B220" i="38"/>
  <c r="B221" i="38"/>
  <c r="B222" i="38"/>
  <c r="B223" i="38"/>
  <c r="B224" i="38"/>
  <c r="B225" i="38"/>
  <c r="B226" i="38"/>
  <c r="B227" i="38"/>
  <c r="B228" i="38"/>
  <c r="B229" i="38"/>
  <c r="B230" i="38"/>
  <c r="B231" i="38"/>
  <c r="B232" i="38"/>
  <c r="B233" i="38"/>
  <c r="B234" i="38"/>
  <c r="B235" i="38"/>
  <c r="B236" i="38"/>
  <c r="B237" i="38"/>
  <c r="B238" i="38"/>
  <c r="B239" i="38"/>
  <c r="B240" i="38"/>
  <c r="B241" i="38"/>
  <c r="B242" i="38"/>
  <c r="B243" i="38"/>
  <c r="B244" i="38"/>
  <c r="B245" i="38"/>
  <c r="B246" i="38"/>
  <c r="B247" i="38"/>
  <c r="B248" i="38"/>
  <c r="B249" i="38"/>
  <c r="B250" i="38"/>
  <c r="B251" i="38"/>
  <c r="B252" i="38"/>
  <c r="B253" i="38"/>
  <c r="B254" i="38"/>
  <c r="B255" i="38"/>
  <c r="B256" i="38"/>
  <c r="B257" i="38"/>
  <c r="B258" i="38"/>
  <c r="B259" i="38"/>
  <c r="B260" i="38"/>
  <c r="B261" i="38"/>
  <c r="B262" i="38"/>
  <c r="B263" i="38"/>
  <c r="B264" i="38"/>
  <c r="B265" i="38"/>
  <c r="B266" i="38"/>
  <c r="B267" i="38"/>
  <c r="B268" i="38"/>
  <c r="B269" i="38"/>
  <c r="B270" i="38"/>
  <c r="B271" i="38"/>
  <c r="B272" i="38"/>
  <c r="B273" i="38"/>
  <c r="B274" i="38"/>
  <c r="B275" i="38"/>
  <c r="B276" i="38"/>
  <c r="B277" i="38"/>
  <c r="B278" i="38"/>
  <c r="B279" i="38"/>
  <c r="B280" i="38"/>
  <c r="B281" i="38"/>
  <c r="B282" i="38"/>
  <c r="B283" i="38"/>
  <c r="B284" i="38"/>
  <c r="B285" i="38"/>
  <c r="B286" i="38"/>
  <c r="B287" i="38"/>
  <c r="B288" i="38"/>
  <c r="B289" i="38"/>
  <c r="B290" i="38"/>
  <c r="B291" i="38"/>
  <c r="B292" i="38"/>
  <c r="B293" i="38"/>
  <c r="B294" i="38"/>
  <c r="B295" i="38"/>
  <c r="B296" i="38"/>
  <c r="B297" i="38"/>
  <c r="B298" i="38"/>
  <c r="B299" i="38"/>
  <c r="B300" i="38"/>
  <c r="B301" i="38"/>
  <c r="B302" i="38"/>
  <c r="B303" i="38"/>
  <c r="B304" i="38"/>
  <c r="B305" i="38"/>
  <c r="B306" i="38"/>
  <c r="B307" i="38"/>
  <c r="B308" i="38"/>
  <c r="B309" i="38"/>
  <c r="B310" i="38"/>
  <c r="B311" i="38"/>
  <c r="B312" i="38"/>
  <c r="B313" i="38"/>
  <c r="B314" i="38"/>
  <c r="B315" i="38"/>
  <c r="B316" i="38"/>
  <c r="B317" i="38"/>
  <c r="B318" i="38"/>
  <c r="B319" i="38"/>
  <c r="B320" i="38"/>
  <c r="B321" i="38"/>
  <c r="B322" i="38"/>
  <c r="B323" i="38"/>
  <c r="B324" i="38"/>
  <c r="B325" i="38"/>
  <c r="B326" i="38"/>
  <c r="B327" i="38"/>
  <c r="B328" i="38"/>
  <c r="B329" i="38"/>
  <c r="B330" i="38"/>
  <c r="B331" i="38"/>
  <c r="B332" i="38"/>
  <c r="B333" i="38"/>
  <c r="B334" i="38"/>
  <c r="B335" i="38"/>
  <c r="B336" i="38"/>
  <c r="B337" i="38"/>
  <c r="B338" i="38"/>
  <c r="B339" i="38"/>
  <c r="B340" i="38"/>
  <c r="B341" i="38"/>
  <c r="B342" i="38"/>
  <c r="B343" i="38"/>
  <c r="B344" i="38"/>
  <c r="B345" i="38"/>
  <c r="B346" i="38"/>
  <c r="B347" i="38"/>
  <c r="B348" i="38"/>
  <c r="B349" i="38"/>
  <c r="B350" i="38"/>
  <c r="B351" i="38"/>
  <c r="B352" i="38"/>
  <c r="B353" i="38"/>
  <c r="B354" i="38"/>
  <c r="B355" i="38"/>
  <c r="B356" i="38"/>
  <c r="B357" i="38"/>
  <c r="B358" i="38"/>
  <c r="B359" i="38"/>
  <c r="B360" i="38"/>
  <c r="B361" i="38"/>
  <c r="B362" i="38"/>
  <c r="B363" i="38"/>
  <c r="B364" i="38"/>
  <c r="B365" i="38"/>
  <c r="B366" i="38"/>
  <c r="B367" i="38"/>
  <c r="B368" i="38"/>
  <c r="B369" i="38"/>
  <c r="B370" i="38"/>
  <c r="B371" i="38"/>
  <c r="B372" i="38"/>
  <c r="B373" i="38"/>
  <c r="B374" i="38"/>
  <c r="B375" i="38"/>
  <c r="B376" i="38"/>
  <c r="B377" i="38"/>
  <c r="B378" i="38"/>
  <c r="B379" i="38"/>
  <c r="B380" i="38"/>
  <c r="B381" i="38"/>
  <c r="B382" i="38"/>
  <c r="B383" i="38"/>
  <c r="B384" i="38"/>
  <c r="B385" i="38"/>
  <c r="B386" i="38"/>
  <c r="B387" i="38"/>
  <c r="B388" i="38"/>
  <c r="B389" i="38"/>
  <c r="B390" i="38"/>
  <c r="B391" i="38"/>
  <c r="B392" i="38"/>
  <c r="B393" i="38"/>
  <c r="B394" i="38"/>
  <c r="B395" i="38"/>
  <c r="B396" i="38"/>
  <c r="B397" i="38"/>
  <c r="B398" i="38"/>
  <c r="B399" i="38"/>
  <c r="B400" i="38"/>
  <c r="B401" i="38"/>
  <c r="B402" i="38"/>
  <c r="B403" i="38"/>
  <c r="B404" i="38"/>
  <c r="B405" i="38"/>
  <c r="B406" i="38"/>
  <c r="B407" i="38"/>
  <c r="B408" i="38"/>
  <c r="B409" i="38"/>
  <c r="B410" i="38"/>
  <c r="B411" i="38"/>
  <c r="B412" i="38"/>
  <c r="B413" i="38"/>
  <c r="B414" i="38"/>
  <c r="B415" i="38"/>
  <c r="B416" i="38"/>
  <c r="B424" i="38"/>
  <c r="B425" i="38"/>
  <c r="B426" i="38"/>
  <c r="B427" i="38"/>
  <c r="B428" i="38"/>
  <c r="B429" i="38"/>
  <c r="B430" i="38"/>
  <c r="B431" i="38"/>
  <c r="B432" i="38"/>
  <c r="B433" i="38"/>
  <c r="B434" i="38"/>
  <c r="B435" i="38"/>
  <c r="B436" i="38"/>
  <c r="B437" i="38"/>
  <c r="B438" i="38"/>
  <c r="B439" i="38"/>
  <c r="B440" i="38"/>
  <c r="B441" i="38"/>
  <c r="B418" i="38"/>
  <c r="B419" i="38"/>
  <c r="B420" i="38"/>
  <c r="B421" i="38"/>
  <c r="B422" i="38"/>
  <c r="B423" i="38"/>
  <c r="C1" i="33"/>
  <c r="F400" i="35"/>
  <c r="F401" i="35"/>
  <c r="F402" i="35"/>
  <c r="F403" i="35"/>
  <c r="F404" i="35"/>
  <c r="F405" i="35"/>
  <c r="F406" i="35"/>
  <c r="F407" i="35"/>
  <c r="F408" i="35"/>
  <c r="I400" i="35"/>
  <c r="I401" i="35"/>
  <c r="I402" i="35"/>
  <c r="I403" i="35"/>
  <c r="I404" i="35"/>
  <c r="I405" i="35"/>
  <c r="I406" i="35"/>
  <c r="I407" i="35"/>
  <c r="I408" i="35"/>
  <c r="F382" i="35"/>
  <c r="F383" i="35"/>
  <c r="F384" i="35"/>
  <c r="F385" i="35"/>
  <c r="F386" i="35"/>
  <c r="F387" i="35"/>
  <c r="F388" i="35"/>
  <c r="F389" i="35"/>
  <c r="F390" i="35"/>
  <c r="F391" i="35"/>
  <c r="F392" i="35"/>
  <c r="F393" i="35"/>
  <c r="F394" i="35"/>
  <c r="F395" i="35"/>
  <c r="F396" i="35"/>
  <c r="F397" i="35"/>
  <c r="F398" i="35"/>
  <c r="F399" i="35"/>
  <c r="I382" i="35"/>
  <c r="I383" i="35"/>
  <c r="I384" i="35"/>
  <c r="I385" i="35"/>
  <c r="I386" i="35"/>
  <c r="I387" i="35"/>
  <c r="I388" i="35"/>
  <c r="I389" i="35"/>
  <c r="I390" i="35"/>
  <c r="I391" i="35"/>
  <c r="I392" i="35"/>
  <c r="I393" i="35"/>
  <c r="I394" i="35"/>
  <c r="I395" i="35"/>
  <c r="I396" i="35"/>
  <c r="I397" i="35"/>
  <c r="I398" i="35"/>
  <c r="I399" i="35"/>
  <c r="F18" i="35"/>
  <c r="F19" i="35"/>
  <c r="F20" i="35"/>
  <c r="F21" i="35"/>
  <c r="F22" i="35"/>
  <c r="F23" i="35"/>
  <c r="F24" i="35"/>
  <c r="F25" i="35"/>
  <c r="F26" i="35"/>
  <c r="F27" i="35"/>
  <c r="F28" i="35"/>
  <c r="F29" i="35"/>
  <c r="F30" i="35"/>
  <c r="F31" i="35"/>
  <c r="F32" i="35"/>
  <c r="F33" i="35"/>
  <c r="F34" i="35"/>
  <c r="AA19" i="33"/>
  <c r="AA12" i="33"/>
  <c r="AA16" i="33"/>
  <c r="AA10" i="33"/>
  <c r="AA7" i="33"/>
  <c r="E33" i="37"/>
  <c r="G33" i="37"/>
  <c r="E34" i="37"/>
  <c r="G34" i="37"/>
  <c r="E30" i="37"/>
  <c r="G30" i="37"/>
  <c r="E31" i="37"/>
  <c r="G31" i="37"/>
  <c r="E32" i="37"/>
  <c r="G32" i="37"/>
  <c r="E25" i="37"/>
  <c r="G25" i="37"/>
  <c r="E26" i="37"/>
  <c r="G26" i="37"/>
  <c r="E27" i="37"/>
  <c r="G27" i="37"/>
  <c r="E28" i="37"/>
  <c r="G28" i="37"/>
  <c r="E29" i="37"/>
  <c r="G29" i="37"/>
  <c r="F69" i="35"/>
  <c r="I69" i="35"/>
  <c r="I45" i="10"/>
  <c r="J45" i="10"/>
  <c r="L45" i="10"/>
  <c r="M45" i="10"/>
  <c r="N45" i="10"/>
  <c r="P45" i="10"/>
  <c r="L64" i="8"/>
  <c r="L71" i="8"/>
  <c r="K71" i="8"/>
  <c r="K64" i="8"/>
  <c r="L80" i="8" l="1"/>
  <c r="K80" i="8"/>
  <c r="K79" i="8"/>
  <c r="L79" i="8"/>
  <c r="G2" i="31" l="1"/>
  <c r="G3" i="31"/>
  <c r="B39" i="32" s="1"/>
  <c r="G4" i="31"/>
  <c r="G5" i="31"/>
  <c r="G7" i="31"/>
  <c r="G8" i="31"/>
  <c r="G9" i="31"/>
  <c r="G10" i="31"/>
  <c r="G11" i="31"/>
  <c r="G12" i="31"/>
  <c r="G13" i="31"/>
  <c r="G14" i="31"/>
  <c r="G15" i="31"/>
  <c r="G16" i="31"/>
  <c r="G17" i="31"/>
  <c r="G18" i="31"/>
  <c r="G19" i="31"/>
  <c r="G20" i="31"/>
  <c r="G21" i="31"/>
  <c r="G22" i="31"/>
  <c r="G23" i="31"/>
  <c r="G24" i="31"/>
  <c r="G25" i="31"/>
  <c r="G26" i="31"/>
  <c r="G27" i="31"/>
  <c r="B15" i="32" s="1"/>
  <c r="G28" i="31"/>
  <c r="G29" i="31"/>
  <c r="G30" i="31"/>
  <c r="G31" i="31"/>
  <c r="G32" i="31"/>
  <c r="G33" i="31"/>
  <c r="G34" i="31"/>
  <c r="G35" i="31"/>
  <c r="C166" i="1" s="1"/>
  <c r="G36" i="31"/>
  <c r="C168" i="1" s="1"/>
  <c r="G37" i="31"/>
  <c r="F166" i="1" s="1"/>
  <c r="G38" i="31"/>
  <c r="G39" i="31"/>
  <c r="G44" i="31"/>
  <c r="J166" i="1" s="1"/>
  <c r="G45" i="31"/>
  <c r="G46" i="31"/>
  <c r="G47" i="31"/>
  <c r="G48" i="31"/>
  <c r="G49" i="31"/>
  <c r="G50" i="31"/>
  <c r="G51" i="31"/>
  <c r="G52" i="31"/>
  <c r="G53" i="31"/>
  <c r="G54" i="31"/>
  <c r="G55" i="31"/>
  <c r="G56" i="31"/>
  <c r="G63" i="31"/>
  <c r="G64" i="31"/>
  <c r="G65" i="31"/>
  <c r="G66" i="31"/>
  <c r="G67" i="31"/>
  <c r="G68" i="31"/>
  <c r="G69" i="31"/>
  <c r="G70" i="31"/>
  <c r="G71" i="31"/>
  <c r="C18" i="14" s="1"/>
  <c r="G72" i="31"/>
  <c r="G74" i="31"/>
  <c r="G75" i="31"/>
  <c r="G76" i="31"/>
  <c r="G77" i="31"/>
  <c r="G78" i="31"/>
  <c r="G79" i="31"/>
  <c r="G80" i="31"/>
  <c r="G81" i="31"/>
  <c r="G82" i="31"/>
  <c r="G83" i="31"/>
  <c r="G84" i="31"/>
  <c r="G85" i="31"/>
  <c r="G86" i="31"/>
  <c r="G87" i="31"/>
  <c r="G94" i="31"/>
  <c r="G95" i="31"/>
  <c r="G96" i="31"/>
  <c r="G97" i="31"/>
  <c r="G98" i="31"/>
  <c r="G99" i="31"/>
  <c r="G100" i="31"/>
  <c r="G101" i="31"/>
  <c r="G102" i="31"/>
  <c r="G103" i="31"/>
  <c r="G104" i="31"/>
  <c r="G105" i="31"/>
  <c r="G106" i="31"/>
  <c r="J147" i="2" l="1"/>
  <c r="L166" i="1"/>
  <c r="F91" i="8"/>
  <c r="K55" i="10"/>
  <c r="F95" i="14"/>
  <c r="F44" i="36"/>
  <c r="F148" i="2"/>
  <c r="H166" i="1"/>
  <c r="F90" i="8"/>
  <c r="F94" i="14"/>
  <c r="H94" i="14"/>
  <c r="I90" i="8"/>
  <c r="K90" i="8"/>
  <c r="J94" i="14"/>
  <c r="M119" i="1" l="1"/>
  <c r="M115" i="1"/>
  <c r="N110" i="1"/>
  <c r="M110" i="1"/>
  <c r="H45" i="10"/>
  <c r="I29" i="10"/>
  <c r="J29" i="10"/>
  <c r="K29" i="10"/>
  <c r="L29" i="10"/>
  <c r="M29" i="10"/>
  <c r="N29" i="10"/>
  <c r="H29" i="10"/>
  <c r="I37" i="10"/>
  <c r="I41" i="10" s="1"/>
  <c r="I53" i="10" s="1"/>
  <c r="J37" i="10"/>
  <c r="J41" i="10" s="1"/>
  <c r="J53" i="10" s="1"/>
  <c r="K37" i="10"/>
  <c r="K41" i="10" s="1"/>
  <c r="K53" i="10" s="1"/>
  <c r="M37" i="10"/>
  <c r="M41" i="10" s="1"/>
  <c r="M53" i="10" s="1"/>
  <c r="H93" i="31"/>
  <c r="I93" i="31"/>
  <c r="L21" i="36" l="1"/>
  <c r="L38" i="36" s="1"/>
  <c r="L37" i="10"/>
  <c r="L41" i="10" s="1"/>
  <c r="L53" i="10" s="1"/>
  <c r="N37" i="10"/>
  <c r="N41" i="10" s="1"/>
  <c r="N53" i="10" s="1"/>
  <c r="H37" i="10"/>
  <c r="H41" i="10" s="1"/>
  <c r="H53" i="10" s="1"/>
  <c r="M138" i="1"/>
  <c r="Q17" i="10" l="1" a="1"/>
  <c r="Q17" i="10" s="1"/>
  <c r="O43" i="10"/>
  <c r="Q43" i="10" s="1"/>
  <c r="O44" i="10"/>
  <c r="O47" i="10"/>
  <c r="Q47" i="10" s="1"/>
  <c r="O48" i="10"/>
  <c r="Q48" i="10" s="1"/>
  <c r="O49" i="10"/>
  <c r="Q49" i="10" s="1"/>
  <c r="O50" i="10"/>
  <c r="Q50" i="10" s="1"/>
  <c r="O51" i="10"/>
  <c r="Q51" i="10" s="1"/>
  <c r="AA32" i="33"/>
  <c r="AA33" i="33"/>
  <c r="A452" i="34"/>
  <c r="A446" i="34"/>
  <c r="A447" i="34"/>
  <c r="A442" i="34"/>
  <c r="A440" i="34"/>
  <c r="A438" i="34"/>
  <c r="A436" i="34"/>
  <c r="A430" i="34"/>
  <c r="A426" i="34"/>
  <c r="A422" i="34"/>
  <c r="A420" i="34"/>
  <c r="AA30" i="33"/>
  <c r="AA31" i="33"/>
  <c r="H92" i="31"/>
  <c r="I92" i="31"/>
  <c r="Q44" i="10" l="1"/>
  <c r="Q45" i="10" s="1"/>
  <c r="O45" i="10"/>
  <c r="L51" i="8"/>
  <c r="K51" i="8"/>
  <c r="L35" i="8"/>
  <c r="K35" i="8"/>
  <c r="L26" i="8"/>
  <c r="K26" i="8"/>
  <c r="L21" i="8"/>
  <c r="K21" i="8"/>
  <c r="A325" i="34"/>
  <c r="A326" i="34"/>
  <c r="A327" i="34"/>
  <c r="A328" i="34"/>
  <c r="A329" i="34"/>
  <c r="A330" i="34"/>
  <c r="A331" i="34"/>
  <c r="A332" i="34"/>
  <c r="A333" i="34"/>
  <c r="A334" i="34"/>
  <c r="A335" i="34"/>
  <c r="A336" i="34"/>
  <c r="A337" i="34"/>
  <c r="A280" i="34"/>
  <c r="L82" i="8" l="1"/>
  <c r="K82" i="8"/>
  <c r="L81" i="8"/>
  <c r="L88" i="8"/>
  <c r="L83" i="8"/>
  <c r="L84" i="8"/>
  <c r="K81" i="8"/>
  <c r="K88" i="8"/>
  <c r="K83" i="8"/>
  <c r="K84" i="8"/>
  <c r="K62" i="8"/>
  <c r="K63" i="8"/>
  <c r="L63" i="8"/>
  <c r="L62" i="8"/>
  <c r="L33" i="8"/>
  <c r="L34" i="8"/>
  <c r="K34" i="8"/>
  <c r="K33" i="8"/>
  <c r="A295" i="34"/>
  <c r="A296" i="34"/>
  <c r="A297" i="34"/>
  <c r="A298" i="34"/>
  <c r="A299" i="34"/>
  <c r="A300" i="34"/>
  <c r="A301" i="34"/>
  <c r="A302" i="34"/>
  <c r="A303" i="34"/>
  <c r="A304" i="34"/>
  <c r="A305" i="34"/>
  <c r="A306" i="34"/>
  <c r="A307" i="34"/>
  <c r="A308" i="34"/>
  <c r="A309" i="34"/>
  <c r="A310" i="34"/>
  <c r="A311" i="34"/>
  <c r="A312" i="34"/>
  <c r="A313" i="34"/>
  <c r="A314" i="34"/>
  <c r="A315" i="34"/>
  <c r="A316" i="34"/>
  <c r="A317" i="34"/>
  <c r="A318" i="34"/>
  <c r="A319" i="34"/>
  <c r="A320" i="34"/>
  <c r="A321" i="34"/>
  <c r="A322" i="34"/>
  <c r="A323" i="34"/>
  <c r="A324" i="34"/>
  <c r="A338" i="34"/>
  <c r="A339" i="34"/>
  <c r="A340" i="34"/>
  <c r="A341" i="34"/>
  <c r="A342" i="34"/>
  <c r="A343" i="34"/>
  <c r="A344" i="34"/>
  <c r="A345" i="34"/>
  <c r="A346" i="34"/>
  <c r="A347" i="34"/>
  <c r="A348" i="34"/>
  <c r="A349" i="34"/>
  <c r="A350" i="34"/>
  <c r="A351" i="34"/>
  <c r="A352" i="34"/>
  <c r="A277" i="34"/>
  <c r="A278" i="34"/>
  <c r="A279" i="34"/>
  <c r="A281" i="34"/>
  <c r="A282" i="34"/>
  <c r="A283" i="34"/>
  <c r="A284" i="34"/>
  <c r="A285" i="34"/>
  <c r="A286" i="34"/>
  <c r="A268" i="34"/>
  <c r="A269" i="34"/>
  <c r="A270" i="34"/>
  <c r="A271" i="34"/>
  <c r="A272" i="34"/>
  <c r="A273" i="34"/>
  <c r="A274" i="34"/>
  <c r="A275" i="34"/>
  <c r="A276" i="34"/>
  <c r="A287" i="34"/>
  <c r="A288" i="34"/>
  <c r="A289" i="34"/>
  <c r="A254" i="34"/>
  <c r="A255" i="34"/>
  <c r="A256" i="34"/>
  <c r="A257" i="34"/>
  <c r="A258" i="34"/>
  <c r="A259" i="34"/>
  <c r="A260" i="34"/>
  <c r="A261" i="34"/>
  <c r="A262" i="34"/>
  <c r="A263" i="34"/>
  <c r="A264" i="34"/>
  <c r="A265" i="34"/>
  <c r="A266" i="34"/>
  <c r="A267" i="34"/>
  <c r="A290" i="34"/>
  <c r="A291" i="34"/>
  <c r="A252" i="34"/>
  <c r="A253" i="34"/>
  <c r="A292" i="34"/>
  <c r="A293" i="34"/>
  <c r="A294" i="34"/>
  <c r="A242" i="34"/>
  <c r="A243" i="34"/>
  <c r="A244" i="34"/>
  <c r="A245" i="34"/>
  <c r="A246" i="34"/>
  <c r="A247" i="34"/>
  <c r="A248" i="34"/>
  <c r="A249" i="34"/>
  <c r="A250" i="34"/>
  <c r="A251" i="34"/>
  <c r="N139" i="1" l="1"/>
  <c r="N138" i="1" s="1"/>
  <c r="N128" i="1"/>
  <c r="N123" i="1" s="1"/>
  <c r="N119" i="1"/>
  <c r="N115" i="1"/>
  <c r="N106" i="1"/>
  <c r="N94" i="1"/>
  <c r="N93" i="1" s="1"/>
  <c r="M94" i="1"/>
  <c r="M93" i="1" s="1"/>
  <c r="N101" i="1"/>
  <c r="N161" i="1" l="1"/>
  <c r="L50" i="1"/>
  <c r="L42" i="1" s="1"/>
  <c r="K22" i="1"/>
  <c r="M22" i="1" l="1"/>
  <c r="L56" i="1"/>
  <c r="M56" i="1" s="1"/>
  <c r="N22" i="1"/>
  <c r="L22" i="1"/>
  <c r="N28" i="1"/>
  <c r="K28" i="1"/>
  <c r="I73" i="31"/>
  <c r="J18" i="8"/>
  <c r="H73" i="31"/>
  <c r="K21" i="1" l="1"/>
  <c r="K86" i="1"/>
  <c r="J18" i="1" a="1"/>
  <c r="J18" i="1" s="1"/>
  <c r="J18" i="36"/>
  <c r="J18" i="2"/>
  <c r="E24" i="37"/>
  <c r="G24" i="37"/>
  <c r="E35" i="37"/>
  <c r="G35" i="37"/>
  <c r="AA4" i="33"/>
  <c r="AA5" i="33"/>
  <c r="AA6" i="33"/>
  <c r="G69" i="38" s="1"/>
  <c r="AA9" i="33"/>
  <c r="AA13" i="33"/>
  <c r="AA15" i="33"/>
  <c r="AA18" i="33"/>
  <c r="AA20" i="33"/>
  <c r="AA21" i="33"/>
  <c r="AA22" i="33"/>
  <c r="AA23" i="33"/>
  <c r="AA24" i="33"/>
  <c r="AA25" i="33"/>
  <c r="AA26" i="33"/>
  <c r="AA27" i="33"/>
  <c r="AA28" i="33"/>
  <c r="AA29" i="33"/>
  <c r="D362" i="38" l="1"/>
  <c r="D378" i="38"/>
  <c r="D394" i="38"/>
  <c r="D410" i="38"/>
  <c r="D426" i="38"/>
  <c r="D397" i="38"/>
  <c r="D351" i="38"/>
  <c r="D367" i="38"/>
  <c r="D383" i="38"/>
  <c r="D399" i="38"/>
  <c r="D431" i="38"/>
  <c r="D393" i="38"/>
  <c r="D364" i="38"/>
  <c r="D396" i="38"/>
  <c r="D428" i="38"/>
  <c r="D389" i="38"/>
  <c r="D350" i="38"/>
  <c r="D366" i="38"/>
  <c r="D382" i="38"/>
  <c r="D398" i="38"/>
  <c r="D414" i="38"/>
  <c r="D430" i="38"/>
  <c r="D409" i="38"/>
  <c r="D355" i="38"/>
  <c r="D371" i="38"/>
  <c r="D387" i="38"/>
  <c r="D403" i="38"/>
  <c r="D419" i="38"/>
  <c r="D435" i="38"/>
  <c r="D369" i="38"/>
  <c r="D405" i="38"/>
  <c r="D352" i="38"/>
  <c r="D368" i="38"/>
  <c r="D384" i="38"/>
  <c r="D400" i="38"/>
  <c r="D416" i="38"/>
  <c r="D432" i="38"/>
  <c r="D365" i="38"/>
  <c r="D401" i="38"/>
  <c r="D423" i="38"/>
  <c r="D377" i="38"/>
  <c r="D356" i="38"/>
  <c r="D388" i="38"/>
  <c r="D420" i="38"/>
  <c r="D373" i="38"/>
  <c r="D354" i="38"/>
  <c r="D370" i="38"/>
  <c r="D386" i="38"/>
  <c r="D402" i="38"/>
  <c r="D418" i="38"/>
  <c r="D434" i="38"/>
  <c r="D421" i="38"/>
  <c r="D359" i="38"/>
  <c r="D375" i="38"/>
  <c r="D391" i="38"/>
  <c r="D407" i="38"/>
  <c r="D439" i="38"/>
  <c r="D417" i="38"/>
  <c r="D372" i="38"/>
  <c r="D404" i="38"/>
  <c r="D436" i="38"/>
  <c r="D413" i="38"/>
  <c r="D358" i="38"/>
  <c r="D374" i="38"/>
  <c r="D390" i="38"/>
  <c r="D406" i="38"/>
  <c r="D422" i="38"/>
  <c r="D438" i="38"/>
  <c r="D433" i="38"/>
  <c r="D363" i="38"/>
  <c r="D379" i="38"/>
  <c r="D395" i="38"/>
  <c r="D411" i="38"/>
  <c r="D427" i="38"/>
  <c r="D357" i="38"/>
  <c r="D385" i="38"/>
  <c r="D425" i="38"/>
  <c r="D360" i="38"/>
  <c r="D376" i="38"/>
  <c r="D392" i="38"/>
  <c r="D408" i="38"/>
  <c r="D424" i="38"/>
  <c r="D440" i="38"/>
  <c r="D381" i="38"/>
  <c r="D429" i="38"/>
  <c r="D415" i="38"/>
  <c r="D361" i="38"/>
  <c r="D437" i="38"/>
  <c r="D380" i="38"/>
  <c r="D412" i="38"/>
  <c r="D353" i="38"/>
  <c r="D441" i="38"/>
  <c r="H69" i="38"/>
  <c r="J404" i="38"/>
  <c r="N404" i="38"/>
  <c r="M405" i="38"/>
  <c r="L406" i="38"/>
  <c r="K407" i="38"/>
  <c r="J408" i="38"/>
  <c r="N408" i="38"/>
  <c r="M409" i="38"/>
  <c r="L410" i="38"/>
  <c r="K411" i="38"/>
  <c r="J412" i="38"/>
  <c r="N412" i="38"/>
  <c r="M413" i="38"/>
  <c r="L414" i="38"/>
  <c r="K415" i="38"/>
  <c r="J416" i="38"/>
  <c r="N416" i="38"/>
  <c r="J13" i="38"/>
  <c r="N13" i="38"/>
  <c r="M14" i="38"/>
  <c r="L15" i="38"/>
  <c r="K16" i="38"/>
  <c r="J17" i="38"/>
  <c r="N17" i="38"/>
  <c r="M18" i="38"/>
  <c r="L19" i="38"/>
  <c r="K20" i="38"/>
  <c r="J21" i="38"/>
  <c r="N21" i="38"/>
  <c r="M22" i="38"/>
  <c r="L23" i="38"/>
  <c r="K24" i="38"/>
  <c r="J25" i="38"/>
  <c r="N25" i="38"/>
  <c r="M26" i="38"/>
  <c r="L27" i="38"/>
  <c r="K28" i="38"/>
  <c r="J29" i="38"/>
  <c r="N29" i="38"/>
  <c r="M30" i="38"/>
  <c r="L31" i="38"/>
  <c r="K32" i="38"/>
  <c r="J33" i="38"/>
  <c r="N33" i="38"/>
  <c r="M34" i="38"/>
  <c r="L35" i="38"/>
  <c r="K36" i="38"/>
  <c r="J37" i="38"/>
  <c r="N37" i="38"/>
  <c r="M38" i="38"/>
  <c r="L39" i="38"/>
  <c r="K40" i="38"/>
  <c r="J41" i="38"/>
  <c r="N41" i="38"/>
  <c r="M42" i="38"/>
  <c r="L43" i="38"/>
  <c r="K44" i="38"/>
  <c r="J45" i="38"/>
  <c r="N45" i="38"/>
  <c r="M46" i="38"/>
  <c r="L47" i="38"/>
  <c r="K48" i="38"/>
  <c r="J49" i="38"/>
  <c r="N49" i="38"/>
  <c r="M50" i="38"/>
  <c r="L51" i="38"/>
  <c r="K52" i="38"/>
  <c r="J53" i="38"/>
  <c r="N53" i="38"/>
  <c r="M54" i="38"/>
  <c r="L55" i="38"/>
  <c r="K56" i="38"/>
  <c r="J57" i="38"/>
  <c r="N57" i="38"/>
  <c r="M58" i="38"/>
  <c r="L59" i="38"/>
  <c r="K60" i="38"/>
  <c r="J61" i="38"/>
  <c r="N61" i="38"/>
  <c r="M62" i="38"/>
  <c r="L63" i="38"/>
  <c r="K64" i="38"/>
  <c r="K404" i="38"/>
  <c r="J405" i="38"/>
  <c r="N405" i="38"/>
  <c r="M406" i="38"/>
  <c r="L407" i="38"/>
  <c r="K408" i="38"/>
  <c r="J409" i="38"/>
  <c r="N409" i="38"/>
  <c r="M410" i="38"/>
  <c r="L411" i="38"/>
  <c r="K412" i="38"/>
  <c r="J413" i="38"/>
  <c r="N413" i="38"/>
  <c r="M414" i="38"/>
  <c r="L415" i="38"/>
  <c r="K416" i="38"/>
  <c r="K13" i="38"/>
  <c r="J14" i="38"/>
  <c r="N14" i="38"/>
  <c r="M15" i="38"/>
  <c r="L16" i="38"/>
  <c r="K17" i="38"/>
  <c r="J18" i="38"/>
  <c r="N18" i="38"/>
  <c r="M19" i="38"/>
  <c r="L20" i="38"/>
  <c r="K21" i="38"/>
  <c r="J22" i="38"/>
  <c r="N22" i="38"/>
  <c r="M23" i="38"/>
  <c r="L24" i="38"/>
  <c r="K25" i="38"/>
  <c r="J26" i="38"/>
  <c r="N26" i="38"/>
  <c r="M27" i="38"/>
  <c r="L28" i="38"/>
  <c r="K29" i="38"/>
  <c r="J30" i="38"/>
  <c r="N30" i="38"/>
  <c r="M31" i="38"/>
  <c r="L32" i="38"/>
  <c r="K33" i="38"/>
  <c r="J34" i="38"/>
  <c r="N34" i="38"/>
  <c r="M35" i="38"/>
  <c r="L36" i="38"/>
  <c r="K37" i="38"/>
  <c r="J38" i="38"/>
  <c r="N38" i="38"/>
  <c r="M39" i="38"/>
  <c r="L40" i="38"/>
  <c r="K41" i="38"/>
  <c r="J42" i="38"/>
  <c r="N42" i="38"/>
  <c r="M43" i="38"/>
  <c r="L44" i="38"/>
  <c r="K45" i="38"/>
  <c r="J46" i="38"/>
  <c r="N46" i="38"/>
  <c r="M47" i="38"/>
  <c r="L48" i="38"/>
  <c r="K49" i="38"/>
  <c r="J50" i="38"/>
  <c r="N50" i="38"/>
  <c r="M51" i="38"/>
  <c r="L52" i="38"/>
  <c r="K53" i="38"/>
  <c r="J54" i="38"/>
  <c r="N54" i="38"/>
  <c r="M55" i="38"/>
  <c r="L56" i="38"/>
  <c r="K57" i="38"/>
  <c r="J58" i="38"/>
  <c r="N58" i="38"/>
  <c r="M59" i="38"/>
  <c r="L60" i="38"/>
  <c r="K61" i="38"/>
  <c r="J62" i="38"/>
  <c r="N62" i="38"/>
  <c r="M63" i="38"/>
  <c r="L64" i="38"/>
  <c r="L404" i="38"/>
  <c r="K405" i="38"/>
  <c r="J406" i="38"/>
  <c r="N406" i="38"/>
  <c r="M407" i="38"/>
  <c r="L408" i="38"/>
  <c r="K409" i="38"/>
  <c r="J410" i="38"/>
  <c r="N410" i="38"/>
  <c r="M411" i="38"/>
  <c r="L412" i="38"/>
  <c r="K413" i="38"/>
  <c r="J414" i="38"/>
  <c r="N414" i="38"/>
  <c r="M415" i="38"/>
  <c r="L416" i="38"/>
  <c r="L13" i="38"/>
  <c r="K14" i="38"/>
  <c r="J15" i="38"/>
  <c r="N15" i="38"/>
  <c r="M16" i="38"/>
  <c r="L17" i="38"/>
  <c r="K18" i="38"/>
  <c r="J19" i="38"/>
  <c r="N19" i="38"/>
  <c r="M20" i="38"/>
  <c r="L21" i="38"/>
  <c r="K22" i="38"/>
  <c r="J23" i="38"/>
  <c r="N23" i="38"/>
  <c r="M24" i="38"/>
  <c r="L25" i="38"/>
  <c r="K26" i="38"/>
  <c r="J27" i="38"/>
  <c r="N27" i="38"/>
  <c r="M28" i="38"/>
  <c r="L29" i="38"/>
  <c r="K30" i="38"/>
  <c r="J31" i="38"/>
  <c r="N31" i="38"/>
  <c r="M32" i="38"/>
  <c r="L33" i="38"/>
  <c r="K34" i="38"/>
  <c r="J35" i="38"/>
  <c r="N35" i="38"/>
  <c r="M36" i="38"/>
  <c r="L37" i="38"/>
  <c r="K38" i="38"/>
  <c r="J39" i="38"/>
  <c r="N39" i="38"/>
  <c r="M40" i="38"/>
  <c r="L41" i="38"/>
  <c r="K42" i="38"/>
  <c r="J43" i="38"/>
  <c r="N43" i="38"/>
  <c r="M44" i="38"/>
  <c r="L45" i="38"/>
  <c r="K46" i="38"/>
  <c r="J47" i="38"/>
  <c r="N47" i="38"/>
  <c r="M48" i="38"/>
  <c r="L49" i="38"/>
  <c r="K50" i="38"/>
  <c r="J51" i="38"/>
  <c r="N51" i="38"/>
  <c r="M52" i="38"/>
  <c r="L53" i="38"/>
  <c r="K54" i="38"/>
  <c r="J55" i="38"/>
  <c r="N55" i="38"/>
  <c r="M56" i="38"/>
  <c r="L57" i="38"/>
  <c r="K58" i="38"/>
  <c r="J59" i="38"/>
  <c r="N59" i="38"/>
  <c r="M60" i="38"/>
  <c r="L61" i="38"/>
  <c r="K62" i="38"/>
  <c r="J63" i="38"/>
  <c r="N63" i="38"/>
  <c r="M64" i="38"/>
  <c r="M404" i="38"/>
  <c r="N407" i="38"/>
  <c r="J411" i="38"/>
  <c r="K414" i="38"/>
  <c r="M13" i="38"/>
  <c r="N16" i="38"/>
  <c r="J20" i="38"/>
  <c r="K23" i="38"/>
  <c r="L26" i="38"/>
  <c r="M29" i="38"/>
  <c r="N32" i="38"/>
  <c r="J36" i="38"/>
  <c r="K39" i="38"/>
  <c r="L42" i="38"/>
  <c r="M45" i="38"/>
  <c r="N48" i="38"/>
  <c r="J52" i="38"/>
  <c r="K55" i="38"/>
  <c r="L58" i="38"/>
  <c r="M61" i="38"/>
  <c r="N64" i="38"/>
  <c r="M65" i="38"/>
  <c r="L66" i="38"/>
  <c r="K67" i="38"/>
  <c r="J68" i="38"/>
  <c r="N68" i="38"/>
  <c r="M69" i="38"/>
  <c r="L70" i="38"/>
  <c r="K71" i="38"/>
  <c r="J72" i="38"/>
  <c r="N72" i="38"/>
  <c r="M73" i="38"/>
  <c r="L74" i="38"/>
  <c r="K75" i="38"/>
  <c r="J76" i="38"/>
  <c r="N76" i="38"/>
  <c r="M77" i="38"/>
  <c r="L78" i="38"/>
  <c r="K79" i="38"/>
  <c r="J80" i="38"/>
  <c r="N80" i="38"/>
  <c r="M81" i="38"/>
  <c r="L82" i="38"/>
  <c r="K83" i="38"/>
  <c r="J84" i="38"/>
  <c r="N84" i="38"/>
  <c r="M85" i="38"/>
  <c r="L86" i="38"/>
  <c r="K87" i="38"/>
  <c r="J88" i="38"/>
  <c r="N88" i="38"/>
  <c r="M89" i="38"/>
  <c r="L90" i="38"/>
  <c r="K91" i="38"/>
  <c r="J92" i="38"/>
  <c r="N92" i="38"/>
  <c r="M93" i="38"/>
  <c r="L94" i="38"/>
  <c r="K95" i="38"/>
  <c r="J96" i="38"/>
  <c r="N96" i="38"/>
  <c r="M97" i="38"/>
  <c r="L98" i="38"/>
  <c r="K99" i="38"/>
  <c r="J100" i="38"/>
  <c r="N100" i="38"/>
  <c r="M101" i="38"/>
  <c r="L102" i="38"/>
  <c r="K103" i="38"/>
  <c r="J104" i="38"/>
  <c r="N104" i="38"/>
  <c r="M105" i="38"/>
  <c r="L106" i="38"/>
  <c r="K107" i="38"/>
  <c r="J108" i="38"/>
  <c r="N108" i="38"/>
  <c r="M109" i="38"/>
  <c r="L110" i="38"/>
  <c r="K111" i="38"/>
  <c r="J112" i="38"/>
  <c r="N112" i="38"/>
  <c r="M113" i="38"/>
  <c r="L114" i="38"/>
  <c r="K115" i="38"/>
  <c r="L405" i="38"/>
  <c r="M408" i="38"/>
  <c r="N411" i="38"/>
  <c r="J415" i="38"/>
  <c r="L14" i="38"/>
  <c r="M17" i="38"/>
  <c r="N20" i="38"/>
  <c r="J24" i="38"/>
  <c r="K27" i="38"/>
  <c r="L30" i="38"/>
  <c r="M33" i="38"/>
  <c r="N36" i="38"/>
  <c r="J40" i="38"/>
  <c r="K43" i="38"/>
  <c r="L46" i="38"/>
  <c r="M49" i="38"/>
  <c r="N52" i="38"/>
  <c r="J56" i="38"/>
  <c r="K59" i="38"/>
  <c r="L62" i="38"/>
  <c r="J65" i="38"/>
  <c r="N65" i="38"/>
  <c r="M66" i="38"/>
  <c r="L67" i="38"/>
  <c r="K68" i="38"/>
  <c r="J69" i="38"/>
  <c r="N69" i="38"/>
  <c r="M70" i="38"/>
  <c r="L71" i="38"/>
  <c r="K72" i="38"/>
  <c r="J73" i="38"/>
  <c r="N73" i="38"/>
  <c r="M74" i="38"/>
  <c r="L75" i="38"/>
  <c r="K76" i="38"/>
  <c r="J77" i="38"/>
  <c r="N77" i="38"/>
  <c r="M78" i="38"/>
  <c r="L79" i="38"/>
  <c r="K80" i="38"/>
  <c r="J81" i="38"/>
  <c r="N81" i="38"/>
  <c r="M82" i="38"/>
  <c r="L83" i="38"/>
  <c r="K84" i="38"/>
  <c r="J85" i="38"/>
  <c r="N85" i="38"/>
  <c r="M86" i="38"/>
  <c r="L87" i="38"/>
  <c r="K88" i="38"/>
  <c r="J89" i="38"/>
  <c r="N89" i="38"/>
  <c r="M90" i="38"/>
  <c r="L91" i="38"/>
  <c r="K92" i="38"/>
  <c r="J93" i="38"/>
  <c r="N93" i="38"/>
  <c r="M94" i="38"/>
  <c r="L95" i="38"/>
  <c r="K96" i="38"/>
  <c r="J97" i="38"/>
  <c r="N97" i="38"/>
  <c r="M98" i="38"/>
  <c r="L99" i="38"/>
  <c r="K100" i="38"/>
  <c r="J101" i="38"/>
  <c r="N101" i="38"/>
  <c r="M102" i="38"/>
  <c r="L103" i="38"/>
  <c r="K104" i="38"/>
  <c r="J105" i="38"/>
  <c r="N105" i="38"/>
  <c r="M106" i="38"/>
  <c r="L107" i="38"/>
  <c r="K108" i="38"/>
  <c r="J109" i="38"/>
  <c r="N109" i="38"/>
  <c r="M110" i="38"/>
  <c r="L111" i="38"/>
  <c r="K112" i="38"/>
  <c r="J113" i="38"/>
  <c r="N113" i="38"/>
  <c r="M114" i="38"/>
  <c r="L115" i="38"/>
  <c r="K116" i="38"/>
  <c r="K406" i="38"/>
  <c r="L409" i="38"/>
  <c r="M412" i="38"/>
  <c r="N415" i="38"/>
  <c r="K15" i="38"/>
  <c r="L18" i="38"/>
  <c r="M21" i="38"/>
  <c r="N24" i="38"/>
  <c r="J28" i="38"/>
  <c r="K31" i="38"/>
  <c r="L34" i="38"/>
  <c r="M37" i="38"/>
  <c r="N40" i="38"/>
  <c r="J44" i="38"/>
  <c r="K47" i="38"/>
  <c r="L50" i="38"/>
  <c r="M53" i="38"/>
  <c r="N56" i="38"/>
  <c r="J60" i="38"/>
  <c r="K63" i="38"/>
  <c r="K65" i="38"/>
  <c r="J66" i="38"/>
  <c r="N66" i="38"/>
  <c r="M67" i="38"/>
  <c r="L68" i="38"/>
  <c r="K69" i="38"/>
  <c r="J70" i="38"/>
  <c r="N70" i="38"/>
  <c r="M71" i="38"/>
  <c r="L72" i="38"/>
  <c r="K73" i="38"/>
  <c r="J74" i="38"/>
  <c r="N74" i="38"/>
  <c r="M75" i="38"/>
  <c r="L76" i="38"/>
  <c r="K77" i="38"/>
  <c r="J78" i="38"/>
  <c r="N78" i="38"/>
  <c r="M79" i="38"/>
  <c r="L80" i="38"/>
  <c r="K81" i="38"/>
  <c r="J82" i="38"/>
  <c r="N82" i="38"/>
  <c r="M83" i="38"/>
  <c r="L84" i="38"/>
  <c r="K85" i="38"/>
  <c r="J86" i="38"/>
  <c r="N86" i="38"/>
  <c r="M87" i="38"/>
  <c r="L88" i="38"/>
  <c r="K89" i="38"/>
  <c r="J90" i="38"/>
  <c r="N90" i="38"/>
  <c r="M91" i="38"/>
  <c r="L92" i="38"/>
  <c r="K93" i="38"/>
  <c r="J94" i="38"/>
  <c r="N94" i="38"/>
  <c r="M95" i="38"/>
  <c r="L96" i="38"/>
  <c r="K97" i="38"/>
  <c r="J98" i="38"/>
  <c r="N98" i="38"/>
  <c r="M99" i="38"/>
  <c r="L100" i="38"/>
  <c r="K101" i="38"/>
  <c r="J102" i="38"/>
  <c r="N102" i="38"/>
  <c r="M103" i="38"/>
  <c r="L104" i="38"/>
  <c r="K105" i="38"/>
  <c r="J106" i="38"/>
  <c r="N106" i="38"/>
  <c r="M107" i="38"/>
  <c r="L108" i="38"/>
  <c r="K109" i="38"/>
  <c r="J110" i="38"/>
  <c r="N110" i="38"/>
  <c r="M111" i="38"/>
  <c r="L112" i="38"/>
  <c r="K113" i="38"/>
  <c r="J114" i="38"/>
  <c r="N114" i="38"/>
  <c r="M115" i="38"/>
  <c r="L116" i="38"/>
  <c r="J407" i="38"/>
  <c r="M25" i="38"/>
  <c r="L38" i="38"/>
  <c r="K51" i="38"/>
  <c r="J64" i="38"/>
  <c r="N67" i="38"/>
  <c r="J71" i="38"/>
  <c r="K74" i="38"/>
  <c r="L77" i="38"/>
  <c r="M80" i="38"/>
  <c r="N83" i="38"/>
  <c r="J87" i="38"/>
  <c r="K90" i="38"/>
  <c r="L93" i="38"/>
  <c r="M96" i="38"/>
  <c r="N99" i="38"/>
  <c r="J103" i="38"/>
  <c r="K106" i="38"/>
  <c r="L109" i="38"/>
  <c r="M112" i="38"/>
  <c r="N115" i="38"/>
  <c r="J117" i="38"/>
  <c r="N117" i="38"/>
  <c r="M118" i="38"/>
  <c r="L119" i="38"/>
  <c r="K120" i="38"/>
  <c r="J121" i="38"/>
  <c r="N121" i="38"/>
  <c r="M122" i="38"/>
  <c r="L123" i="38"/>
  <c r="K124" i="38"/>
  <c r="J125" i="38"/>
  <c r="N125" i="38"/>
  <c r="M126" i="38"/>
  <c r="L127" i="38"/>
  <c r="K128" i="38"/>
  <c r="J129" i="38"/>
  <c r="N129" i="38"/>
  <c r="M130" i="38"/>
  <c r="L131" i="38"/>
  <c r="K132" i="38"/>
  <c r="J133" i="38"/>
  <c r="N133" i="38"/>
  <c r="M134" i="38"/>
  <c r="L135" i="38"/>
  <c r="K136" i="38"/>
  <c r="M137" i="38"/>
  <c r="L138" i="38"/>
  <c r="K139" i="38"/>
  <c r="J140" i="38"/>
  <c r="N140" i="38"/>
  <c r="M141" i="38"/>
  <c r="L142" i="38"/>
  <c r="K143" i="38"/>
  <c r="J144" i="38"/>
  <c r="N144" i="38"/>
  <c r="M145" i="38"/>
  <c r="L146" i="38"/>
  <c r="K147" i="38"/>
  <c r="J148" i="38"/>
  <c r="N148" i="38"/>
  <c r="M149" i="38"/>
  <c r="L150" i="38"/>
  <c r="K151" i="38"/>
  <c r="J152" i="38"/>
  <c r="N152" i="38"/>
  <c r="M153" i="38"/>
  <c r="L154" i="38"/>
  <c r="K155" i="38"/>
  <c r="J156" i="38"/>
  <c r="N156" i="38"/>
  <c r="M157" i="38"/>
  <c r="L158" i="38"/>
  <c r="K159" i="38"/>
  <c r="J160" i="38"/>
  <c r="N160" i="38"/>
  <c r="M161" i="38"/>
  <c r="L162" i="38"/>
  <c r="K163" i="38"/>
  <c r="J164" i="38"/>
  <c r="N164" i="38"/>
  <c r="M165" i="38"/>
  <c r="L166" i="38"/>
  <c r="K167" i="38"/>
  <c r="J168" i="38"/>
  <c r="N168" i="38"/>
  <c r="M169" i="38"/>
  <c r="L170" i="38"/>
  <c r="K171" i="38"/>
  <c r="J172" i="38"/>
  <c r="N172" i="38"/>
  <c r="M173" i="38"/>
  <c r="L174" i="38"/>
  <c r="K175" i="38"/>
  <c r="J176" i="38"/>
  <c r="N176" i="38"/>
  <c r="M177" i="38"/>
  <c r="L178" i="38"/>
  <c r="K179" i="38"/>
  <c r="J180" i="38"/>
  <c r="N180" i="38"/>
  <c r="M181" i="38"/>
  <c r="L182" i="38"/>
  <c r="K183" i="38"/>
  <c r="J184" i="38"/>
  <c r="N184" i="38"/>
  <c r="M185" i="38"/>
  <c r="L186" i="38"/>
  <c r="K187" i="38"/>
  <c r="J188" i="38"/>
  <c r="N188" i="38"/>
  <c r="M189" i="38"/>
  <c r="L190" i="38"/>
  <c r="K191" i="38"/>
  <c r="J192" i="38"/>
  <c r="N192" i="38"/>
  <c r="M193" i="38"/>
  <c r="L194" i="38"/>
  <c r="K195" i="38"/>
  <c r="J196" i="38"/>
  <c r="N196" i="38"/>
  <c r="M197" i="38"/>
  <c r="L198" i="38"/>
  <c r="K199" i="38"/>
  <c r="J200" i="38"/>
  <c r="N200" i="38"/>
  <c r="M201" i="38"/>
  <c r="L202" i="38"/>
  <c r="K203" i="38"/>
  <c r="J204" i="38"/>
  <c r="N204" i="38"/>
  <c r="M205" i="38"/>
  <c r="L206" i="38"/>
  <c r="K207" i="38"/>
  <c r="J208" i="38"/>
  <c r="N208" i="38"/>
  <c r="M209" i="38"/>
  <c r="L210" i="38"/>
  <c r="K211" i="38"/>
  <c r="J212" i="38"/>
  <c r="N212" i="38"/>
  <c r="M213" i="38"/>
  <c r="L214" i="38"/>
  <c r="K215" i="38"/>
  <c r="J216" i="38"/>
  <c r="N216" i="38"/>
  <c r="M217" i="38"/>
  <c r="L218" i="38"/>
  <c r="K219" i="38"/>
  <c r="J220" i="38"/>
  <c r="N220" i="38"/>
  <c r="M221" i="38"/>
  <c r="L222" i="38"/>
  <c r="K223" i="38"/>
  <c r="J224" i="38"/>
  <c r="N224" i="38"/>
  <c r="M225" i="38"/>
  <c r="L226" i="38"/>
  <c r="K227" i="38"/>
  <c r="J228" i="38"/>
  <c r="N228" i="38"/>
  <c r="M229" i="38"/>
  <c r="L230" i="38"/>
  <c r="K410" i="38"/>
  <c r="J16" i="38"/>
  <c r="N28" i="38"/>
  <c r="M41" i="38"/>
  <c r="L54" i="38"/>
  <c r="L65" i="38"/>
  <c r="M68" i="38"/>
  <c r="N71" i="38"/>
  <c r="J75" i="38"/>
  <c r="K78" i="38"/>
  <c r="L81" i="38"/>
  <c r="M84" i="38"/>
  <c r="N87" i="38"/>
  <c r="J91" i="38"/>
  <c r="K94" i="38"/>
  <c r="L97" i="38"/>
  <c r="M100" i="38"/>
  <c r="N103" i="38"/>
  <c r="J107" i="38"/>
  <c r="K110" i="38"/>
  <c r="L113" i="38"/>
  <c r="J116" i="38"/>
  <c r="K117" i="38"/>
  <c r="J118" i="38"/>
  <c r="N118" i="38"/>
  <c r="M119" i="38"/>
  <c r="L120" i="38"/>
  <c r="K121" i="38"/>
  <c r="J122" i="38"/>
  <c r="N122" i="38"/>
  <c r="M123" i="38"/>
  <c r="L124" i="38"/>
  <c r="K125" i="38"/>
  <c r="J126" i="38"/>
  <c r="N126" i="38"/>
  <c r="M127" i="38"/>
  <c r="L128" i="38"/>
  <c r="K129" i="38"/>
  <c r="J130" i="38"/>
  <c r="N130" i="38"/>
  <c r="M131" i="38"/>
  <c r="L132" i="38"/>
  <c r="K133" i="38"/>
  <c r="J134" i="38"/>
  <c r="N134" i="38"/>
  <c r="M135" i="38"/>
  <c r="L136" i="38"/>
  <c r="J137" i="38"/>
  <c r="N137" i="38"/>
  <c r="M138" i="38"/>
  <c r="L139" i="38"/>
  <c r="K140" i="38"/>
  <c r="J141" i="38"/>
  <c r="N141" i="38"/>
  <c r="M142" i="38"/>
  <c r="L143" i="38"/>
  <c r="K144" i="38"/>
  <c r="J145" i="38"/>
  <c r="N145" i="38"/>
  <c r="M146" i="38"/>
  <c r="L147" i="38"/>
  <c r="K148" i="38"/>
  <c r="J149" i="38"/>
  <c r="N149" i="38"/>
  <c r="M150" i="38"/>
  <c r="L151" i="38"/>
  <c r="K152" i="38"/>
  <c r="J153" i="38"/>
  <c r="N153" i="38"/>
  <c r="M154" i="38"/>
  <c r="L155" i="38"/>
  <c r="K156" i="38"/>
  <c r="J157" i="38"/>
  <c r="N157" i="38"/>
  <c r="M158" i="38"/>
  <c r="L159" i="38"/>
  <c r="K160" i="38"/>
  <c r="J161" i="38"/>
  <c r="N161" i="38"/>
  <c r="M162" i="38"/>
  <c r="L163" i="38"/>
  <c r="K164" i="38"/>
  <c r="J165" i="38"/>
  <c r="N165" i="38"/>
  <c r="M166" i="38"/>
  <c r="L167" i="38"/>
  <c r="K168" i="38"/>
  <c r="J169" i="38"/>
  <c r="N169" i="38"/>
  <c r="M170" i="38"/>
  <c r="L171" i="38"/>
  <c r="K172" i="38"/>
  <c r="J173" i="38"/>
  <c r="N173" i="38"/>
  <c r="M174" i="38"/>
  <c r="L175" i="38"/>
  <c r="K176" i="38"/>
  <c r="J177" i="38"/>
  <c r="N177" i="38"/>
  <c r="M178" i="38"/>
  <c r="L179" i="38"/>
  <c r="K180" i="38"/>
  <c r="J181" i="38"/>
  <c r="N181" i="38"/>
  <c r="M182" i="38"/>
  <c r="L183" i="38"/>
  <c r="K184" i="38"/>
  <c r="J185" i="38"/>
  <c r="N185" i="38"/>
  <c r="M186" i="38"/>
  <c r="L187" i="38"/>
  <c r="K188" i="38"/>
  <c r="J189" i="38"/>
  <c r="N189" i="38"/>
  <c r="M190" i="38"/>
  <c r="L191" i="38"/>
  <c r="K192" i="38"/>
  <c r="J193" i="38"/>
  <c r="N193" i="38"/>
  <c r="M194" i="38"/>
  <c r="L195" i="38"/>
  <c r="K196" i="38"/>
  <c r="J197" i="38"/>
  <c r="N197" i="38"/>
  <c r="M198" i="38"/>
  <c r="L199" i="38"/>
  <c r="K200" i="38"/>
  <c r="J201" i="38"/>
  <c r="N201" i="38"/>
  <c r="M202" i="38"/>
  <c r="L203" i="38"/>
  <c r="K204" i="38"/>
  <c r="J205" i="38"/>
  <c r="N205" i="38"/>
  <c r="M206" i="38"/>
  <c r="L207" i="38"/>
  <c r="K208" i="38"/>
  <c r="J209" i="38"/>
  <c r="N209" i="38"/>
  <c r="M210" i="38"/>
  <c r="L211" i="38"/>
  <c r="K212" i="38"/>
  <c r="J213" i="38"/>
  <c r="N213" i="38"/>
  <c r="M214" i="38"/>
  <c r="L215" i="38"/>
  <c r="K216" i="38"/>
  <c r="J217" i="38"/>
  <c r="N217" i="38"/>
  <c r="M218" i="38"/>
  <c r="L219" i="38"/>
  <c r="K220" i="38"/>
  <c r="J221" i="38"/>
  <c r="N221" i="38"/>
  <c r="M222" i="38"/>
  <c r="L223" i="38"/>
  <c r="K224" i="38"/>
  <c r="J225" i="38"/>
  <c r="N225" i="38"/>
  <c r="M226" i="38"/>
  <c r="L227" i="38"/>
  <c r="K228" i="38"/>
  <c r="J229" i="38"/>
  <c r="N229" i="38"/>
  <c r="M230" i="38"/>
  <c r="L231" i="38"/>
  <c r="K232" i="38"/>
  <c r="J233" i="38"/>
  <c r="N233" i="38"/>
  <c r="L413" i="38"/>
  <c r="K19" i="38"/>
  <c r="J32" i="38"/>
  <c r="N44" i="38"/>
  <c r="M57" i="38"/>
  <c r="K66" i="38"/>
  <c r="L69" i="38"/>
  <c r="M72" i="38"/>
  <c r="N75" i="38"/>
  <c r="J79" i="38"/>
  <c r="K82" i="38"/>
  <c r="L85" i="38"/>
  <c r="M88" i="38"/>
  <c r="N91" i="38"/>
  <c r="J95" i="38"/>
  <c r="K98" i="38"/>
  <c r="L101" i="38"/>
  <c r="M104" i="38"/>
  <c r="N107" i="38"/>
  <c r="J111" i="38"/>
  <c r="K114" i="38"/>
  <c r="M116" i="38"/>
  <c r="L117" i="38"/>
  <c r="K118" i="38"/>
  <c r="J119" i="38"/>
  <c r="N119" i="38"/>
  <c r="M120" i="38"/>
  <c r="L121" i="38"/>
  <c r="K122" i="38"/>
  <c r="J123" i="38"/>
  <c r="N123" i="38"/>
  <c r="M124" i="38"/>
  <c r="L125" i="38"/>
  <c r="K126" i="38"/>
  <c r="J127" i="38"/>
  <c r="N127" i="38"/>
  <c r="M128" i="38"/>
  <c r="L129" i="38"/>
  <c r="K130" i="38"/>
  <c r="J131" i="38"/>
  <c r="N131" i="38"/>
  <c r="M132" i="38"/>
  <c r="L133" i="38"/>
  <c r="K134" i="38"/>
  <c r="J135" i="38"/>
  <c r="N135" i="38"/>
  <c r="M136" i="38"/>
  <c r="K137" i="38"/>
  <c r="J138" i="38"/>
  <c r="N138" i="38"/>
  <c r="M139" i="38"/>
  <c r="L140" i="38"/>
  <c r="K141" i="38"/>
  <c r="J142" i="38"/>
  <c r="N142" i="38"/>
  <c r="M143" i="38"/>
  <c r="L144" i="38"/>
  <c r="K145" i="38"/>
  <c r="J146" i="38"/>
  <c r="N146" i="38"/>
  <c r="M147" i="38"/>
  <c r="L148" i="38"/>
  <c r="K149" i="38"/>
  <c r="J150" i="38"/>
  <c r="N150" i="38"/>
  <c r="M151" i="38"/>
  <c r="L152" i="38"/>
  <c r="K153" i="38"/>
  <c r="J154" i="38"/>
  <c r="N154" i="38"/>
  <c r="M155" i="38"/>
  <c r="L156" i="38"/>
  <c r="K157" i="38"/>
  <c r="J158" i="38"/>
  <c r="N158" i="38"/>
  <c r="M159" i="38"/>
  <c r="L160" i="38"/>
  <c r="K161" i="38"/>
  <c r="J162" i="38"/>
  <c r="N162" i="38"/>
  <c r="M163" i="38"/>
  <c r="L164" i="38"/>
  <c r="K165" i="38"/>
  <c r="J166" i="38"/>
  <c r="N166" i="38"/>
  <c r="M167" i="38"/>
  <c r="L168" i="38"/>
  <c r="K169" i="38"/>
  <c r="J170" i="38"/>
  <c r="N170" i="38"/>
  <c r="M171" i="38"/>
  <c r="L172" i="38"/>
  <c r="K173" i="38"/>
  <c r="J174" i="38"/>
  <c r="N174" i="38"/>
  <c r="M175" i="38"/>
  <c r="L176" i="38"/>
  <c r="K177" i="38"/>
  <c r="J178" i="38"/>
  <c r="N178" i="38"/>
  <c r="M179" i="38"/>
  <c r="L180" i="38"/>
  <c r="K181" i="38"/>
  <c r="J182" i="38"/>
  <c r="N182" i="38"/>
  <c r="M183" i="38"/>
  <c r="L184" i="38"/>
  <c r="K185" i="38"/>
  <c r="J186" i="38"/>
  <c r="N186" i="38"/>
  <c r="M187" i="38"/>
  <c r="L188" i="38"/>
  <c r="K189" i="38"/>
  <c r="J190" i="38"/>
  <c r="N190" i="38"/>
  <c r="M191" i="38"/>
  <c r="L192" i="38"/>
  <c r="K193" i="38"/>
  <c r="J194" i="38"/>
  <c r="N194" i="38"/>
  <c r="M195" i="38"/>
  <c r="L196" i="38"/>
  <c r="K197" i="38"/>
  <c r="J198" i="38"/>
  <c r="N198" i="38"/>
  <c r="M199" i="38"/>
  <c r="L200" i="38"/>
  <c r="K201" i="38"/>
  <c r="J202" i="38"/>
  <c r="N202" i="38"/>
  <c r="M203" i="38"/>
  <c r="L204" i="38"/>
  <c r="K205" i="38"/>
  <c r="J206" i="38"/>
  <c r="N206" i="38"/>
  <c r="M207" i="38"/>
  <c r="L208" i="38"/>
  <c r="K209" i="38"/>
  <c r="J210" i="38"/>
  <c r="N210" i="38"/>
  <c r="M211" i="38"/>
  <c r="L212" i="38"/>
  <c r="K213" i="38"/>
  <c r="J214" i="38"/>
  <c r="N214" i="38"/>
  <c r="M215" i="38"/>
  <c r="L216" i="38"/>
  <c r="K217" i="38"/>
  <c r="J218" i="38"/>
  <c r="N218" i="38"/>
  <c r="M219" i="38"/>
  <c r="L220" i="38"/>
  <c r="K221" i="38"/>
  <c r="J222" i="38"/>
  <c r="N222" i="38"/>
  <c r="M223" i="38"/>
  <c r="L224" i="38"/>
  <c r="K225" i="38"/>
  <c r="J226" i="38"/>
  <c r="N226" i="38"/>
  <c r="M227" i="38"/>
  <c r="L228" i="38"/>
  <c r="K229" i="38"/>
  <c r="J230" i="38"/>
  <c r="N230" i="38"/>
  <c r="M231" i="38"/>
  <c r="L232" i="38"/>
  <c r="K233" i="38"/>
  <c r="J234" i="38"/>
  <c r="M416" i="38"/>
  <c r="N60" i="38"/>
  <c r="M76" i="38"/>
  <c r="L89" i="38"/>
  <c r="K102" i="38"/>
  <c r="J115" i="38"/>
  <c r="K119" i="38"/>
  <c r="L122" i="38"/>
  <c r="M125" i="38"/>
  <c r="N128" i="38"/>
  <c r="J132" i="38"/>
  <c r="K135" i="38"/>
  <c r="L137" i="38"/>
  <c r="M140" i="38"/>
  <c r="N143" i="38"/>
  <c r="J147" i="38"/>
  <c r="K150" i="38"/>
  <c r="L153" i="38"/>
  <c r="M156" i="38"/>
  <c r="N159" i="38"/>
  <c r="J163" i="38"/>
  <c r="K166" i="38"/>
  <c r="L169" i="38"/>
  <c r="M172" i="38"/>
  <c r="N175" i="38"/>
  <c r="J179" i="38"/>
  <c r="K182" i="38"/>
  <c r="L185" i="38"/>
  <c r="M188" i="38"/>
  <c r="N191" i="38"/>
  <c r="J195" i="38"/>
  <c r="K198" i="38"/>
  <c r="L201" i="38"/>
  <c r="M204" i="38"/>
  <c r="N207" i="38"/>
  <c r="J211" i="38"/>
  <c r="K214" i="38"/>
  <c r="L217" i="38"/>
  <c r="M220" i="38"/>
  <c r="N223" i="38"/>
  <c r="J227" i="38"/>
  <c r="K230" i="38"/>
  <c r="J232" i="38"/>
  <c r="M233" i="38"/>
  <c r="N234" i="38"/>
  <c r="M235" i="38"/>
  <c r="L236" i="38"/>
  <c r="K237" i="38"/>
  <c r="J238" i="38"/>
  <c r="N238" i="38"/>
  <c r="M239" i="38"/>
  <c r="L240" i="38"/>
  <c r="K241" i="38"/>
  <c r="J242" i="38"/>
  <c r="N242" i="38"/>
  <c r="M243" i="38"/>
  <c r="L244" i="38"/>
  <c r="K245" i="38"/>
  <c r="J246" i="38"/>
  <c r="N246" i="38"/>
  <c r="M247" i="38"/>
  <c r="L248" i="38"/>
  <c r="K249" i="38"/>
  <c r="J250" i="38"/>
  <c r="N250" i="38"/>
  <c r="M251" i="38"/>
  <c r="L252" i="38"/>
  <c r="K253" i="38"/>
  <c r="J254" i="38"/>
  <c r="N254" i="38"/>
  <c r="M255" i="38"/>
  <c r="L256" i="38"/>
  <c r="K257" i="38"/>
  <c r="J258" i="38"/>
  <c r="N258" i="38"/>
  <c r="M259" i="38"/>
  <c r="L260" i="38"/>
  <c r="K261" i="38"/>
  <c r="J262" i="38"/>
  <c r="N262" i="38"/>
  <c r="M263" i="38"/>
  <c r="L264" i="38"/>
  <c r="K265" i="38"/>
  <c r="J266" i="38"/>
  <c r="N266" i="38"/>
  <c r="M267" i="38"/>
  <c r="L268" i="38"/>
  <c r="K269" i="38"/>
  <c r="J270" i="38"/>
  <c r="N270" i="38"/>
  <c r="M271" i="38"/>
  <c r="L272" i="38"/>
  <c r="K273" i="38"/>
  <c r="J274" i="38"/>
  <c r="N274" i="38"/>
  <c r="M275" i="38"/>
  <c r="L276" i="38"/>
  <c r="K277" i="38"/>
  <c r="J278" i="38"/>
  <c r="N278" i="38"/>
  <c r="M279" i="38"/>
  <c r="L280" i="38"/>
  <c r="K281" i="38"/>
  <c r="J282" i="38"/>
  <c r="N282" i="38"/>
  <c r="M283" i="38"/>
  <c r="L284" i="38"/>
  <c r="K285" i="38"/>
  <c r="J286" i="38"/>
  <c r="N286" i="38"/>
  <c r="M287" i="38"/>
  <c r="L288" i="38"/>
  <c r="K289" i="38"/>
  <c r="J290" i="38"/>
  <c r="N290" i="38"/>
  <c r="M291" i="38"/>
  <c r="L292" i="38"/>
  <c r="K293" i="38"/>
  <c r="J294" i="38"/>
  <c r="N294" i="38"/>
  <c r="M295" i="38"/>
  <c r="L296" i="38"/>
  <c r="K297" i="38"/>
  <c r="J298" i="38"/>
  <c r="N298" i="38"/>
  <c r="M299" i="38"/>
  <c r="L300" i="38"/>
  <c r="K301" i="38"/>
  <c r="J302" i="38"/>
  <c r="N302" i="38"/>
  <c r="M303" i="38"/>
  <c r="L304" i="38"/>
  <c r="K305" i="38"/>
  <c r="J306" i="38"/>
  <c r="N306" i="38"/>
  <c r="M307" i="38"/>
  <c r="L308" i="38"/>
  <c r="K309" i="38"/>
  <c r="J310" i="38"/>
  <c r="N310" i="38"/>
  <c r="M311" i="38"/>
  <c r="L312" i="38"/>
  <c r="K313" i="38"/>
  <c r="J314" i="38"/>
  <c r="N314" i="38"/>
  <c r="M315" i="38"/>
  <c r="L316" i="38"/>
  <c r="K317" i="38"/>
  <c r="J318" i="38"/>
  <c r="N318" i="38"/>
  <c r="M319" i="38"/>
  <c r="L320" i="38"/>
  <c r="K321" i="38"/>
  <c r="J322" i="38"/>
  <c r="N322" i="38"/>
  <c r="M323" i="38"/>
  <c r="L324" i="38"/>
  <c r="K325" i="38"/>
  <c r="J326" i="38"/>
  <c r="N326" i="38"/>
  <c r="M327" i="38"/>
  <c r="L328" i="38"/>
  <c r="K329" i="38"/>
  <c r="J330" i="38"/>
  <c r="N330" i="38"/>
  <c r="M331" i="38"/>
  <c r="L332" i="38"/>
  <c r="K333" i="38"/>
  <c r="J334" i="38"/>
  <c r="N334" i="38"/>
  <c r="L22" i="38"/>
  <c r="J67" i="38"/>
  <c r="N79" i="38"/>
  <c r="M92" i="38"/>
  <c r="L105" i="38"/>
  <c r="N116" i="38"/>
  <c r="J120" i="38"/>
  <c r="K123" i="38"/>
  <c r="L126" i="38"/>
  <c r="M129" i="38"/>
  <c r="N132" i="38"/>
  <c r="J136" i="38"/>
  <c r="K138" i="38"/>
  <c r="L141" i="38"/>
  <c r="M144" i="38"/>
  <c r="N147" i="38"/>
  <c r="J151" i="38"/>
  <c r="K154" i="38"/>
  <c r="L157" i="38"/>
  <c r="M160" i="38"/>
  <c r="N163" i="38"/>
  <c r="J167" i="38"/>
  <c r="K170" i="38"/>
  <c r="L173" i="38"/>
  <c r="M176" i="38"/>
  <c r="N179" i="38"/>
  <c r="J183" i="38"/>
  <c r="K186" i="38"/>
  <c r="L189" i="38"/>
  <c r="M192" i="38"/>
  <c r="N195" i="38"/>
  <c r="J199" i="38"/>
  <c r="K202" i="38"/>
  <c r="L205" i="38"/>
  <c r="M208" i="38"/>
  <c r="N211" i="38"/>
  <c r="J215" i="38"/>
  <c r="K218" i="38"/>
  <c r="L221" i="38"/>
  <c r="M224" i="38"/>
  <c r="N227" i="38"/>
  <c r="J231" i="38"/>
  <c r="M232" i="38"/>
  <c r="K234" i="38"/>
  <c r="J235" i="38"/>
  <c r="N235" i="38"/>
  <c r="M236" i="38"/>
  <c r="L237" i="38"/>
  <c r="K238" i="38"/>
  <c r="J239" i="38"/>
  <c r="N239" i="38"/>
  <c r="M240" i="38"/>
  <c r="L241" i="38"/>
  <c r="K242" i="38"/>
  <c r="J243" i="38"/>
  <c r="N243" i="38"/>
  <c r="M244" i="38"/>
  <c r="L245" i="38"/>
  <c r="K246" i="38"/>
  <c r="J247" i="38"/>
  <c r="N247" i="38"/>
  <c r="M248" i="38"/>
  <c r="L249" i="38"/>
  <c r="K250" i="38"/>
  <c r="J251" i="38"/>
  <c r="N251" i="38"/>
  <c r="M252" i="38"/>
  <c r="L253" i="38"/>
  <c r="K254" i="38"/>
  <c r="J255" i="38"/>
  <c r="N255" i="38"/>
  <c r="M256" i="38"/>
  <c r="L257" i="38"/>
  <c r="K258" i="38"/>
  <c r="J259" i="38"/>
  <c r="N259" i="38"/>
  <c r="M260" i="38"/>
  <c r="L261" i="38"/>
  <c r="K262" i="38"/>
  <c r="J263" i="38"/>
  <c r="N263" i="38"/>
  <c r="M264" i="38"/>
  <c r="L265" i="38"/>
  <c r="K266" i="38"/>
  <c r="J267" i="38"/>
  <c r="N267" i="38"/>
  <c r="M268" i="38"/>
  <c r="L269" i="38"/>
  <c r="K270" i="38"/>
  <c r="J271" i="38"/>
  <c r="N271" i="38"/>
  <c r="M272" i="38"/>
  <c r="L273" i="38"/>
  <c r="K274" i="38"/>
  <c r="J275" i="38"/>
  <c r="N275" i="38"/>
  <c r="M276" i="38"/>
  <c r="L277" i="38"/>
  <c r="K278" i="38"/>
  <c r="J279" i="38"/>
  <c r="N279" i="38"/>
  <c r="M280" i="38"/>
  <c r="L281" i="38"/>
  <c r="K282" i="38"/>
  <c r="J283" i="38"/>
  <c r="N283" i="38"/>
  <c r="M284" i="38"/>
  <c r="L285" i="38"/>
  <c r="K286" i="38"/>
  <c r="J287" i="38"/>
  <c r="N287" i="38"/>
  <c r="M288" i="38"/>
  <c r="L289" i="38"/>
  <c r="K290" i="38"/>
  <c r="J291" i="38"/>
  <c r="N291" i="38"/>
  <c r="M292" i="38"/>
  <c r="L293" i="38"/>
  <c r="K294" i="38"/>
  <c r="J295" i="38"/>
  <c r="N295" i="38"/>
  <c r="M296" i="38"/>
  <c r="L297" i="38"/>
  <c r="K298" i="38"/>
  <c r="J299" i="38"/>
  <c r="N299" i="38"/>
  <c r="M300" i="38"/>
  <c r="L301" i="38"/>
  <c r="K302" i="38"/>
  <c r="J303" i="38"/>
  <c r="N303" i="38"/>
  <c r="M304" i="38"/>
  <c r="L305" i="38"/>
  <c r="K306" i="38"/>
  <c r="J307" i="38"/>
  <c r="N307" i="38"/>
  <c r="M308" i="38"/>
  <c r="L309" i="38"/>
  <c r="K310" i="38"/>
  <c r="J311" i="38"/>
  <c r="N311" i="38"/>
  <c r="M312" i="38"/>
  <c r="L313" i="38"/>
  <c r="K314" i="38"/>
  <c r="J315" i="38"/>
  <c r="N315" i="38"/>
  <c r="M316" i="38"/>
  <c r="L317" i="38"/>
  <c r="K318" i="38"/>
  <c r="J319" i="38"/>
  <c r="N319" i="38"/>
  <c r="M320" i="38"/>
  <c r="L321" i="38"/>
  <c r="K322" i="38"/>
  <c r="J323" i="38"/>
  <c r="N323" i="38"/>
  <c r="M324" i="38"/>
  <c r="L325" i="38"/>
  <c r="K326" i="38"/>
  <c r="J327" i="38"/>
  <c r="N327" i="38"/>
  <c r="M328" i="38"/>
  <c r="L329" i="38"/>
  <c r="K330" i="38"/>
  <c r="J331" i="38"/>
  <c r="N331" i="38"/>
  <c r="M332" i="38"/>
  <c r="L333" i="38"/>
  <c r="K334" i="38"/>
  <c r="J335" i="38"/>
  <c r="N335" i="38"/>
  <c r="K35" i="38"/>
  <c r="K70" i="38"/>
  <c r="J83" i="38"/>
  <c r="N95" i="38"/>
  <c r="M108" i="38"/>
  <c r="M117" i="38"/>
  <c r="N120" i="38"/>
  <c r="J124" i="38"/>
  <c r="K127" i="38"/>
  <c r="L130" i="38"/>
  <c r="M133" i="38"/>
  <c r="N136" i="38"/>
  <c r="J139" i="38"/>
  <c r="K142" i="38"/>
  <c r="L145" i="38"/>
  <c r="M148" i="38"/>
  <c r="N151" i="38"/>
  <c r="J155" i="38"/>
  <c r="K158" i="38"/>
  <c r="L161" i="38"/>
  <c r="M164" i="38"/>
  <c r="N167" i="38"/>
  <c r="J171" i="38"/>
  <c r="K174" i="38"/>
  <c r="L177" i="38"/>
  <c r="M180" i="38"/>
  <c r="N183" i="38"/>
  <c r="J187" i="38"/>
  <c r="K190" i="38"/>
  <c r="L193" i="38"/>
  <c r="M196" i="38"/>
  <c r="N199" i="38"/>
  <c r="J203" i="38"/>
  <c r="K206" i="38"/>
  <c r="L209" i="38"/>
  <c r="M212" i="38"/>
  <c r="N215" i="38"/>
  <c r="J219" i="38"/>
  <c r="K222" i="38"/>
  <c r="L225" i="38"/>
  <c r="M228" i="38"/>
  <c r="K231" i="38"/>
  <c r="N232" i="38"/>
  <c r="L234" i="38"/>
  <c r="K235" i="38"/>
  <c r="J236" i="38"/>
  <c r="N236" i="38"/>
  <c r="M237" i="38"/>
  <c r="L238" i="38"/>
  <c r="K239" i="38"/>
  <c r="J240" i="38"/>
  <c r="N240" i="38"/>
  <c r="M241" i="38"/>
  <c r="L242" i="38"/>
  <c r="K243" i="38"/>
  <c r="J244" i="38"/>
  <c r="N244" i="38"/>
  <c r="M245" i="38"/>
  <c r="L246" i="38"/>
  <c r="K247" i="38"/>
  <c r="J248" i="38"/>
  <c r="N248" i="38"/>
  <c r="M249" i="38"/>
  <c r="L250" i="38"/>
  <c r="K251" i="38"/>
  <c r="J252" i="38"/>
  <c r="N252" i="38"/>
  <c r="M253" i="38"/>
  <c r="L254" i="38"/>
  <c r="K255" i="38"/>
  <c r="J256" i="38"/>
  <c r="N256" i="38"/>
  <c r="M257" i="38"/>
  <c r="L258" i="38"/>
  <c r="K259" i="38"/>
  <c r="J260" i="38"/>
  <c r="N260" i="38"/>
  <c r="M261" i="38"/>
  <c r="L262" i="38"/>
  <c r="K263" i="38"/>
  <c r="J264" i="38"/>
  <c r="N264" i="38"/>
  <c r="M265" i="38"/>
  <c r="L266" i="38"/>
  <c r="K267" i="38"/>
  <c r="J268" i="38"/>
  <c r="N268" i="38"/>
  <c r="M269" i="38"/>
  <c r="L270" i="38"/>
  <c r="K271" i="38"/>
  <c r="J272" i="38"/>
  <c r="N272" i="38"/>
  <c r="M273" i="38"/>
  <c r="L274" i="38"/>
  <c r="K275" i="38"/>
  <c r="J276" i="38"/>
  <c r="N276" i="38"/>
  <c r="M277" i="38"/>
  <c r="L278" i="38"/>
  <c r="K279" i="38"/>
  <c r="J280" i="38"/>
  <c r="N280" i="38"/>
  <c r="M281" i="38"/>
  <c r="L282" i="38"/>
  <c r="K283" i="38"/>
  <c r="J284" i="38"/>
  <c r="N284" i="38"/>
  <c r="M285" i="38"/>
  <c r="L286" i="38"/>
  <c r="K287" i="38"/>
  <c r="J288" i="38"/>
  <c r="N288" i="38"/>
  <c r="M289" i="38"/>
  <c r="L290" i="38"/>
  <c r="K291" i="38"/>
  <c r="J292" i="38"/>
  <c r="N292" i="38"/>
  <c r="M293" i="38"/>
  <c r="L294" i="38"/>
  <c r="K295" i="38"/>
  <c r="J296" i="38"/>
  <c r="N296" i="38"/>
  <c r="M297" i="38"/>
  <c r="L298" i="38"/>
  <c r="K299" i="38"/>
  <c r="J300" i="38"/>
  <c r="N300" i="38"/>
  <c r="M301" i="38"/>
  <c r="L302" i="38"/>
  <c r="K303" i="38"/>
  <c r="J304" i="38"/>
  <c r="N304" i="38"/>
  <c r="M305" i="38"/>
  <c r="L306" i="38"/>
  <c r="K307" i="38"/>
  <c r="J308" i="38"/>
  <c r="N308" i="38"/>
  <c r="M309" i="38"/>
  <c r="L310" i="38"/>
  <c r="K311" i="38"/>
  <c r="J312" i="38"/>
  <c r="N312" i="38"/>
  <c r="M313" i="38"/>
  <c r="L314" i="38"/>
  <c r="K315" i="38"/>
  <c r="J316" i="38"/>
  <c r="N316" i="38"/>
  <c r="M317" i="38"/>
  <c r="L318" i="38"/>
  <c r="K319" i="38"/>
  <c r="J320" i="38"/>
  <c r="N320" i="38"/>
  <c r="M321" i="38"/>
  <c r="L322" i="38"/>
  <c r="K323" i="38"/>
  <c r="J324" i="38"/>
  <c r="N324" i="38"/>
  <c r="M325" i="38"/>
  <c r="L326" i="38"/>
  <c r="K327" i="38"/>
  <c r="J328" i="38"/>
  <c r="N328" i="38"/>
  <c r="M329" i="38"/>
  <c r="L330" i="38"/>
  <c r="J48" i="38"/>
  <c r="N111" i="38"/>
  <c r="J128" i="38"/>
  <c r="N139" i="38"/>
  <c r="M152" i="38"/>
  <c r="L165" i="38"/>
  <c r="K178" i="38"/>
  <c r="J191" i="38"/>
  <c r="N203" i="38"/>
  <c r="M216" i="38"/>
  <c r="L229" i="38"/>
  <c r="L235" i="38"/>
  <c r="M238" i="38"/>
  <c r="N241" i="38"/>
  <c r="J245" i="38"/>
  <c r="K248" i="38"/>
  <c r="L251" i="38"/>
  <c r="M254" i="38"/>
  <c r="N257" i="38"/>
  <c r="J261" i="38"/>
  <c r="K264" i="38"/>
  <c r="L267" i="38"/>
  <c r="M270" i="38"/>
  <c r="N273" i="38"/>
  <c r="J277" i="38"/>
  <c r="K280" i="38"/>
  <c r="L283" i="38"/>
  <c r="M286" i="38"/>
  <c r="N289" i="38"/>
  <c r="J293" i="38"/>
  <c r="K296" i="38"/>
  <c r="L299" i="38"/>
  <c r="M302" i="38"/>
  <c r="N305" i="38"/>
  <c r="J309" i="38"/>
  <c r="K312" i="38"/>
  <c r="L315" i="38"/>
  <c r="M318" i="38"/>
  <c r="N321" i="38"/>
  <c r="J325" i="38"/>
  <c r="K328" i="38"/>
  <c r="K331" i="38"/>
  <c r="N332" i="38"/>
  <c r="L334" i="38"/>
  <c r="M335" i="38"/>
  <c r="M336" i="38"/>
  <c r="L337" i="38"/>
  <c r="K338" i="38"/>
  <c r="J339" i="38"/>
  <c r="N339" i="38"/>
  <c r="M340" i="38"/>
  <c r="L341" i="38"/>
  <c r="K342" i="38"/>
  <c r="J343" i="38"/>
  <c r="N343" i="38"/>
  <c r="M344" i="38"/>
  <c r="L345" i="38"/>
  <c r="K346" i="38"/>
  <c r="J347" i="38"/>
  <c r="N347" i="38"/>
  <c r="M348" i="38"/>
  <c r="L349" i="38"/>
  <c r="K350" i="38"/>
  <c r="J351" i="38"/>
  <c r="N351" i="38"/>
  <c r="M352" i="38"/>
  <c r="L353" i="38"/>
  <c r="K354" i="38"/>
  <c r="J355" i="38"/>
  <c r="N355" i="38"/>
  <c r="M356" i="38"/>
  <c r="L357" i="38"/>
  <c r="K358" i="38"/>
  <c r="J359" i="38"/>
  <c r="N359" i="38"/>
  <c r="M360" i="38"/>
  <c r="L361" i="38"/>
  <c r="K362" i="38"/>
  <c r="J363" i="38"/>
  <c r="N363" i="38"/>
  <c r="M364" i="38"/>
  <c r="L365" i="38"/>
  <c r="K366" i="38"/>
  <c r="J367" i="38"/>
  <c r="N367" i="38"/>
  <c r="M368" i="38"/>
  <c r="L369" i="38"/>
  <c r="K370" i="38"/>
  <c r="J371" i="38"/>
  <c r="N371" i="38"/>
  <c r="M372" i="38"/>
  <c r="L373" i="38"/>
  <c r="K374" i="38"/>
  <c r="J375" i="38"/>
  <c r="N375" i="38"/>
  <c r="M376" i="38"/>
  <c r="L377" i="38"/>
  <c r="K378" i="38"/>
  <c r="J379" i="38"/>
  <c r="N379" i="38"/>
  <c r="M380" i="38"/>
  <c r="L381" i="38"/>
  <c r="K382" i="38"/>
  <c r="J383" i="38"/>
  <c r="N383" i="38"/>
  <c r="M384" i="38"/>
  <c r="L385" i="38"/>
  <c r="K386" i="38"/>
  <c r="J387" i="38"/>
  <c r="N387" i="38"/>
  <c r="M388" i="38"/>
  <c r="L389" i="38"/>
  <c r="K390" i="38"/>
  <c r="J391" i="38"/>
  <c r="N391" i="38"/>
  <c r="M392" i="38"/>
  <c r="L393" i="38"/>
  <c r="K394" i="38"/>
  <c r="J395" i="38"/>
  <c r="N395" i="38"/>
  <c r="M396" i="38"/>
  <c r="L397" i="38"/>
  <c r="K398" i="38"/>
  <c r="J399" i="38"/>
  <c r="N399" i="38"/>
  <c r="M400" i="38"/>
  <c r="L401" i="38"/>
  <c r="K402" i="38"/>
  <c r="J403" i="38"/>
  <c r="N403" i="38"/>
  <c r="M2" i="38"/>
  <c r="L3" i="38"/>
  <c r="K4" i="38"/>
  <c r="J5" i="38"/>
  <c r="N5" i="38"/>
  <c r="M6" i="38"/>
  <c r="L7" i="38"/>
  <c r="K8" i="38"/>
  <c r="J9" i="38"/>
  <c r="N9" i="38"/>
  <c r="M10" i="38"/>
  <c r="L11" i="38"/>
  <c r="K12" i="38"/>
  <c r="J99" i="38"/>
  <c r="K162" i="38"/>
  <c r="M200" i="38"/>
  <c r="M234" i="38"/>
  <c r="J241" i="38"/>
  <c r="M250" i="38"/>
  <c r="L263" i="38"/>
  <c r="N269" i="38"/>
  <c r="L279" i="38"/>
  <c r="J289" i="38"/>
  <c r="N301" i="38"/>
  <c r="J305" i="38"/>
  <c r="M314" i="38"/>
  <c r="K324" i="38"/>
  <c r="N333" i="38"/>
  <c r="L336" i="38"/>
  <c r="N338" i="38"/>
  <c r="J342" i="38"/>
  <c r="K345" i="38"/>
  <c r="M347" i="38"/>
  <c r="J350" i="38"/>
  <c r="N350" i="38"/>
  <c r="J354" i="38"/>
  <c r="L356" i="38"/>
  <c r="J358" i="38"/>
  <c r="K361" i="38"/>
  <c r="M363" i="38"/>
  <c r="K365" i="38"/>
  <c r="L368" i="38"/>
  <c r="J370" i="38"/>
  <c r="L73" i="38"/>
  <c r="L118" i="38"/>
  <c r="K131" i="38"/>
  <c r="J143" i="38"/>
  <c r="N155" i="38"/>
  <c r="M168" i="38"/>
  <c r="L181" i="38"/>
  <c r="K194" i="38"/>
  <c r="J207" i="38"/>
  <c r="N219" i="38"/>
  <c r="N231" i="38"/>
  <c r="K236" i="38"/>
  <c r="L239" i="38"/>
  <c r="M242" i="38"/>
  <c r="N245" i="38"/>
  <c r="J249" i="38"/>
  <c r="K252" i="38"/>
  <c r="L255" i="38"/>
  <c r="M258" i="38"/>
  <c r="N261" i="38"/>
  <c r="J265" i="38"/>
  <c r="K268" i="38"/>
  <c r="L271" i="38"/>
  <c r="M274" i="38"/>
  <c r="N277" i="38"/>
  <c r="J281" i="38"/>
  <c r="K284" i="38"/>
  <c r="L287" i="38"/>
  <c r="M290" i="38"/>
  <c r="N293" i="38"/>
  <c r="J297" i="38"/>
  <c r="K300" i="38"/>
  <c r="L303" i="38"/>
  <c r="M306" i="38"/>
  <c r="N309" i="38"/>
  <c r="J313" i="38"/>
  <c r="K316" i="38"/>
  <c r="L319" i="38"/>
  <c r="M322" i="38"/>
  <c r="N325" i="38"/>
  <c r="J329" i="38"/>
  <c r="L331" i="38"/>
  <c r="J333" i="38"/>
  <c r="M334" i="38"/>
  <c r="J336" i="38"/>
  <c r="N336" i="38"/>
  <c r="M337" i="38"/>
  <c r="L338" i="38"/>
  <c r="K339" i="38"/>
  <c r="J340" i="38"/>
  <c r="N340" i="38"/>
  <c r="M341" i="38"/>
  <c r="L342" i="38"/>
  <c r="K343" i="38"/>
  <c r="J344" i="38"/>
  <c r="N344" i="38"/>
  <c r="M345" i="38"/>
  <c r="L346" i="38"/>
  <c r="K347" i="38"/>
  <c r="J348" i="38"/>
  <c r="N348" i="38"/>
  <c r="M349" i="38"/>
  <c r="L350" i="38"/>
  <c r="K351" i="38"/>
  <c r="J352" i="38"/>
  <c r="N352" i="38"/>
  <c r="M353" i="38"/>
  <c r="L354" i="38"/>
  <c r="K355" i="38"/>
  <c r="J356" i="38"/>
  <c r="N356" i="38"/>
  <c r="M357" i="38"/>
  <c r="L358" i="38"/>
  <c r="K359" i="38"/>
  <c r="J360" i="38"/>
  <c r="N360" i="38"/>
  <c r="M361" i="38"/>
  <c r="L362" i="38"/>
  <c r="K363" i="38"/>
  <c r="J364" i="38"/>
  <c r="N364" i="38"/>
  <c r="M365" i="38"/>
  <c r="L366" i="38"/>
  <c r="K367" i="38"/>
  <c r="J368" i="38"/>
  <c r="N368" i="38"/>
  <c r="M369" i="38"/>
  <c r="L370" i="38"/>
  <c r="K371" i="38"/>
  <c r="J372" i="38"/>
  <c r="N372" i="38"/>
  <c r="M373" i="38"/>
  <c r="L374" i="38"/>
  <c r="K375" i="38"/>
  <c r="J376" i="38"/>
  <c r="N376" i="38"/>
  <c r="M377" i="38"/>
  <c r="L378" i="38"/>
  <c r="K379" i="38"/>
  <c r="J380" i="38"/>
  <c r="N380" i="38"/>
  <c r="M381" i="38"/>
  <c r="L382" i="38"/>
  <c r="K383" i="38"/>
  <c r="J384" i="38"/>
  <c r="N384" i="38"/>
  <c r="M385" i="38"/>
  <c r="L386" i="38"/>
  <c r="K387" i="38"/>
  <c r="J388" i="38"/>
  <c r="N388" i="38"/>
  <c r="M389" i="38"/>
  <c r="L390" i="38"/>
  <c r="K391" i="38"/>
  <c r="J392" i="38"/>
  <c r="N392" i="38"/>
  <c r="M393" i="38"/>
  <c r="L394" i="38"/>
  <c r="K395" i="38"/>
  <c r="J396" i="38"/>
  <c r="N396" i="38"/>
  <c r="M397" i="38"/>
  <c r="L398" i="38"/>
  <c r="K399" i="38"/>
  <c r="J400" i="38"/>
  <c r="N400" i="38"/>
  <c r="M401" i="38"/>
  <c r="L402" i="38"/>
  <c r="K403" i="38"/>
  <c r="J2" i="38"/>
  <c r="N2" i="38"/>
  <c r="M3" i="38"/>
  <c r="L4" i="38"/>
  <c r="K5" i="38"/>
  <c r="J6" i="38"/>
  <c r="N6" i="38"/>
  <c r="M7" i="38"/>
  <c r="L8" i="38"/>
  <c r="K9" i="38"/>
  <c r="J10" i="38"/>
  <c r="N10" i="38"/>
  <c r="M11" i="38"/>
  <c r="L12" i="38"/>
  <c r="M12" i="38"/>
  <c r="L149" i="38"/>
  <c r="N187" i="38"/>
  <c r="K226" i="38"/>
  <c r="K244" i="38"/>
  <c r="N253" i="38"/>
  <c r="K260" i="38"/>
  <c r="J273" i="38"/>
  <c r="M282" i="38"/>
  <c r="K292" i="38"/>
  <c r="M298" i="38"/>
  <c r="K308" i="38"/>
  <c r="N317" i="38"/>
  <c r="L327" i="38"/>
  <c r="K332" i="38"/>
  <c r="K337" i="38"/>
  <c r="M339" i="38"/>
  <c r="K341" i="38"/>
  <c r="M343" i="38"/>
  <c r="N346" i="38"/>
  <c r="K349" i="38"/>
  <c r="L352" i="38"/>
  <c r="N354" i="38"/>
  <c r="M355" i="38"/>
  <c r="N358" i="38"/>
  <c r="L360" i="38"/>
  <c r="N362" i="38"/>
  <c r="J366" i="38"/>
  <c r="M367" i="38"/>
  <c r="N370" i="38"/>
  <c r="K86" i="38"/>
  <c r="M121" i="38"/>
  <c r="L134" i="38"/>
  <c r="K146" i="38"/>
  <c r="J159" i="38"/>
  <c r="N171" i="38"/>
  <c r="M184" i="38"/>
  <c r="L197" i="38"/>
  <c r="K210" i="38"/>
  <c r="J223" i="38"/>
  <c r="L233" i="38"/>
  <c r="J237" i="38"/>
  <c r="K240" i="38"/>
  <c r="L243" i="38"/>
  <c r="M246" i="38"/>
  <c r="N249" i="38"/>
  <c r="J253" i="38"/>
  <c r="K256" i="38"/>
  <c r="L259" i="38"/>
  <c r="M262" i="38"/>
  <c r="N265" i="38"/>
  <c r="J269" i="38"/>
  <c r="K272" i="38"/>
  <c r="L275" i="38"/>
  <c r="M278" i="38"/>
  <c r="N281" i="38"/>
  <c r="J285" i="38"/>
  <c r="K288" i="38"/>
  <c r="L291" i="38"/>
  <c r="M294" i="38"/>
  <c r="N297" i="38"/>
  <c r="J301" i="38"/>
  <c r="K304" i="38"/>
  <c r="L307" i="38"/>
  <c r="M310" i="38"/>
  <c r="N313" i="38"/>
  <c r="J317" i="38"/>
  <c r="K320" i="38"/>
  <c r="L323" i="38"/>
  <c r="M326" i="38"/>
  <c r="N329" i="38"/>
  <c r="J332" i="38"/>
  <c r="M333" i="38"/>
  <c r="K335" i="38"/>
  <c r="K336" i="38"/>
  <c r="J337" i="38"/>
  <c r="N337" i="38"/>
  <c r="M338" i="38"/>
  <c r="L339" i="38"/>
  <c r="K340" i="38"/>
  <c r="J341" i="38"/>
  <c r="N341" i="38"/>
  <c r="M342" i="38"/>
  <c r="L343" i="38"/>
  <c r="K344" i="38"/>
  <c r="J345" i="38"/>
  <c r="N345" i="38"/>
  <c r="M346" i="38"/>
  <c r="L347" i="38"/>
  <c r="K348" i="38"/>
  <c r="J349" i="38"/>
  <c r="N349" i="38"/>
  <c r="M350" i="38"/>
  <c r="L351" i="38"/>
  <c r="K352" i="38"/>
  <c r="J353" i="38"/>
  <c r="N353" i="38"/>
  <c r="M354" i="38"/>
  <c r="L355" i="38"/>
  <c r="K356" i="38"/>
  <c r="J357" i="38"/>
  <c r="N357" i="38"/>
  <c r="M358" i="38"/>
  <c r="L359" i="38"/>
  <c r="K360" i="38"/>
  <c r="J361" i="38"/>
  <c r="N361" i="38"/>
  <c r="M362" i="38"/>
  <c r="L363" i="38"/>
  <c r="K364" i="38"/>
  <c r="J365" i="38"/>
  <c r="N365" i="38"/>
  <c r="M366" i="38"/>
  <c r="L367" i="38"/>
  <c r="K368" i="38"/>
  <c r="J369" i="38"/>
  <c r="N369" i="38"/>
  <c r="M370" i="38"/>
  <c r="L371" i="38"/>
  <c r="K372" i="38"/>
  <c r="J373" i="38"/>
  <c r="N373" i="38"/>
  <c r="M374" i="38"/>
  <c r="L375" i="38"/>
  <c r="K376" i="38"/>
  <c r="J377" i="38"/>
  <c r="N377" i="38"/>
  <c r="M378" i="38"/>
  <c r="L379" i="38"/>
  <c r="K380" i="38"/>
  <c r="J381" i="38"/>
  <c r="N381" i="38"/>
  <c r="M382" i="38"/>
  <c r="L383" i="38"/>
  <c r="K384" i="38"/>
  <c r="J385" i="38"/>
  <c r="N385" i="38"/>
  <c r="M386" i="38"/>
  <c r="L387" i="38"/>
  <c r="K388" i="38"/>
  <c r="J389" i="38"/>
  <c r="N389" i="38"/>
  <c r="M390" i="38"/>
  <c r="L391" i="38"/>
  <c r="K392" i="38"/>
  <c r="J393" i="38"/>
  <c r="N393" i="38"/>
  <c r="M394" i="38"/>
  <c r="L395" i="38"/>
  <c r="K396" i="38"/>
  <c r="J397" i="38"/>
  <c r="N397" i="38"/>
  <c r="M398" i="38"/>
  <c r="L399" i="38"/>
  <c r="K400" i="38"/>
  <c r="J401" i="38"/>
  <c r="N401" i="38"/>
  <c r="M402" i="38"/>
  <c r="L403" i="38"/>
  <c r="K2" i="38"/>
  <c r="J3" i="38"/>
  <c r="N3" i="38"/>
  <c r="M4" i="38"/>
  <c r="L5" i="38"/>
  <c r="K6" i="38"/>
  <c r="J7" i="38"/>
  <c r="N7" i="38"/>
  <c r="M8" i="38"/>
  <c r="L9" i="38"/>
  <c r="K10" i="38"/>
  <c r="J11" i="38"/>
  <c r="N11" i="38"/>
  <c r="N124" i="38"/>
  <c r="J175" i="38"/>
  <c r="L213" i="38"/>
  <c r="N237" i="38"/>
  <c r="L247" i="38"/>
  <c r="J257" i="38"/>
  <c r="M266" i="38"/>
  <c r="K276" i="38"/>
  <c r="N285" i="38"/>
  <c r="L295" i="38"/>
  <c r="L311" i="38"/>
  <c r="J321" i="38"/>
  <c r="M330" i="38"/>
  <c r="L335" i="38"/>
  <c r="J338" i="38"/>
  <c r="L340" i="38"/>
  <c r="N342" i="38"/>
  <c r="L344" i="38"/>
  <c r="J346" i="38"/>
  <c r="L348" i="38"/>
  <c r="M351" i="38"/>
  <c r="K353" i="38"/>
  <c r="K357" i="38"/>
  <c r="M359" i="38"/>
  <c r="J362" i="38"/>
  <c r="L364" i="38"/>
  <c r="N366" i="38"/>
  <c r="K369" i="38"/>
  <c r="M371" i="38"/>
  <c r="N374" i="38"/>
  <c r="J378" i="38"/>
  <c r="K381" i="38"/>
  <c r="L384" i="38"/>
  <c r="M387" i="38"/>
  <c r="N390" i="38"/>
  <c r="J394" i="38"/>
  <c r="K397" i="38"/>
  <c r="L400" i="38"/>
  <c r="M403" i="38"/>
  <c r="N4" i="38"/>
  <c r="J8" i="38"/>
  <c r="K11" i="38"/>
  <c r="L380" i="38"/>
  <c r="J390" i="38"/>
  <c r="N402" i="38"/>
  <c r="L10" i="38"/>
  <c r="L372" i="38"/>
  <c r="M375" i="38"/>
  <c r="N378" i="38"/>
  <c r="J382" i="38"/>
  <c r="K385" i="38"/>
  <c r="L388" i="38"/>
  <c r="M391" i="38"/>
  <c r="N394" i="38"/>
  <c r="J398" i="38"/>
  <c r="K401" i="38"/>
  <c r="L2" i="38"/>
  <c r="M5" i="38"/>
  <c r="N8" i="38"/>
  <c r="J12" i="38"/>
  <c r="K377" i="38"/>
  <c r="M383" i="38"/>
  <c r="K393" i="38"/>
  <c r="J4" i="38"/>
  <c r="K373" i="38"/>
  <c r="L376" i="38"/>
  <c r="M379" i="38"/>
  <c r="N382" i="38"/>
  <c r="J386" i="38"/>
  <c r="K389" i="38"/>
  <c r="L392" i="38"/>
  <c r="M395" i="38"/>
  <c r="N398" i="38"/>
  <c r="J402" i="38"/>
  <c r="K3" i="38"/>
  <c r="L6" i="38"/>
  <c r="M9" i="38"/>
  <c r="N12" i="38"/>
  <c r="J374" i="38"/>
  <c r="N386" i="38"/>
  <c r="L396" i="38"/>
  <c r="M399" i="38"/>
  <c r="K7" i="38"/>
  <c r="G413" i="38"/>
  <c r="H412" i="38"/>
  <c r="H416" i="38"/>
  <c r="I411" i="38"/>
  <c r="I415" i="38"/>
  <c r="G410" i="38"/>
  <c r="G414" i="38"/>
  <c r="H413" i="38"/>
  <c r="I412" i="38"/>
  <c r="I416" i="38"/>
  <c r="G411" i="38"/>
  <c r="G415" i="38"/>
  <c r="H410" i="38"/>
  <c r="H414" i="38"/>
  <c r="I413" i="38"/>
  <c r="G412" i="38"/>
  <c r="G416" i="38"/>
  <c r="H411" i="38"/>
  <c r="H415" i="38"/>
  <c r="I410" i="38"/>
  <c r="I414" i="38"/>
  <c r="G351" i="38"/>
  <c r="G355" i="38"/>
  <c r="G359" i="38"/>
  <c r="G363" i="38"/>
  <c r="G367" i="38"/>
  <c r="G371" i="38"/>
  <c r="G375" i="38"/>
  <c r="G352" i="38"/>
  <c r="G356" i="38"/>
  <c r="G360" i="38"/>
  <c r="G364" i="38"/>
  <c r="G368" i="38"/>
  <c r="G372" i="38"/>
  <c r="H73" i="38"/>
  <c r="H77" i="38"/>
  <c r="H81" i="38"/>
  <c r="H85" i="38"/>
  <c r="H89" i="38"/>
  <c r="H93" i="38"/>
  <c r="G353" i="38"/>
  <c r="G357" i="38"/>
  <c r="G361" i="38"/>
  <c r="G365" i="38"/>
  <c r="G369" i="38"/>
  <c r="G373" i="38"/>
  <c r="H70" i="38"/>
  <c r="H74" i="38"/>
  <c r="H78" i="38"/>
  <c r="G354" i="38"/>
  <c r="G370" i="38"/>
  <c r="H75" i="38"/>
  <c r="H82" i="38"/>
  <c r="H87" i="38"/>
  <c r="H92" i="38"/>
  <c r="H97" i="38"/>
  <c r="H101" i="38"/>
  <c r="H105" i="38"/>
  <c r="H109" i="38"/>
  <c r="H113" i="38"/>
  <c r="H117" i="38"/>
  <c r="H121" i="38"/>
  <c r="H125" i="38"/>
  <c r="H129" i="38"/>
  <c r="H133" i="38"/>
  <c r="H139" i="38"/>
  <c r="H143" i="38"/>
  <c r="H147" i="38"/>
  <c r="H151" i="38"/>
  <c r="H155" i="38"/>
  <c r="H159" i="38"/>
  <c r="H163" i="38"/>
  <c r="H167" i="38"/>
  <c r="H171" i="38"/>
  <c r="H175" i="38"/>
  <c r="H179" i="38"/>
  <c r="H183" i="38"/>
  <c r="H187" i="38"/>
  <c r="H191" i="38"/>
  <c r="H195" i="38"/>
  <c r="H199" i="38"/>
  <c r="H203" i="38"/>
  <c r="H207" i="38"/>
  <c r="H211" i="38"/>
  <c r="H215" i="38"/>
  <c r="H219" i="38"/>
  <c r="H223" i="38"/>
  <c r="H227" i="38"/>
  <c r="H231" i="38"/>
  <c r="H235" i="38"/>
  <c r="H239" i="38"/>
  <c r="H243" i="38"/>
  <c r="H247" i="38"/>
  <c r="H251" i="38"/>
  <c r="H255" i="38"/>
  <c r="H259" i="38"/>
  <c r="H263" i="38"/>
  <c r="H267" i="38"/>
  <c r="H271" i="38"/>
  <c r="H275" i="38"/>
  <c r="H281" i="38"/>
  <c r="H285" i="38"/>
  <c r="H289" i="38"/>
  <c r="H293" i="38"/>
  <c r="H297" i="38"/>
  <c r="H301" i="38"/>
  <c r="H305" i="38"/>
  <c r="H309" i="38"/>
  <c r="H313" i="38"/>
  <c r="H317" i="38"/>
  <c r="H321" i="38"/>
  <c r="H325" i="38"/>
  <c r="H329" i="38"/>
  <c r="H333" i="38"/>
  <c r="G358" i="38"/>
  <c r="G374" i="38"/>
  <c r="H76" i="38"/>
  <c r="H83" i="38"/>
  <c r="H88" i="38"/>
  <c r="H94" i="38"/>
  <c r="H98" i="38"/>
  <c r="H102" i="38"/>
  <c r="H106" i="38"/>
  <c r="H110" i="38"/>
  <c r="H114" i="38"/>
  <c r="H118" i="38"/>
  <c r="H122" i="38"/>
  <c r="H126" i="38"/>
  <c r="H130" i="38"/>
  <c r="H134" i="38"/>
  <c r="H140" i="38"/>
  <c r="H144" i="38"/>
  <c r="H148" i="38"/>
  <c r="H152" i="38"/>
  <c r="H156" i="38"/>
  <c r="H160" i="38"/>
  <c r="H164" i="38"/>
  <c r="H168" i="38"/>
  <c r="H172" i="38"/>
  <c r="H176" i="38"/>
  <c r="H180" i="38"/>
  <c r="H184" i="38"/>
  <c r="H188" i="38"/>
  <c r="H192" i="38"/>
  <c r="H196" i="38"/>
  <c r="H200" i="38"/>
  <c r="H204" i="38"/>
  <c r="H208" i="38"/>
  <c r="H212" i="38"/>
  <c r="H216" i="38"/>
  <c r="H220" i="38"/>
  <c r="H224" i="38"/>
  <c r="H228" i="38"/>
  <c r="H232" i="38"/>
  <c r="H236" i="38"/>
  <c r="H240" i="38"/>
  <c r="H244" i="38"/>
  <c r="H248" i="38"/>
  <c r="H252" i="38"/>
  <c r="H256" i="38"/>
  <c r="H260" i="38"/>
  <c r="H264" i="38"/>
  <c r="H268" i="38"/>
  <c r="H272" i="38"/>
  <c r="H276" i="38"/>
  <c r="H279" i="38"/>
  <c r="H282" i="38"/>
  <c r="H286" i="38"/>
  <c r="H290" i="38"/>
  <c r="H294" i="38"/>
  <c r="G362" i="38"/>
  <c r="H71" i="38"/>
  <c r="H79" i="38"/>
  <c r="H84" i="38"/>
  <c r="H90" i="38"/>
  <c r="H95" i="38"/>
  <c r="H99" i="38"/>
  <c r="H103" i="38"/>
  <c r="H107" i="38"/>
  <c r="H111" i="38"/>
  <c r="H115" i="38"/>
  <c r="H119" i="38"/>
  <c r="H123" i="38"/>
  <c r="H127" i="38"/>
  <c r="H131" i="38"/>
  <c r="H135" i="38"/>
  <c r="H137" i="38"/>
  <c r="H141" i="38"/>
  <c r="H145" i="38"/>
  <c r="H149" i="38"/>
  <c r="H153" i="38"/>
  <c r="H157" i="38"/>
  <c r="H161" i="38"/>
  <c r="H165" i="38"/>
  <c r="H169" i="38"/>
  <c r="H173" i="38"/>
  <c r="H177" i="38"/>
  <c r="H181" i="38"/>
  <c r="H185" i="38"/>
  <c r="H189" i="38"/>
  <c r="H193" i="38"/>
  <c r="H197" i="38"/>
  <c r="H201" i="38"/>
  <c r="H205" i="38"/>
  <c r="H209" i="38"/>
  <c r="H213" i="38"/>
  <c r="H217" i="38"/>
  <c r="H221" i="38"/>
  <c r="H225" i="38"/>
  <c r="H229" i="38"/>
  <c r="H233" i="38"/>
  <c r="H237" i="38"/>
  <c r="H241" i="38"/>
  <c r="H245" i="38"/>
  <c r="H249" i="38"/>
  <c r="H253" i="38"/>
  <c r="H257" i="38"/>
  <c r="H261" i="38"/>
  <c r="H265" i="38"/>
  <c r="H269" i="38"/>
  <c r="H273" i="38"/>
  <c r="H277" i="38"/>
  <c r="H283" i="38"/>
  <c r="H287" i="38"/>
  <c r="H291" i="38"/>
  <c r="H295" i="38"/>
  <c r="H299" i="38"/>
  <c r="H303" i="38"/>
  <c r="H307" i="38"/>
  <c r="H311" i="38"/>
  <c r="H315" i="38"/>
  <c r="H319" i="38"/>
  <c r="H323" i="38"/>
  <c r="H327" i="38"/>
  <c r="H331" i="38"/>
  <c r="H335" i="38"/>
  <c r="H80" i="38"/>
  <c r="H100" i="38"/>
  <c r="H116" i="38"/>
  <c r="H132" i="38"/>
  <c r="H146" i="38"/>
  <c r="H162" i="38"/>
  <c r="H178" i="38"/>
  <c r="H194" i="38"/>
  <c r="H210" i="38"/>
  <c r="H226" i="38"/>
  <c r="H242" i="38"/>
  <c r="H258" i="38"/>
  <c r="H274" i="38"/>
  <c r="H288" i="38"/>
  <c r="H300" i="38"/>
  <c r="H308" i="38"/>
  <c r="H316" i="38"/>
  <c r="H324" i="38"/>
  <c r="H332" i="38"/>
  <c r="H338" i="38"/>
  <c r="H342" i="38"/>
  <c r="H346" i="38"/>
  <c r="H350" i="38"/>
  <c r="H354" i="38"/>
  <c r="H358" i="38"/>
  <c r="H362" i="38"/>
  <c r="H366" i="38"/>
  <c r="H370" i="38"/>
  <c r="H374" i="38"/>
  <c r="I69" i="38"/>
  <c r="I73" i="38"/>
  <c r="I77" i="38"/>
  <c r="I81" i="38"/>
  <c r="I85" i="38"/>
  <c r="I89" i="38"/>
  <c r="I93" i="38"/>
  <c r="I97" i="38"/>
  <c r="I101" i="38"/>
  <c r="I105" i="38"/>
  <c r="I109" i="38"/>
  <c r="I113" i="38"/>
  <c r="I117" i="38"/>
  <c r="I121" i="38"/>
  <c r="I125" i="38"/>
  <c r="I129" i="38"/>
  <c r="I133" i="38"/>
  <c r="I139" i="38"/>
  <c r="I143" i="38"/>
  <c r="I147" i="38"/>
  <c r="I151" i="38"/>
  <c r="I155" i="38"/>
  <c r="I159" i="38"/>
  <c r="I163" i="38"/>
  <c r="I167" i="38"/>
  <c r="I171" i="38"/>
  <c r="I175" i="38"/>
  <c r="I179" i="38"/>
  <c r="I183" i="38"/>
  <c r="I187" i="38"/>
  <c r="I191" i="38"/>
  <c r="I195" i="38"/>
  <c r="I199" i="38"/>
  <c r="I203" i="38"/>
  <c r="I207" i="38"/>
  <c r="G350" i="38"/>
  <c r="H86" i="38"/>
  <c r="H104" i="38"/>
  <c r="H120" i="38"/>
  <c r="H136" i="38"/>
  <c r="H150" i="38"/>
  <c r="H166" i="38"/>
  <c r="H182" i="38"/>
  <c r="H198" i="38"/>
  <c r="H214" i="38"/>
  <c r="H230" i="38"/>
  <c r="H246" i="38"/>
  <c r="H262" i="38"/>
  <c r="H278" i="38"/>
  <c r="H292" i="38"/>
  <c r="H302" i="38"/>
  <c r="H310" i="38"/>
  <c r="H318" i="38"/>
  <c r="H326" i="38"/>
  <c r="H334" i="38"/>
  <c r="H339" i="38"/>
  <c r="H343" i="38"/>
  <c r="H347" i="38"/>
  <c r="H351" i="38"/>
  <c r="H355" i="38"/>
  <c r="H359" i="38"/>
  <c r="H363" i="38"/>
  <c r="H367" i="38"/>
  <c r="H371" i="38"/>
  <c r="H375" i="38"/>
  <c r="I70" i="38"/>
  <c r="I74" i="38"/>
  <c r="I78" i="38"/>
  <c r="I82" i="38"/>
  <c r="I86" i="38"/>
  <c r="I90" i="38"/>
  <c r="I94" i="38"/>
  <c r="I98" i="38"/>
  <c r="I102" i="38"/>
  <c r="I106" i="38"/>
  <c r="I110" i="38"/>
  <c r="I114" i="38"/>
  <c r="I118" i="38"/>
  <c r="I122" i="38"/>
  <c r="I126" i="38"/>
  <c r="I130" i="38"/>
  <c r="I134" i="38"/>
  <c r="I140" i="38"/>
  <c r="I144" i="38"/>
  <c r="G366" i="38"/>
  <c r="H91" i="38"/>
  <c r="H108" i="38"/>
  <c r="H124" i="38"/>
  <c r="H138" i="38"/>
  <c r="H154" i="38"/>
  <c r="H170" i="38"/>
  <c r="H186" i="38"/>
  <c r="H202" i="38"/>
  <c r="H218" i="38"/>
  <c r="H234" i="38"/>
  <c r="H250" i="38"/>
  <c r="H266" i="38"/>
  <c r="H280" i="38"/>
  <c r="H296" i="38"/>
  <c r="H304" i="38"/>
  <c r="H312" i="38"/>
  <c r="H320" i="38"/>
  <c r="H328" i="38"/>
  <c r="H336" i="38"/>
  <c r="H340" i="38"/>
  <c r="H344" i="38"/>
  <c r="H348" i="38"/>
  <c r="H352" i="38"/>
  <c r="H356" i="38"/>
  <c r="H360" i="38"/>
  <c r="H364" i="38"/>
  <c r="H368" i="38"/>
  <c r="H372" i="38"/>
  <c r="I71" i="38"/>
  <c r="I75" i="38"/>
  <c r="I79" i="38"/>
  <c r="I83" i="38"/>
  <c r="I87" i="38"/>
  <c r="I91" i="38"/>
  <c r="I95" i="38"/>
  <c r="I99" i="38"/>
  <c r="I103" i="38"/>
  <c r="I107" i="38"/>
  <c r="I111" i="38"/>
  <c r="I115" i="38"/>
  <c r="I119" i="38"/>
  <c r="I123" i="38"/>
  <c r="I127" i="38"/>
  <c r="I131" i="38"/>
  <c r="I135" i="38"/>
  <c r="I137" i="38"/>
  <c r="I141" i="38"/>
  <c r="I145" i="38"/>
  <c r="I149" i="38"/>
  <c r="I153" i="38"/>
  <c r="I157" i="38"/>
  <c r="I161" i="38"/>
  <c r="I165" i="38"/>
  <c r="I169" i="38"/>
  <c r="I173" i="38"/>
  <c r="I177" i="38"/>
  <c r="I181" i="38"/>
  <c r="I185" i="38"/>
  <c r="I189" i="38"/>
  <c r="I193" i="38"/>
  <c r="I197" i="38"/>
  <c r="I201" i="38"/>
  <c r="I205" i="38"/>
  <c r="H72" i="38"/>
  <c r="H142" i="38"/>
  <c r="H206" i="38"/>
  <c r="H270" i="38"/>
  <c r="H314" i="38"/>
  <c r="H341" i="38"/>
  <c r="H357" i="38"/>
  <c r="H373" i="38"/>
  <c r="I80" i="38"/>
  <c r="I96" i="38"/>
  <c r="I112" i="38"/>
  <c r="I128" i="38"/>
  <c r="I142" i="38"/>
  <c r="I152" i="38"/>
  <c r="I160" i="38"/>
  <c r="I168" i="38"/>
  <c r="I176" i="38"/>
  <c r="I184" i="38"/>
  <c r="I192" i="38"/>
  <c r="I200" i="38"/>
  <c r="I208" i="38"/>
  <c r="I212" i="38"/>
  <c r="I216" i="38"/>
  <c r="I220" i="38"/>
  <c r="I224" i="38"/>
  <c r="I228" i="38"/>
  <c r="I232" i="38"/>
  <c r="I236" i="38"/>
  <c r="I240" i="38"/>
  <c r="I244" i="38"/>
  <c r="I248" i="38"/>
  <c r="I252" i="38"/>
  <c r="I256" i="38"/>
  <c r="I260" i="38"/>
  <c r="I264" i="38"/>
  <c r="I268" i="38"/>
  <c r="I272" i="38"/>
  <c r="I276" i="38"/>
  <c r="I279" i="38"/>
  <c r="I282" i="38"/>
  <c r="I286" i="38"/>
  <c r="I290" i="38"/>
  <c r="I294" i="38"/>
  <c r="I298" i="38"/>
  <c r="I302" i="38"/>
  <c r="I306" i="38"/>
  <c r="I310" i="38"/>
  <c r="I314" i="38"/>
  <c r="I318" i="38"/>
  <c r="I322" i="38"/>
  <c r="I326" i="38"/>
  <c r="I330" i="38"/>
  <c r="I334" i="38"/>
  <c r="I338" i="38"/>
  <c r="I342" i="38"/>
  <c r="I346" i="38"/>
  <c r="I350" i="38"/>
  <c r="I354" i="38"/>
  <c r="I358" i="38"/>
  <c r="I362" i="38"/>
  <c r="I366" i="38"/>
  <c r="I370" i="38"/>
  <c r="I374" i="38"/>
  <c r="H96" i="38"/>
  <c r="H158" i="38"/>
  <c r="H222" i="38"/>
  <c r="H284" i="38"/>
  <c r="H322" i="38"/>
  <c r="H345" i="38"/>
  <c r="H361" i="38"/>
  <c r="I84" i="38"/>
  <c r="I100" i="38"/>
  <c r="I116" i="38"/>
  <c r="I132" i="38"/>
  <c r="I146" i="38"/>
  <c r="I154" i="38"/>
  <c r="I162" i="38"/>
  <c r="I170" i="38"/>
  <c r="I178" i="38"/>
  <c r="I186" i="38"/>
  <c r="I194" i="38"/>
  <c r="I202" i="38"/>
  <c r="I209" i="38"/>
  <c r="I213" i="38"/>
  <c r="I217" i="38"/>
  <c r="I221" i="38"/>
  <c r="I225" i="38"/>
  <c r="I229" i="38"/>
  <c r="I233" i="38"/>
  <c r="I237" i="38"/>
  <c r="I241" i="38"/>
  <c r="I245" i="38"/>
  <c r="I249" i="38"/>
  <c r="I253" i="38"/>
  <c r="I257" i="38"/>
  <c r="I261" i="38"/>
  <c r="I265" i="38"/>
  <c r="I269" i="38"/>
  <c r="I273" i="38"/>
  <c r="I277" i="38"/>
  <c r="I283" i="38"/>
  <c r="I287" i="38"/>
  <c r="I291" i="38"/>
  <c r="I295" i="38"/>
  <c r="I299" i="38"/>
  <c r="I303" i="38"/>
  <c r="I307" i="38"/>
  <c r="I311" i="38"/>
  <c r="I315" i="38"/>
  <c r="I319" i="38"/>
  <c r="I323" i="38"/>
  <c r="I327" i="38"/>
  <c r="I331" i="38"/>
  <c r="I335" i="38"/>
  <c r="I339" i="38"/>
  <c r="I343" i="38"/>
  <c r="I347" i="38"/>
  <c r="I351" i="38"/>
  <c r="I355" i="38"/>
  <c r="I359" i="38"/>
  <c r="I363" i="38"/>
  <c r="I367" i="38"/>
  <c r="I371" i="38"/>
  <c r="I375" i="38"/>
  <c r="H112" i="38"/>
  <c r="H174" i="38"/>
  <c r="H238" i="38"/>
  <c r="H298" i="38"/>
  <c r="H330" i="38"/>
  <c r="H349" i="38"/>
  <c r="H365" i="38"/>
  <c r="I72" i="38"/>
  <c r="I88" i="38"/>
  <c r="I104" i="38"/>
  <c r="I120" i="38"/>
  <c r="I136" i="38"/>
  <c r="I148" i="38"/>
  <c r="I156" i="38"/>
  <c r="I164" i="38"/>
  <c r="I172" i="38"/>
  <c r="I180" i="38"/>
  <c r="I188" i="38"/>
  <c r="I196" i="38"/>
  <c r="I204" i="38"/>
  <c r="I210" i="38"/>
  <c r="I214" i="38"/>
  <c r="I218" i="38"/>
  <c r="I222" i="38"/>
  <c r="I226" i="38"/>
  <c r="I230" i="38"/>
  <c r="I234" i="38"/>
  <c r="I238" i="38"/>
  <c r="I242" i="38"/>
  <c r="I246" i="38"/>
  <c r="I250" i="38"/>
  <c r="I254" i="38"/>
  <c r="I258" i="38"/>
  <c r="I262" i="38"/>
  <c r="I266" i="38"/>
  <c r="I270" i="38"/>
  <c r="I274" i="38"/>
  <c r="I278" i="38"/>
  <c r="I280" i="38"/>
  <c r="I284" i="38"/>
  <c r="I288" i="38"/>
  <c r="I292" i="38"/>
  <c r="I296" i="38"/>
  <c r="I300" i="38"/>
  <c r="I304" i="38"/>
  <c r="I308" i="38"/>
  <c r="I312" i="38"/>
  <c r="I316" i="38"/>
  <c r="I320" i="38"/>
  <c r="I324" i="38"/>
  <c r="I328" i="38"/>
  <c r="I332" i="38"/>
  <c r="I336" i="38"/>
  <c r="I340" i="38"/>
  <c r="I344" i="38"/>
  <c r="I348" i="38"/>
  <c r="I352" i="38"/>
  <c r="I356" i="38"/>
  <c r="I360" i="38"/>
  <c r="I364" i="38"/>
  <c r="I368" i="38"/>
  <c r="I372" i="38"/>
  <c r="H306" i="38"/>
  <c r="I76" i="38"/>
  <c r="I138" i="38"/>
  <c r="I174" i="38"/>
  <c r="I206" i="38"/>
  <c r="I223" i="38"/>
  <c r="I239" i="38"/>
  <c r="I255" i="38"/>
  <c r="I271" i="38"/>
  <c r="I285" i="38"/>
  <c r="I301" i="38"/>
  <c r="I317" i="38"/>
  <c r="I333" i="38"/>
  <c r="I349" i="38"/>
  <c r="I365" i="38"/>
  <c r="H128" i="38"/>
  <c r="H337" i="38"/>
  <c r="I92" i="38"/>
  <c r="I150" i="38"/>
  <c r="I182" i="38"/>
  <c r="I211" i="38"/>
  <c r="I227" i="38"/>
  <c r="I243" i="38"/>
  <c r="I259" i="38"/>
  <c r="I275" i="38"/>
  <c r="I289" i="38"/>
  <c r="I305" i="38"/>
  <c r="I321" i="38"/>
  <c r="I337" i="38"/>
  <c r="I353" i="38"/>
  <c r="I369" i="38"/>
  <c r="I219" i="38"/>
  <c r="I361" i="38"/>
  <c r="H190" i="38"/>
  <c r="H353" i="38"/>
  <c r="I108" i="38"/>
  <c r="I158" i="38"/>
  <c r="I190" i="38"/>
  <c r="I215" i="38"/>
  <c r="I231" i="38"/>
  <c r="I247" i="38"/>
  <c r="I263" i="38"/>
  <c r="I293" i="38"/>
  <c r="I309" i="38"/>
  <c r="I325" i="38"/>
  <c r="I341" i="38"/>
  <c r="I357" i="38"/>
  <c r="I373" i="38"/>
  <c r="H254" i="38"/>
  <c r="H369" i="38"/>
  <c r="I124" i="38"/>
  <c r="I166" i="38"/>
  <c r="I198" i="38"/>
  <c r="I235" i="38"/>
  <c r="I251" i="38"/>
  <c r="I267" i="38"/>
  <c r="I281" i="38"/>
  <c r="I297" i="38"/>
  <c r="I313" i="38"/>
  <c r="I329" i="38"/>
  <c r="I345" i="38"/>
  <c r="E21" i="37"/>
  <c r="E22" i="37"/>
  <c r="E23" i="37"/>
  <c r="G21" i="37"/>
  <c r="G22" i="37"/>
  <c r="G23" i="37"/>
  <c r="F379" i="35"/>
  <c r="F380" i="35"/>
  <c r="F381" i="35"/>
  <c r="I379" i="35"/>
  <c r="I380" i="35"/>
  <c r="I381" i="35"/>
  <c r="F365" i="35"/>
  <c r="F366" i="35"/>
  <c r="F367" i="35"/>
  <c r="F368" i="35"/>
  <c r="F369" i="35"/>
  <c r="F370" i="35"/>
  <c r="F371" i="35"/>
  <c r="F372" i="35"/>
  <c r="F373" i="35"/>
  <c r="F374" i="35"/>
  <c r="F375" i="35"/>
  <c r="F376" i="35"/>
  <c r="F377" i="35"/>
  <c r="F378" i="35"/>
  <c r="I365" i="35"/>
  <c r="I366" i="35"/>
  <c r="I367" i="35"/>
  <c r="I368" i="35"/>
  <c r="I369" i="35"/>
  <c r="I370" i="35"/>
  <c r="I371" i="35"/>
  <c r="I372" i="35"/>
  <c r="I373" i="35"/>
  <c r="I374" i="35"/>
  <c r="I375" i="35"/>
  <c r="I376" i="35"/>
  <c r="I377" i="35"/>
  <c r="I378" i="35"/>
  <c r="A3" i="34" l="1"/>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A116" i="34"/>
  <c r="A117" i="34"/>
  <c r="A118" i="34"/>
  <c r="A119" i="34"/>
  <c r="A120" i="34"/>
  <c r="A121" i="34"/>
  <c r="A122" i="34"/>
  <c r="A123" i="34"/>
  <c r="A124" i="34"/>
  <c r="A125" i="34"/>
  <c r="A126" i="34"/>
  <c r="A127" i="34"/>
  <c r="A128" i="34"/>
  <c r="A129" i="34"/>
  <c r="A130" i="34"/>
  <c r="A131" i="34"/>
  <c r="A132" i="34"/>
  <c r="A133" i="34"/>
  <c r="A134" i="34"/>
  <c r="A140" i="34"/>
  <c r="A141" i="34"/>
  <c r="A142" i="34"/>
  <c r="A143" i="34"/>
  <c r="A144" i="34"/>
  <c r="A145" i="34"/>
  <c r="A146" i="34"/>
  <c r="A147" i="34"/>
  <c r="A148" i="34"/>
  <c r="A149" i="34"/>
  <c r="A150" i="34"/>
  <c r="A151" i="34"/>
  <c r="A152" i="34"/>
  <c r="A153" i="34"/>
  <c r="A154" i="34"/>
  <c r="A155" i="34"/>
  <c r="A156" i="34"/>
  <c r="A157" i="34"/>
  <c r="A158" i="34"/>
  <c r="A159" i="34"/>
  <c r="A160" i="34"/>
  <c r="A161" i="34"/>
  <c r="A162" i="34"/>
  <c r="A163" i="34"/>
  <c r="A164" i="34"/>
  <c r="A165" i="34"/>
  <c r="A166" i="34"/>
  <c r="A167" i="34"/>
  <c r="A168" i="34"/>
  <c r="A169" i="34"/>
  <c r="A170" i="34"/>
  <c r="A171" i="34"/>
  <c r="A172" i="34"/>
  <c r="A173" i="34"/>
  <c r="A174" i="34"/>
  <c r="A175" i="34"/>
  <c r="A176" i="34"/>
  <c r="A177" i="34"/>
  <c r="A178" i="34"/>
  <c r="A179" i="34"/>
  <c r="A180" i="34"/>
  <c r="A181" i="34"/>
  <c r="A182" i="34"/>
  <c r="A183" i="34"/>
  <c r="A184" i="34"/>
  <c r="A185" i="34"/>
  <c r="A186" i="34"/>
  <c r="A187" i="34"/>
  <c r="A188" i="34"/>
  <c r="A189" i="34"/>
  <c r="A190" i="34"/>
  <c r="A191" i="34"/>
  <c r="A192" i="34"/>
  <c r="A193" i="34"/>
  <c r="A194" i="34"/>
  <c r="A195" i="34"/>
  <c r="A196" i="34"/>
  <c r="A197" i="34"/>
  <c r="A198" i="34"/>
  <c r="A199" i="34"/>
  <c r="A200" i="34"/>
  <c r="A201" i="34"/>
  <c r="A202" i="34"/>
  <c r="A203" i="34"/>
  <c r="A204" i="34"/>
  <c r="A205" i="34"/>
  <c r="A206" i="34"/>
  <c r="A207" i="34"/>
  <c r="A208" i="34"/>
  <c r="A209" i="34"/>
  <c r="A210" i="34"/>
  <c r="A211" i="34"/>
  <c r="A212" i="34"/>
  <c r="A213" i="34"/>
  <c r="A214" i="34"/>
  <c r="A215" i="34"/>
  <c r="A216" i="34"/>
  <c r="A217" i="34"/>
  <c r="A218" i="34"/>
  <c r="A219" i="34"/>
  <c r="A220" i="34"/>
  <c r="A221" i="34"/>
  <c r="A222" i="34"/>
  <c r="A223" i="34"/>
  <c r="A224" i="34"/>
  <c r="A225" i="34"/>
  <c r="A226" i="34"/>
  <c r="A227" i="34"/>
  <c r="A228" i="34"/>
  <c r="A229" i="34"/>
  <c r="A230" i="34"/>
  <c r="A231" i="34"/>
  <c r="A232" i="34"/>
  <c r="A233" i="34"/>
  <c r="A234" i="34"/>
  <c r="A235" i="34"/>
  <c r="A236" i="34"/>
  <c r="A237" i="34"/>
  <c r="A238" i="34"/>
  <c r="A239" i="34"/>
  <c r="A240" i="34"/>
  <c r="A241" i="34"/>
  <c r="A353" i="34"/>
  <c r="A354" i="34"/>
  <c r="A355" i="34"/>
  <c r="A356" i="34"/>
  <c r="A357" i="34"/>
  <c r="A358" i="34"/>
  <c r="A359" i="34"/>
  <c r="A360" i="34"/>
  <c r="A361" i="34"/>
  <c r="A362" i="34"/>
  <c r="A363" i="34"/>
  <c r="A364" i="34"/>
  <c r="A365" i="34"/>
  <c r="A366" i="34"/>
  <c r="A367" i="34"/>
  <c r="A368" i="34"/>
  <c r="A369" i="34"/>
  <c r="A370" i="34"/>
  <c r="A371" i="34"/>
  <c r="A372" i="34"/>
  <c r="A373" i="34"/>
  <c r="A374" i="34"/>
  <c r="A375" i="34"/>
  <c r="A376" i="34"/>
  <c r="A377" i="34"/>
  <c r="A380" i="34"/>
  <c r="A381" i="34"/>
  <c r="A382" i="34"/>
  <c r="A383" i="34"/>
  <c r="A384" i="34"/>
  <c r="A385" i="34"/>
  <c r="A386" i="34"/>
  <c r="A387" i="34"/>
  <c r="A388" i="34"/>
  <c r="A389" i="34"/>
  <c r="A390" i="34"/>
  <c r="A391" i="34"/>
  <c r="A392" i="34"/>
  <c r="A393" i="34"/>
  <c r="A394" i="34"/>
  <c r="A395" i="34"/>
  <c r="A396" i="34"/>
  <c r="A397" i="34"/>
  <c r="A398" i="34"/>
  <c r="A399" i="34"/>
  <c r="A400" i="34"/>
  <c r="A401" i="34"/>
  <c r="A402" i="34"/>
  <c r="A403" i="34"/>
  <c r="A404" i="34"/>
  <c r="A405" i="34"/>
  <c r="A406" i="34"/>
  <c r="A407" i="34"/>
  <c r="A408" i="34"/>
  <c r="A409" i="34"/>
  <c r="A410" i="34"/>
  <c r="A411" i="34"/>
  <c r="A412" i="34"/>
  <c r="A413" i="34"/>
  <c r="A414" i="34"/>
  <c r="A415" i="34"/>
  <c r="A416" i="34"/>
  <c r="A417" i="34"/>
  <c r="A418" i="34"/>
  <c r="A419" i="34"/>
  <c r="A421" i="34"/>
  <c r="A423" i="34"/>
  <c r="A424" i="34"/>
  <c r="A425" i="34"/>
  <c r="A427" i="34"/>
  <c r="A428" i="34"/>
  <c r="A429" i="34"/>
  <c r="A431" i="34"/>
  <c r="A432" i="34"/>
  <c r="A433" i="34"/>
  <c r="A434" i="34"/>
  <c r="A435" i="34"/>
  <c r="A437" i="34"/>
  <c r="A439" i="34"/>
  <c r="A441" i="34"/>
  <c r="A443" i="34"/>
  <c r="A444" i="34"/>
  <c r="A445" i="34"/>
  <c r="A448" i="34"/>
  <c r="A449" i="34"/>
  <c r="A450" i="34"/>
  <c r="A451" i="34"/>
  <c r="A453" i="34"/>
  <c r="G20" i="10" l="1"/>
  <c r="G23" i="10"/>
  <c r="G24" i="10"/>
  <c r="G25" i="10"/>
  <c r="E449" i="34"/>
  <c r="E443" i="34"/>
  <c r="E431" i="34"/>
  <c r="E425" i="34"/>
  <c r="E435" i="34"/>
  <c r="E382" i="34"/>
  <c r="E376" i="34"/>
  <c r="E395" i="34"/>
  <c r="E391" i="34"/>
  <c r="E387" i="34"/>
  <c r="E366" i="34"/>
  <c r="E358" i="34"/>
  <c r="E354" i="34"/>
  <c r="E235" i="34"/>
  <c r="C116" i="2" s="1"/>
  <c r="E231" i="34"/>
  <c r="C112" i="2" s="1"/>
  <c r="E239" i="34"/>
  <c r="C120" i="2" s="1"/>
  <c r="E362" i="34"/>
  <c r="E378" i="34"/>
  <c r="F378" i="34"/>
  <c r="E379" i="34"/>
  <c r="F379" i="34"/>
  <c r="E67" i="34"/>
  <c r="E227" i="34"/>
  <c r="C108" i="2" s="1"/>
  <c r="E223" i="34"/>
  <c r="C104" i="2" s="1"/>
  <c r="E219" i="34"/>
  <c r="C100" i="2" s="1"/>
  <c r="E215" i="34"/>
  <c r="C96" i="2" s="1"/>
  <c r="E211" i="34"/>
  <c r="C92" i="2" s="1"/>
  <c r="E207" i="34"/>
  <c r="C88" i="2" s="1"/>
  <c r="E199" i="34"/>
  <c r="C80" i="2" s="1"/>
  <c r="E195" i="34"/>
  <c r="C76" i="2" s="1"/>
  <c r="E191" i="34"/>
  <c r="C72" i="2" s="1"/>
  <c r="E187" i="34"/>
  <c r="C68" i="2" s="1"/>
  <c r="E183" i="34"/>
  <c r="C64" i="2" s="1"/>
  <c r="E179" i="34"/>
  <c r="C60" i="2" s="1"/>
  <c r="E171" i="34"/>
  <c r="C52" i="2" s="1"/>
  <c r="E167" i="34"/>
  <c r="E175" i="34"/>
  <c r="C56" i="2" s="1"/>
  <c r="E163" i="34"/>
  <c r="E159" i="34"/>
  <c r="E155" i="34"/>
  <c r="E151" i="34"/>
  <c r="E147" i="34"/>
  <c r="E143" i="34"/>
  <c r="E114" i="34"/>
  <c r="C137" i="1" s="1"/>
  <c r="E110" i="34"/>
  <c r="C133" i="1" s="1"/>
  <c r="E106" i="34"/>
  <c r="C129" i="1" s="1"/>
  <c r="E102" i="34"/>
  <c r="C125" i="1" s="1"/>
  <c r="E98" i="34"/>
  <c r="C121" i="1" s="1"/>
  <c r="E94" i="34"/>
  <c r="C117" i="1" s="1"/>
  <c r="E203" i="34"/>
  <c r="C84" i="2" s="1"/>
  <c r="E233" i="34"/>
  <c r="C114" i="2" s="1"/>
  <c r="E397" i="34"/>
  <c r="E90" i="34"/>
  <c r="C113" i="1" s="1"/>
  <c r="E86" i="34"/>
  <c r="C109" i="1" s="1"/>
  <c r="E82" i="34"/>
  <c r="C105" i="1" s="1"/>
  <c r="E58" i="34"/>
  <c r="C77" i="1" s="1"/>
  <c r="E415" i="34"/>
  <c r="E54" i="34"/>
  <c r="C73" i="1" s="1"/>
  <c r="E50" i="34"/>
  <c r="C69" i="1" s="1"/>
  <c r="E419" i="34"/>
  <c r="E372" i="34"/>
  <c r="E134" i="34"/>
  <c r="C157" i="1" s="1"/>
  <c r="E411" i="34"/>
  <c r="E399" i="34"/>
  <c r="E130" i="34"/>
  <c r="C153" i="1" s="1"/>
  <c r="E118" i="34"/>
  <c r="C141" i="1" s="1"/>
  <c r="E74" i="34"/>
  <c r="C97" i="1" s="1"/>
  <c r="E62" i="34"/>
  <c r="C81" i="1" s="1"/>
  <c r="E46" i="34"/>
  <c r="C65" i="1" s="1"/>
  <c r="E30" i="34"/>
  <c r="C49" i="1" s="1"/>
  <c r="E22" i="34"/>
  <c r="C41" i="1" s="1"/>
  <c r="E6" i="34"/>
  <c r="C25" i="1" s="1"/>
  <c r="E453" i="34"/>
  <c r="E448" i="34"/>
  <c r="E441" i="34"/>
  <c r="E434" i="34"/>
  <c r="E429" i="34"/>
  <c r="E424" i="34"/>
  <c r="E418" i="34"/>
  <c r="E414" i="34"/>
  <c r="E410" i="34"/>
  <c r="E406" i="34"/>
  <c r="E402" i="34"/>
  <c r="E398" i="34"/>
  <c r="E394" i="34"/>
  <c r="E390" i="34"/>
  <c r="E386" i="34"/>
  <c r="E381" i="34"/>
  <c r="E375" i="34"/>
  <c r="E371" i="34"/>
  <c r="E365" i="34"/>
  <c r="E361" i="34"/>
  <c r="E357" i="34"/>
  <c r="E353" i="34"/>
  <c r="E238" i="34"/>
  <c r="C119" i="2" s="1"/>
  <c r="E234" i="34"/>
  <c r="C115" i="2" s="1"/>
  <c r="E230" i="34"/>
  <c r="C111" i="2" s="1"/>
  <c r="E226" i="34"/>
  <c r="C107" i="2" s="1"/>
  <c r="E222" i="34"/>
  <c r="C103" i="2" s="1"/>
  <c r="E218" i="34"/>
  <c r="C99" i="2" s="1"/>
  <c r="E214" i="34"/>
  <c r="C95" i="2" s="1"/>
  <c r="E210" i="34"/>
  <c r="C91" i="2" s="1"/>
  <c r="E206" i="34"/>
  <c r="C87" i="2" s="1"/>
  <c r="E202" i="34"/>
  <c r="C83" i="2" s="1"/>
  <c r="E198" i="34"/>
  <c r="C79" i="2" s="1"/>
  <c r="E194" i="34"/>
  <c r="C75" i="2" s="1"/>
  <c r="E190" i="34"/>
  <c r="C71" i="2" s="1"/>
  <c r="E186" i="34"/>
  <c r="C67" i="2" s="1"/>
  <c r="E182" i="34"/>
  <c r="C63" i="2" s="1"/>
  <c r="E178" i="34"/>
  <c r="C59" i="2" s="1"/>
  <c r="E174" i="34"/>
  <c r="C55" i="2" s="1"/>
  <c r="E170" i="34"/>
  <c r="C51" i="2" s="1"/>
  <c r="E166" i="34"/>
  <c r="E162" i="34"/>
  <c r="E158" i="34"/>
  <c r="E154" i="34"/>
  <c r="E150" i="34"/>
  <c r="E146" i="34"/>
  <c r="E142" i="34"/>
  <c r="E133" i="34"/>
  <c r="C156" i="1" s="1"/>
  <c r="E129" i="34"/>
  <c r="C152" i="1" s="1"/>
  <c r="E125" i="34"/>
  <c r="C148" i="1" s="1"/>
  <c r="E121" i="34"/>
  <c r="C144" i="1" s="1"/>
  <c r="E117" i="34"/>
  <c r="C140" i="1" s="1"/>
  <c r="E113" i="34"/>
  <c r="C136" i="1" s="1"/>
  <c r="E109" i="34"/>
  <c r="C132" i="1" s="1"/>
  <c r="E105" i="34"/>
  <c r="C128" i="1" s="1"/>
  <c r="E101" i="34"/>
  <c r="C124" i="1" s="1"/>
  <c r="E97" i="34"/>
  <c r="C120" i="1" s="1"/>
  <c r="E93" i="34"/>
  <c r="C116" i="1" s="1"/>
  <c r="E89" i="34"/>
  <c r="C112" i="1" s="1"/>
  <c r="E85" i="34"/>
  <c r="C108" i="1" s="1"/>
  <c r="E81" i="34"/>
  <c r="C104" i="1" s="1"/>
  <c r="E77" i="34"/>
  <c r="C100" i="1" s="1"/>
  <c r="E73" i="34"/>
  <c r="E69" i="34"/>
  <c r="C92" i="1" s="1"/>
  <c r="E65" i="34"/>
  <c r="C84" i="1" s="1"/>
  <c r="E61" i="34"/>
  <c r="C80" i="1" s="1"/>
  <c r="E57" i="34"/>
  <c r="C76" i="1" s="1"/>
  <c r="E53" i="34"/>
  <c r="C72" i="1" s="1"/>
  <c r="E49" i="34"/>
  <c r="C68" i="1" s="1"/>
  <c r="E45" i="34"/>
  <c r="C64" i="1" s="1"/>
  <c r="E41" i="34"/>
  <c r="C60" i="1" s="1"/>
  <c r="E37" i="34"/>
  <c r="C56" i="1" s="1"/>
  <c r="E33" i="34"/>
  <c r="C52" i="1" s="1"/>
  <c r="E29" i="34"/>
  <c r="C48" i="1" s="1"/>
  <c r="E25" i="34"/>
  <c r="C44" i="1" s="1"/>
  <c r="E21" i="34"/>
  <c r="C40" i="1" s="1"/>
  <c r="E17" i="34"/>
  <c r="C36" i="1" s="1"/>
  <c r="E13" i="34"/>
  <c r="C32" i="1" s="1"/>
  <c r="E9" i="34"/>
  <c r="C28" i="1" s="1"/>
  <c r="E5" i="34"/>
  <c r="C24" i="1" s="1"/>
  <c r="E126" i="34"/>
  <c r="C149" i="1" s="1"/>
  <c r="E70" i="34"/>
  <c r="C93" i="1" s="1"/>
  <c r="E38" i="34"/>
  <c r="C57" i="1" s="1"/>
  <c r="E26" i="34"/>
  <c r="C45" i="1" s="1"/>
  <c r="E14" i="34"/>
  <c r="C33" i="1" s="1"/>
  <c r="E445" i="34"/>
  <c r="E433" i="34"/>
  <c r="E423" i="34"/>
  <c r="E413" i="34"/>
  <c r="E405" i="34"/>
  <c r="E401" i="34"/>
  <c r="E393" i="34"/>
  <c r="E389" i="34"/>
  <c r="E385" i="34"/>
  <c r="E380" i="34"/>
  <c r="E374" i="34"/>
  <c r="E370" i="34"/>
  <c r="E368" i="34"/>
  <c r="E364" i="34"/>
  <c r="E360" i="34"/>
  <c r="E356" i="34"/>
  <c r="E241" i="34"/>
  <c r="C122" i="2" s="1"/>
  <c r="E237" i="34"/>
  <c r="C118" i="2" s="1"/>
  <c r="E136" i="34"/>
  <c r="C159" i="1" s="1"/>
  <c r="E139" i="34"/>
  <c r="C162" i="1" s="1"/>
  <c r="E229" i="34"/>
  <c r="C110" i="2" s="1"/>
  <c r="E135" i="34"/>
  <c r="C158" i="1" s="1"/>
  <c r="I85" i="8"/>
  <c r="I84" i="8"/>
  <c r="I83" i="8"/>
  <c r="E436" i="34"/>
  <c r="E420" i="34"/>
  <c r="E426" i="34"/>
  <c r="E422" i="34"/>
  <c r="E440" i="34"/>
  <c r="E430" i="34"/>
  <c r="E438" i="34"/>
  <c r="E452" i="34"/>
  <c r="E442" i="34"/>
  <c r="E447" i="34"/>
  <c r="E333" i="34"/>
  <c r="E329" i="34"/>
  <c r="E337" i="34"/>
  <c r="E330" i="34"/>
  <c r="E336" i="34"/>
  <c r="E335" i="34"/>
  <c r="E325" i="34"/>
  <c r="E326" i="34"/>
  <c r="E332" i="34"/>
  <c r="E331" i="34"/>
  <c r="E280" i="34"/>
  <c r="E328" i="34"/>
  <c r="E327" i="34"/>
  <c r="E334" i="34"/>
  <c r="E244" i="34"/>
  <c r="C125" i="2" s="1"/>
  <c r="E349" i="34"/>
  <c r="C85" i="8" s="1"/>
  <c r="E304" i="34"/>
  <c r="E243" i="34"/>
  <c r="C124" i="2" s="1"/>
  <c r="E260" i="34"/>
  <c r="E270" i="34"/>
  <c r="E348" i="34"/>
  <c r="C84" i="8" s="1"/>
  <c r="E319" i="34"/>
  <c r="E303" i="34"/>
  <c r="E291" i="34"/>
  <c r="E320" i="34"/>
  <c r="E246" i="34"/>
  <c r="C127" i="2" s="1"/>
  <c r="E263" i="34"/>
  <c r="C144" i="2" s="1"/>
  <c r="E273" i="34"/>
  <c r="E351" i="34"/>
  <c r="E322" i="34"/>
  <c r="E306" i="34"/>
  <c r="E261" i="34"/>
  <c r="E341" i="34"/>
  <c r="E252" i="34"/>
  <c r="C133" i="2" s="1"/>
  <c r="E254" i="34"/>
  <c r="C135" i="2" s="1"/>
  <c r="E283" i="34"/>
  <c r="E342" i="34"/>
  <c r="E313" i="34"/>
  <c r="E297" i="34"/>
  <c r="E266" i="34"/>
  <c r="E278" i="34"/>
  <c r="E309" i="34"/>
  <c r="E274" i="34"/>
  <c r="E307" i="34"/>
  <c r="E250" i="34"/>
  <c r="C131" i="2" s="1"/>
  <c r="E279" i="34"/>
  <c r="E293" i="34"/>
  <c r="E294" i="34"/>
  <c r="E346" i="34"/>
  <c r="E301" i="34"/>
  <c r="E265" i="34"/>
  <c r="E324" i="34"/>
  <c r="E296" i="34"/>
  <c r="E292" i="34"/>
  <c r="E256" i="34"/>
  <c r="C137" i="2" s="1"/>
  <c r="E285" i="34"/>
  <c r="E344" i="34"/>
  <c r="E315" i="34"/>
  <c r="E299" i="34"/>
  <c r="E257" i="34"/>
  <c r="C138" i="2" s="1"/>
  <c r="E312" i="34"/>
  <c r="E242" i="34"/>
  <c r="C123" i="2" s="1"/>
  <c r="E259" i="34"/>
  <c r="C140" i="2" s="1"/>
  <c r="E269" i="34"/>
  <c r="E347" i="34"/>
  <c r="C83" i="8" s="1"/>
  <c r="E318" i="34"/>
  <c r="E302" i="34"/>
  <c r="E289" i="34"/>
  <c r="E249" i="34"/>
  <c r="C130" i="2" s="1"/>
  <c r="E276" i="34"/>
  <c r="E338" i="34"/>
  <c r="E352" i="34"/>
  <c r="E248" i="34"/>
  <c r="C129" i="2" s="1"/>
  <c r="E267" i="34"/>
  <c r="E310" i="34"/>
  <c r="E258" i="34"/>
  <c r="C139" i="2" s="1"/>
  <c r="E317" i="34"/>
  <c r="E275" i="34"/>
  <c r="E316" i="34"/>
  <c r="E251" i="34"/>
  <c r="C132" i="2" s="1"/>
  <c r="E290" i="34"/>
  <c r="E288" i="34"/>
  <c r="E281" i="34"/>
  <c r="E340" i="34"/>
  <c r="E311" i="34"/>
  <c r="E295" i="34"/>
  <c r="E282" i="34"/>
  <c r="E300" i="34"/>
  <c r="E253" i="34"/>
  <c r="C134" i="2" s="1"/>
  <c r="E255" i="34"/>
  <c r="C136" i="2" s="1"/>
  <c r="E284" i="34"/>
  <c r="E343" i="34"/>
  <c r="E314" i="34"/>
  <c r="E298" i="34"/>
  <c r="E286" i="34"/>
  <c r="E245" i="34"/>
  <c r="C126" i="2" s="1"/>
  <c r="E262" i="34"/>
  <c r="E272" i="34"/>
  <c r="E350" i="34"/>
  <c r="E321" i="34"/>
  <c r="E305" i="34"/>
  <c r="E271" i="34"/>
  <c r="E308" i="34"/>
  <c r="E247" i="34"/>
  <c r="C128" i="2" s="1"/>
  <c r="E264" i="34"/>
  <c r="E323" i="34"/>
  <c r="E345" i="34"/>
  <c r="E287" i="34"/>
  <c r="E339" i="34"/>
  <c r="E277" i="34"/>
  <c r="E268" i="34"/>
  <c r="E225" i="34"/>
  <c r="C106" i="2" s="1"/>
  <c r="E221" i="34"/>
  <c r="C102" i="2" s="1"/>
  <c r="E217" i="34"/>
  <c r="C98" i="2" s="1"/>
  <c r="E213" i="34"/>
  <c r="C94" i="2" s="1"/>
  <c r="E209" i="34"/>
  <c r="C90" i="2" s="1"/>
  <c r="E205" i="34"/>
  <c r="C86" i="2" s="1"/>
  <c r="E201" i="34"/>
  <c r="C82" i="2" s="1"/>
  <c r="E197" i="34"/>
  <c r="C78" i="2" s="1"/>
  <c r="E193" i="34"/>
  <c r="C74" i="2" s="1"/>
  <c r="E189" i="34"/>
  <c r="C70" i="2" s="1"/>
  <c r="E185" i="34"/>
  <c r="C66" i="2" s="1"/>
  <c r="E181" i="34"/>
  <c r="C62" i="2" s="1"/>
  <c r="E177" i="34"/>
  <c r="C58" i="2" s="1"/>
  <c r="E173" i="34"/>
  <c r="C54" i="2" s="1"/>
  <c r="E169" i="34"/>
  <c r="C50" i="2" s="1"/>
  <c r="E165" i="34"/>
  <c r="E161" i="34"/>
  <c r="E157" i="34"/>
  <c r="E153" i="34"/>
  <c r="E149" i="34"/>
  <c r="E145" i="34"/>
  <c r="E141" i="34"/>
  <c r="E132" i="34"/>
  <c r="C155" i="1" s="1"/>
  <c r="E128" i="34"/>
  <c r="C151" i="1" s="1"/>
  <c r="E124" i="34"/>
  <c r="C147" i="1" s="1"/>
  <c r="E120" i="34"/>
  <c r="C143" i="1" s="1"/>
  <c r="E116" i="34"/>
  <c r="C139" i="1" s="1"/>
  <c r="E112" i="34"/>
  <c r="C135" i="1" s="1"/>
  <c r="E108" i="34"/>
  <c r="C131" i="1" s="1"/>
  <c r="E104" i="34"/>
  <c r="C127" i="1" s="1"/>
  <c r="E100" i="34"/>
  <c r="C123" i="1" s="1"/>
  <c r="E96" i="34"/>
  <c r="C119" i="1" s="1"/>
  <c r="E92" i="34"/>
  <c r="C115" i="1" s="1"/>
  <c r="E88" i="34"/>
  <c r="C111" i="1" s="1"/>
  <c r="E84" i="34"/>
  <c r="C107" i="1" s="1"/>
  <c r="E80" i="34"/>
  <c r="C103" i="1" s="1"/>
  <c r="E76" i="34"/>
  <c r="C99" i="1" s="1"/>
  <c r="E72" i="34"/>
  <c r="E68" i="34"/>
  <c r="C87" i="1" s="1"/>
  <c r="E64" i="34"/>
  <c r="C83" i="1" s="1"/>
  <c r="E60" i="34"/>
  <c r="C79" i="1" s="1"/>
  <c r="E56" i="34"/>
  <c r="C75" i="1" s="1"/>
  <c r="E52" i="34"/>
  <c r="C71" i="1" s="1"/>
  <c r="E48" i="34"/>
  <c r="C67" i="1" s="1"/>
  <c r="E44" i="34"/>
  <c r="C63" i="1" s="1"/>
  <c r="E40" i="34"/>
  <c r="C59" i="1" s="1"/>
  <c r="E36" i="34"/>
  <c r="C55" i="1" s="1"/>
  <c r="E32" i="34"/>
  <c r="C51" i="1" s="1"/>
  <c r="E28" i="34"/>
  <c r="C47" i="1" s="1"/>
  <c r="E24" i="34"/>
  <c r="C43" i="1" s="1"/>
  <c r="E20" i="34"/>
  <c r="C39" i="1" s="1"/>
  <c r="E16" i="34"/>
  <c r="C35" i="1" s="1"/>
  <c r="E12" i="34"/>
  <c r="C31" i="1" s="1"/>
  <c r="E8" i="34"/>
  <c r="C27" i="1" s="1"/>
  <c r="E4" i="34"/>
  <c r="C23" i="1" s="1"/>
  <c r="E407" i="34"/>
  <c r="E403" i="34"/>
  <c r="E122" i="34"/>
  <c r="C145" i="1" s="1"/>
  <c r="E78" i="34"/>
  <c r="C101" i="1" s="1"/>
  <c r="E66" i="34"/>
  <c r="C85" i="1" s="1"/>
  <c r="E42" i="34"/>
  <c r="C61" i="1" s="1"/>
  <c r="E34" i="34"/>
  <c r="C53" i="1" s="1"/>
  <c r="E18" i="34"/>
  <c r="C37" i="1" s="1"/>
  <c r="E10" i="34"/>
  <c r="C29" i="1" s="1"/>
  <c r="E451" i="34"/>
  <c r="E439" i="34"/>
  <c r="E428" i="34"/>
  <c r="E417" i="34"/>
  <c r="E409" i="34"/>
  <c r="E450" i="34"/>
  <c r="E444" i="34"/>
  <c r="E437" i="34"/>
  <c r="E432" i="34"/>
  <c r="E427" i="34"/>
  <c r="E421" i="34"/>
  <c r="E416" i="34"/>
  <c r="E412" i="34"/>
  <c r="E408" i="34"/>
  <c r="E404" i="34"/>
  <c r="E400" i="34"/>
  <c r="E396" i="34"/>
  <c r="E392" i="34"/>
  <c r="E388" i="34"/>
  <c r="E384" i="34"/>
  <c r="E383" i="34"/>
  <c r="E377" i="34"/>
  <c r="E373" i="34"/>
  <c r="E369" i="34"/>
  <c r="E367" i="34"/>
  <c r="E363" i="34"/>
  <c r="E359" i="34"/>
  <c r="E355" i="34"/>
  <c r="E240" i="34"/>
  <c r="C121" i="2" s="1"/>
  <c r="E236" i="34"/>
  <c r="C117" i="2" s="1"/>
  <c r="E232" i="34"/>
  <c r="C113" i="2" s="1"/>
  <c r="E228" i="34"/>
  <c r="C109" i="2" s="1"/>
  <c r="E224" i="34"/>
  <c r="C105" i="2" s="1"/>
  <c r="E220" i="34"/>
  <c r="C101" i="2" s="1"/>
  <c r="E216" i="34"/>
  <c r="C97" i="2" s="1"/>
  <c r="E212" i="34"/>
  <c r="C93" i="2" s="1"/>
  <c r="E208" i="34"/>
  <c r="C89" i="2" s="1"/>
  <c r="E204" i="34"/>
  <c r="C85" i="2" s="1"/>
  <c r="E200" i="34"/>
  <c r="C81" i="2" s="1"/>
  <c r="E196" i="34"/>
  <c r="C77" i="2" s="1"/>
  <c r="E192" i="34"/>
  <c r="C73" i="2" s="1"/>
  <c r="E188" i="34"/>
  <c r="C69" i="2" s="1"/>
  <c r="E184" i="34"/>
  <c r="C65" i="2" s="1"/>
  <c r="E180" i="34"/>
  <c r="C61" i="2" s="1"/>
  <c r="E176" i="34"/>
  <c r="C57" i="2" s="1"/>
  <c r="E172" i="34"/>
  <c r="C53" i="2" s="1"/>
  <c r="E168" i="34"/>
  <c r="E164" i="34"/>
  <c r="E160" i="34"/>
  <c r="E156" i="34"/>
  <c r="E152" i="34"/>
  <c r="E148" i="34"/>
  <c r="E144" i="34"/>
  <c r="E140" i="34"/>
  <c r="E131" i="34"/>
  <c r="C154" i="1" s="1"/>
  <c r="E127" i="34"/>
  <c r="C150" i="1" s="1"/>
  <c r="E123" i="34"/>
  <c r="C146" i="1" s="1"/>
  <c r="E119" i="34"/>
  <c r="C142" i="1" s="1"/>
  <c r="E115" i="34"/>
  <c r="C138" i="1" s="1"/>
  <c r="E111" i="34"/>
  <c r="C134" i="1" s="1"/>
  <c r="E107" i="34"/>
  <c r="C130" i="1" s="1"/>
  <c r="E103" i="34"/>
  <c r="C126" i="1" s="1"/>
  <c r="E99" i="34"/>
  <c r="C122" i="1" s="1"/>
  <c r="E95" i="34"/>
  <c r="C118" i="1" s="1"/>
  <c r="E91" i="34"/>
  <c r="C114" i="1" s="1"/>
  <c r="E87" i="34"/>
  <c r="C110" i="1" s="1"/>
  <c r="E83" i="34"/>
  <c r="C106" i="1" s="1"/>
  <c r="E79" i="34"/>
  <c r="C102" i="1" s="1"/>
  <c r="E75" i="34"/>
  <c r="C98" i="1" s="1"/>
  <c r="E71" i="34"/>
  <c r="C94" i="1" s="1"/>
  <c r="E63" i="34"/>
  <c r="C82" i="1" s="1"/>
  <c r="E59" i="34"/>
  <c r="C78" i="1" s="1"/>
  <c r="E55" i="34"/>
  <c r="C74" i="1" s="1"/>
  <c r="E51" i="34"/>
  <c r="C70" i="1" s="1"/>
  <c r="E47" i="34"/>
  <c r="C66" i="1" s="1"/>
  <c r="E43" i="34"/>
  <c r="C62" i="1" s="1"/>
  <c r="E39" i="34"/>
  <c r="C58" i="1" s="1"/>
  <c r="E35" i="34"/>
  <c r="C54" i="1" s="1"/>
  <c r="E31" i="34"/>
  <c r="C50" i="1" s="1"/>
  <c r="E27" i="34"/>
  <c r="C46" i="1" s="1"/>
  <c r="E23" i="34"/>
  <c r="C42" i="1" s="1"/>
  <c r="E19" i="34"/>
  <c r="C38" i="1" s="1"/>
  <c r="E15" i="34"/>
  <c r="C34" i="1" s="1"/>
  <c r="E11" i="34"/>
  <c r="C30" i="1" s="1"/>
  <c r="E7" i="34"/>
  <c r="C26" i="1" s="1"/>
  <c r="G44" i="10"/>
  <c r="G48" i="10"/>
  <c r="G52" i="10"/>
  <c r="G45" i="10"/>
  <c r="G49" i="10"/>
  <c r="G42" i="10"/>
  <c r="G46" i="10"/>
  <c r="G50" i="10"/>
  <c r="G43" i="10"/>
  <c r="G47" i="10"/>
  <c r="G51" i="10"/>
  <c r="F452" i="34"/>
  <c r="F446" i="34"/>
  <c r="F447" i="34"/>
  <c r="F442" i="34"/>
  <c r="F440" i="34"/>
  <c r="F438" i="34"/>
  <c r="F436" i="34"/>
  <c r="F430" i="34"/>
  <c r="F426" i="34"/>
  <c r="F422" i="34"/>
  <c r="F420" i="34"/>
  <c r="D20" i="10" s="1"/>
  <c r="I72" i="8"/>
  <c r="I76" i="8"/>
  <c r="I80" i="8"/>
  <c r="I87" i="8"/>
  <c r="I69" i="8"/>
  <c r="I73" i="8"/>
  <c r="I77" i="8"/>
  <c r="I81" i="8"/>
  <c r="I88" i="8"/>
  <c r="I70" i="8"/>
  <c r="I74" i="8"/>
  <c r="I78" i="8"/>
  <c r="I82" i="8"/>
  <c r="I71" i="8"/>
  <c r="I75" i="8"/>
  <c r="I79" i="8"/>
  <c r="I86" i="8"/>
  <c r="I38" i="36"/>
  <c r="I138" i="2"/>
  <c r="I142" i="2"/>
  <c r="F333" i="34"/>
  <c r="I140" i="2"/>
  <c r="F328" i="34"/>
  <c r="F332" i="34"/>
  <c r="F336" i="34"/>
  <c r="I39" i="36"/>
  <c r="I139" i="2"/>
  <c r="I143" i="2"/>
  <c r="F325" i="34"/>
  <c r="I40" i="36"/>
  <c r="I136" i="2"/>
  <c r="F326" i="34"/>
  <c r="F330" i="34"/>
  <c r="F334" i="34"/>
  <c r="I37" i="36"/>
  <c r="I41" i="36"/>
  <c r="I137" i="2"/>
  <c r="I141" i="2"/>
  <c r="F329" i="34"/>
  <c r="F337" i="34"/>
  <c r="I144" i="2"/>
  <c r="F327" i="34"/>
  <c r="F335" i="34"/>
  <c r="F331" i="34"/>
  <c r="F280" i="34"/>
  <c r="F300" i="34"/>
  <c r="F297" i="34"/>
  <c r="F295" i="34"/>
  <c r="F299" i="34"/>
  <c r="F296" i="34"/>
  <c r="F298" i="34"/>
  <c r="F301" i="34"/>
  <c r="F305" i="34"/>
  <c r="F309" i="34"/>
  <c r="F304" i="34"/>
  <c r="F303" i="34"/>
  <c r="F307" i="34"/>
  <c r="F311" i="34"/>
  <c r="F308" i="34"/>
  <c r="F302" i="34"/>
  <c r="F306" i="34"/>
  <c r="F310" i="34"/>
  <c r="F314" i="34"/>
  <c r="F319" i="34"/>
  <c r="F317" i="34"/>
  <c r="F320" i="34"/>
  <c r="F313" i="34"/>
  <c r="F318" i="34"/>
  <c r="F323" i="34"/>
  <c r="F341" i="34"/>
  <c r="F338" i="34"/>
  <c r="F324" i="34"/>
  <c r="F315" i="34"/>
  <c r="F312" i="34"/>
  <c r="F339" i="34"/>
  <c r="F316" i="34"/>
  <c r="F340" i="34"/>
  <c r="F322" i="34"/>
  <c r="F321" i="34"/>
  <c r="F350" i="34"/>
  <c r="F349" i="34"/>
  <c r="D85" i="8" s="1"/>
  <c r="F348" i="34"/>
  <c r="D84" i="8" s="1"/>
  <c r="F342" i="34"/>
  <c r="F343" i="34"/>
  <c r="F345" i="34"/>
  <c r="F346" i="34"/>
  <c r="F351" i="34"/>
  <c r="F352" i="34"/>
  <c r="F347" i="34"/>
  <c r="D83" i="8" s="1"/>
  <c r="F344" i="34"/>
  <c r="F284" i="34"/>
  <c r="F279" i="34"/>
  <c r="F283" i="34"/>
  <c r="F278" i="34"/>
  <c r="F277" i="34"/>
  <c r="F282" i="34"/>
  <c r="F281" i="34"/>
  <c r="F286" i="34"/>
  <c r="F285" i="34"/>
  <c r="D21" i="8" s="1"/>
  <c r="F271" i="34"/>
  <c r="F268" i="34"/>
  <c r="F273" i="34"/>
  <c r="F272" i="34"/>
  <c r="F270" i="34"/>
  <c r="F269" i="34"/>
  <c r="F287" i="34"/>
  <c r="F276" i="34"/>
  <c r="F289" i="34"/>
  <c r="F275" i="34"/>
  <c r="F274" i="34"/>
  <c r="F288" i="34"/>
  <c r="F265" i="34"/>
  <c r="F257" i="34"/>
  <c r="D138" i="2" s="1"/>
  <c r="F260" i="34"/>
  <c r="F263" i="34"/>
  <c r="F255" i="34"/>
  <c r="D136" i="2" s="1"/>
  <c r="F258" i="34"/>
  <c r="D139" i="2" s="1"/>
  <c r="F261" i="34"/>
  <c r="F264" i="34"/>
  <c r="F256" i="34"/>
  <c r="D137" i="2" s="1"/>
  <c r="F259" i="34"/>
  <c r="D140" i="2" s="1"/>
  <c r="F262" i="34"/>
  <c r="F254" i="34"/>
  <c r="D135" i="2" s="1"/>
  <c r="F291" i="34"/>
  <c r="F290" i="34"/>
  <c r="F266" i="34"/>
  <c r="F267" i="34"/>
  <c r="F293" i="34"/>
  <c r="F253" i="34"/>
  <c r="D134" i="2" s="1"/>
  <c r="F292" i="34"/>
  <c r="F294" i="34"/>
  <c r="F252" i="34"/>
  <c r="D133" i="2" s="1"/>
  <c r="F244" i="34"/>
  <c r="D125" i="2" s="1"/>
  <c r="F243" i="34"/>
  <c r="D124" i="2" s="1"/>
  <c r="F245" i="34"/>
  <c r="D126" i="2" s="1"/>
  <c r="F242" i="34"/>
  <c r="D123" i="2" s="1"/>
  <c r="F246" i="34"/>
  <c r="D127" i="2" s="1"/>
  <c r="F247" i="34"/>
  <c r="D128" i="2" s="1"/>
  <c r="F248" i="34"/>
  <c r="D129" i="2" s="1"/>
  <c r="F249" i="34"/>
  <c r="D130" i="2" s="1"/>
  <c r="F250" i="34"/>
  <c r="D131" i="2" s="1"/>
  <c r="I22" i="2"/>
  <c r="F251" i="34"/>
  <c r="D132" i="2" s="1"/>
  <c r="I27" i="2"/>
  <c r="I25" i="2"/>
  <c r="I24" i="2"/>
  <c r="I23" i="2"/>
  <c r="I28" i="2"/>
  <c r="I26" i="2"/>
  <c r="I93" i="2"/>
  <c r="I109" i="2"/>
  <c r="I125" i="2"/>
  <c r="I76" i="2"/>
  <c r="I66" i="2"/>
  <c r="I52" i="2"/>
  <c r="I34" i="2"/>
  <c r="I82" i="2"/>
  <c r="I98" i="2"/>
  <c r="I114" i="2"/>
  <c r="I88" i="2"/>
  <c r="I120" i="2"/>
  <c r="I77" i="2"/>
  <c r="I42" i="2"/>
  <c r="I29" i="2"/>
  <c r="I119" i="2"/>
  <c r="I99" i="2"/>
  <c r="I127" i="2"/>
  <c r="I57" i="2"/>
  <c r="I49" i="2"/>
  <c r="I124" i="2"/>
  <c r="I33" i="2"/>
  <c r="I108" i="2"/>
  <c r="I134" i="2"/>
  <c r="I64" i="2"/>
  <c r="I21" i="2"/>
  <c r="I130" i="2"/>
  <c r="I96" i="1"/>
  <c r="I98" i="1"/>
  <c r="I81" i="2"/>
  <c r="I97" i="2"/>
  <c r="I113" i="2"/>
  <c r="I129" i="2"/>
  <c r="I54" i="2"/>
  <c r="I40" i="2"/>
  <c r="I38" i="2"/>
  <c r="I86" i="2"/>
  <c r="I102" i="2"/>
  <c r="I118" i="2"/>
  <c r="I96" i="2"/>
  <c r="I126" i="2"/>
  <c r="I56" i="2"/>
  <c r="I47" i="2"/>
  <c r="I35" i="2"/>
  <c r="I70" i="2"/>
  <c r="I39" i="2"/>
  <c r="I107" i="2"/>
  <c r="I132" i="2"/>
  <c r="I63" i="2"/>
  <c r="I75" i="2"/>
  <c r="I84" i="2"/>
  <c r="I116" i="2"/>
  <c r="I74" i="2"/>
  <c r="I69" i="2"/>
  <c r="I55" i="2"/>
  <c r="I95" i="1"/>
  <c r="I92" i="1"/>
  <c r="I97" i="1"/>
  <c r="I93" i="1"/>
  <c r="I105" i="2"/>
  <c r="I72" i="2"/>
  <c r="I48" i="2"/>
  <c r="I135" i="2"/>
  <c r="I94" i="2"/>
  <c r="I80" i="2"/>
  <c r="I71" i="2"/>
  <c r="I41" i="2"/>
  <c r="I122" i="2"/>
  <c r="I103" i="2"/>
  <c r="I85" i="2"/>
  <c r="I101" i="2"/>
  <c r="I117" i="2"/>
  <c r="I133" i="2"/>
  <c r="I58" i="2"/>
  <c r="I44" i="2"/>
  <c r="I90" i="2"/>
  <c r="I106" i="2"/>
  <c r="I104" i="2"/>
  <c r="I131" i="2"/>
  <c r="I61" i="2"/>
  <c r="I53" i="2"/>
  <c r="I36" i="2"/>
  <c r="I60" i="2"/>
  <c r="I83" i="2"/>
  <c r="I115" i="2"/>
  <c r="I73" i="2"/>
  <c r="I68" i="2"/>
  <c r="I31" i="2"/>
  <c r="I65" i="2"/>
  <c r="I92" i="2"/>
  <c r="I123" i="2"/>
  <c r="I79" i="2"/>
  <c r="I45" i="2"/>
  <c r="I32" i="2"/>
  <c r="I87" i="2"/>
  <c r="I46" i="2"/>
  <c r="I99" i="1"/>
  <c r="I94" i="1"/>
  <c r="I89" i="2"/>
  <c r="I121" i="2"/>
  <c r="I62" i="2"/>
  <c r="I30" i="2"/>
  <c r="I110" i="2"/>
  <c r="I112" i="2"/>
  <c r="I67" i="2"/>
  <c r="I95" i="2"/>
  <c r="I91" i="2"/>
  <c r="I78" i="2"/>
  <c r="I43" i="2"/>
  <c r="I59" i="2"/>
  <c r="I51" i="2"/>
  <c r="I50" i="2"/>
  <c r="I100" i="2"/>
  <c r="I37" i="2"/>
  <c r="I128" i="2"/>
  <c r="I111" i="2"/>
  <c r="F238" i="34"/>
  <c r="D119" i="2" s="1"/>
  <c r="F234" i="34"/>
  <c r="D115" i="2" s="1"/>
  <c r="F230" i="34"/>
  <c r="D111" i="2" s="1"/>
  <c r="I33" i="1"/>
  <c r="I49" i="1"/>
  <c r="I65" i="1"/>
  <c r="I81" i="1"/>
  <c r="I32" i="1"/>
  <c r="I60" i="1"/>
  <c r="I26" i="1"/>
  <c r="I42" i="1"/>
  <c r="I58" i="1"/>
  <c r="I74" i="1"/>
  <c r="I36" i="1"/>
  <c r="I76" i="1"/>
  <c r="I35" i="1"/>
  <c r="I51" i="1"/>
  <c r="I67" i="1"/>
  <c r="I83" i="1"/>
  <c r="I37" i="1"/>
  <c r="I53" i="1"/>
  <c r="I69" i="1"/>
  <c r="I85" i="1"/>
  <c r="I40" i="1"/>
  <c r="I72" i="1"/>
  <c r="I30" i="1"/>
  <c r="I46" i="1"/>
  <c r="I62" i="1"/>
  <c r="I78" i="1"/>
  <c r="I44" i="1"/>
  <c r="I23" i="1"/>
  <c r="I39" i="1"/>
  <c r="I55" i="1"/>
  <c r="I71" i="1"/>
  <c r="I87" i="1"/>
  <c r="I25" i="1"/>
  <c r="I41" i="1"/>
  <c r="I57" i="1"/>
  <c r="I73" i="1"/>
  <c r="I86" i="1"/>
  <c r="I48" i="1"/>
  <c r="I84" i="1"/>
  <c r="I34" i="1"/>
  <c r="I50" i="1"/>
  <c r="I66" i="1"/>
  <c r="I82" i="1"/>
  <c r="I52" i="1"/>
  <c r="I27" i="1"/>
  <c r="I43" i="1"/>
  <c r="I59" i="1"/>
  <c r="I75" i="1"/>
  <c r="I68" i="1"/>
  <c r="I29" i="1"/>
  <c r="I45" i="1"/>
  <c r="I61" i="1"/>
  <c r="I77" i="1"/>
  <c r="I28" i="1"/>
  <c r="I56" i="1"/>
  <c r="I38" i="1"/>
  <c r="I54" i="1"/>
  <c r="I70" i="1"/>
  <c r="I24" i="1"/>
  <c r="I64" i="1"/>
  <c r="I31" i="1"/>
  <c r="I47" i="1"/>
  <c r="I63" i="1"/>
  <c r="I79" i="1"/>
  <c r="I80" i="1"/>
  <c r="F241" i="34"/>
  <c r="D122" i="2" s="1"/>
  <c r="F237" i="34"/>
  <c r="D118" i="2" s="1"/>
  <c r="F233" i="34"/>
  <c r="D114" i="2" s="1"/>
  <c r="F229" i="34"/>
  <c r="D110" i="2" s="1"/>
  <c r="F240" i="34"/>
  <c r="D121" i="2" s="1"/>
  <c r="F236" i="34"/>
  <c r="D117" i="2" s="1"/>
  <c r="F232" i="34"/>
  <c r="D113" i="2" s="1"/>
  <c r="F228" i="34"/>
  <c r="D109" i="2" s="1"/>
  <c r="F239" i="34"/>
  <c r="D120" i="2" s="1"/>
  <c r="F235" i="34"/>
  <c r="D116" i="2" s="1"/>
  <c r="F231" i="34"/>
  <c r="D112" i="2" s="1"/>
  <c r="F136" i="34"/>
  <c r="D159" i="1" s="1"/>
  <c r="F135" i="34"/>
  <c r="D158" i="1" s="1"/>
  <c r="F137" i="34"/>
  <c r="D160" i="1" s="1"/>
  <c r="F138" i="34"/>
  <c r="D161" i="1" s="1"/>
  <c r="F139" i="34"/>
  <c r="D162" i="1" s="1"/>
  <c r="F53" i="34"/>
  <c r="F449" i="34"/>
  <c r="F21" i="34"/>
  <c r="F185" i="34"/>
  <c r="F120" i="34"/>
  <c r="D143" i="1" s="1"/>
  <c r="F64" i="34"/>
  <c r="F56" i="34"/>
  <c r="F24" i="34"/>
  <c r="F193" i="34"/>
  <c r="F161" i="34"/>
  <c r="F220" i="34"/>
  <c r="D101" i="2" s="1"/>
  <c r="F164" i="34"/>
  <c r="F112" i="34"/>
  <c r="D135" i="1" s="1"/>
  <c r="F40" i="34"/>
  <c r="F128" i="34"/>
  <c r="D151" i="1" s="1"/>
  <c r="F177" i="34"/>
  <c r="F169" i="34"/>
  <c r="F145" i="34"/>
  <c r="F133" i="34"/>
  <c r="D156" i="1" s="1"/>
  <c r="F109" i="34"/>
  <c r="D132" i="1" s="1"/>
  <c r="F101" i="34"/>
  <c r="D124" i="1" s="1"/>
  <c r="F77" i="34"/>
  <c r="D100" i="1" s="1"/>
  <c r="F69" i="34"/>
  <c r="D92" i="1" s="1"/>
  <c r="F37" i="34"/>
  <c r="F5" i="34"/>
  <c r="F29" i="34"/>
  <c r="F61" i="34"/>
  <c r="F93" i="34"/>
  <c r="D116" i="1" s="1"/>
  <c r="F125" i="34"/>
  <c r="D148" i="1" s="1"/>
  <c r="F415" i="34"/>
  <c r="F358" i="34"/>
  <c r="F96" i="34"/>
  <c r="D119" i="1" s="1"/>
  <c r="F85" i="34"/>
  <c r="D108" i="1" s="1"/>
  <c r="F117" i="34"/>
  <c r="D140" i="1" s="1"/>
  <c r="F153" i="34"/>
  <c r="F366" i="34"/>
  <c r="F221" i="34"/>
  <c r="D102" i="2" s="1"/>
  <c r="F13" i="34"/>
  <c r="F45" i="34"/>
  <c r="F450" i="34"/>
  <c r="F444" i="34"/>
  <c r="F432" i="34"/>
  <c r="F427" i="34"/>
  <c r="F416" i="34"/>
  <c r="F408" i="34"/>
  <c r="F404" i="34"/>
  <c r="F396" i="34"/>
  <c r="F388" i="34"/>
  <c r="F383" i="34"/>
  <c r="F369" i="34"/>
  <c r="F363" i="34"/>
  <c r="F359" i="34"/>
  <c r="F225" i="34"/>
  <c r="D106" i="2" s="1"/>
  <c r="F201" i="34"/>
  <c r="F217" i="34"/>
  <c r="D98" i="2" s="1"/>
  <c r="F395" i="34"/>
  <c r="F433" i="34"/>
  <c r="F431" i="34"/>
  <c r="F80" i="34"/>
  <c r="D103" i="1" s="1"/>
  <c r="F140" i="34"/>
  <c r="F148" i="34"/>
  <c r="F188" i="34"/>
  <c r="F196" i="34"/>
  <c r="F448" i="34"/>
  <c r="F434" i="34"/>
  <c r="F424" i="34"/>
  <c r="D24" i="10" s="1"/>
  <c r="F414" i="34"/>
  <c r="F406" i="34"/>
  <c r="F398" i="34"/>
  <c r="F390" i="34"/>
  <c r="F375" i="34"/>
  <c r="F361" i="34"/>
  <c r="F353" i="34"/>
  <c r="F223" i="34"/>
  <c r="D104" i="2" s="1"/>
  <c r="F211" i="34"/>
  <c r="D92" i="2" s="1"/>
  <c r="F203" i="34"/>
  <c r="F195" i="34"/>
  <c r="F187" i="34"/>
  <c r="F183" i="34"/>
  <c r="F175" i="34"/>
  <c r="F167" i="34"/>
  <c r="F155" i="34"/>
  <c r="F147" i="34"/>
  <c r="F127" i="34"/>
  <c r="D150" i="1" s="1"/>
  <c r="F119" i="34"/>
  <c r="D142" i="1" s="1"/>
  <c r="F111" i="34"/>
  <c r="D134" i="1" s="1"/>
  <c r="F103" i="34"/>
  <c r="D126" i="1" s="1"/>
  <c r="F95" i="34"/>
  <c r="D118" i="1" s="1"/>
  <c r="F87" i="34"/>
  <c r="D110" i="1" s="1"/>
  <c r="F79" i="34"/>
  <c r="D102" i="1" s="1"/>
  <c r="F55" i="34"/>
  <c r="F47" i="34"/>
  <c r="F43" i="34"/>
  <c r="F35" i="34"/>
  <c r="F27" i="34"/>
  <c r="F23" i="34"/>
  <c r="F19" i="34"/>
  <c r="F15" i="34"/>
  <c r="F11" i="34"/>
  <c r="F7" i="34"/>
  <c r="F9" i="34"/>
  <c r="F17" i="34"/>
  <c r="F25" i="34"/>
  <c r="F33" i="34"/>
  <c r="F41" i="34"/>
  <c r="F49" i="34"/>
  <c r="F57" i="34"/>
  <c r="F65" i="34"/>
  <c r="F73" i="34"/>
  <c r="D96" i="1" s="1"/>
  <c r="F81" i="34"/>
  <c r="D104" i="1" s="1"/>
  <c r="F89" i="34"/>
  <c r="D112" i="1" s="1"/>
  <c r="F97" i="34"/>
  <c r="D120" i="1" s="1"/>
  <c r="F105" i="34"/>
  <c r="D128" i="1" s="1"/>
  <c r="F113" i="34"/>
  <c r="D136" i="1" s="1"/>
  <c r="F121" i="34"/>
  <c r="D144" i="1" s="1"/>
  <c r="F129" i="34"/>
  <c r="D152" i="1" s="1"/>
  <c r="F141" i="34"/>
  <c r="F149" i="34"/>
  <c r="F157" i="34"/>
  <c r="F165" i="34"/>
  <c r="F173" i="34"/>
  <c r="F181" i="34"/>
  <c r="F189" i="34"/>
  <c r="F197" i="34"/>
  <c r="F205" i="34"/>
  <c r="F213" i="34"/>
  <c r="D94" i="2" s="1"/>
  <c r="F372" i="34"/>
  <c r="F387" i="34"/>
  <c r="F403" i="34"/>
  <c r="F419" i="34"/>
  <c r="D87" i="14" s="1"/>
  <c r="F412" i="34"/>
  <c r="F400" i="34"/>
  <c r="F392" i="34"/>
  <c r="F384" i="34"/>
  <c r="F377" i="34"/>
  <c r="F373" i="34"/>
  <c r="F367" i="34"/>
  <c r="F355" i="34"/>
  <c r="F209" i="34"/>
  <c r="D90" i="2" s="1"/>
  <c r="F382" i="34"/>
  <c r="F411" i="34"/>
  <c r="F8" i="34"/>
  <c r="F16" i="34"/>
  <c r="F32" i="34"/>
  <c r="F48" i="34"/>
  <c r="F72" i="34"/>
  <c r="D95" i="1" s="1"/>
  <c r="F88" i="34"/>
  <c r="D111" i="1" s="1"/>
  <c r="F104" i="34"/>
  <c r="D127" i="1" s="1"/>
  <c r="F156" i="34"/>
  <c r="F172" i="34"/>
  <c r="F180" i="34"/>
  <c r="F204" i="34"/>
  <c r="F212" i="34"/>
  <c r="D93" i="2" s="1"/>
  <c r="F354" i="34"/>
  <c r="F399" i="34"/>
  <c r="F443" i="34"/>
  <c r="F418" i="34"/>
  <c r="F410" i="34"/>
  <c r="F402" i="34"/>
  <c r="F394" i="34"/>
  <c r="F386" i="34"/>
  <c r="F381" i="34"/>
  <c r="F371" i="34"/>
  <c r="F365" i="34"/>
  <c r="F357" i="34"/>
  <c r="F227" i="34"/>
  <c r="D108" i="2" s="1"/>
  <c r="F219" i="34"/>
  <c r="D100" i="2" s="1"/>
  <c r="F215" i="34"/>
  <c r="D96" i="2" s="1"/>
  <c r="F207" i="34"/>
  <c r="F199" i="34"/>
  <c r="F191" i="34"/>
  <c r="F179" i="34"/>
  <c r="F171" i="34"/>
  <c r="F163" i="34"/>
  <c r="F159" i="34"/>
  <c r="F151" i="34"/>
  <c r="F143" i="34"/>
  <c r="F131" i="34"/>
  <c r="D154" i="1" s="1"/>
  <c r="F123" i="34"/>
  <c r="D146" i="1" s="1"/>
  <c r="F115" i="34"/>
  <c r="D138" i="1" s="1"/>
  <c r="F107" i="34"/>
  <c r="D130" i="1" s="1"/>
  <c r="F99" i="34"/>
  <c r="D122" i="1" s="1"/>
  <c r="F91" i="34"/>
  <c r="D114" i="1" s="1"/>
  <c r="F83" i="34"/>
  <c r="D106" i="1" s="1"/>
  <c r="F75" i="34"/>
  <c r="D98" i="1" s="1"/>
  <c r="F71" i="34"/>
  <c r="D94" i="1" s="1"/>
  <c r="F67" i="34"/>
  <c r="F63" i="34"/>
  <c r="F59" i="34"/>
  <c r="F51" i="34"/>
  <c r="F39" i="34"/>
  <c r="F31" i="34"/>
  <c r="F451" i="34"/>
  <c r="F445" i="34"/>
  <c r="F439" i="34"/>
  <c r="F423" i="34"/>
  <c r="D23" i="10" s="1"/>
  <c r="F417" i="34"/>
  <c r="F413" i="34"/>
  <c r="F409" i="34"/>
  <c r="F405" i="34"/>
  <c r="F401" i="34"/>
  <c r="F397" i="34"/>
  <c r="F393" i="34"/>
  <c r="F389" i="34"/>
  <c r="F385" i="34"/>
  <c r="F380" i="34"/>
  <c r="F374" i="34"/>
  <c r="F370" i="34"/>
  <c r="F368" i="34"/>
  <c r="F364" i="34"/>
  <c r="F360" i="34"/>
  <c r="F356" i="34"/>
  <c r="F226" i="34"/>
  <c r="D107" i="2" s="1"/>
  <c r="F222" i="34"/>
  <c r="D103" i="2" s="1"/>
  <c r="F218" i="34"/>
  <c r="D99" i="2" s="1"/>
  <c r="F214" i="34"/>
  <c r="D95" i="2" s="1"/>
  <c r="F210" i="34"/>
  <c r="D91" i="2" s="1"/>
  <c r="F206" i="34"/>
  <c r="F202" i="34"/>
  <c r="F198" i="34"/>
  <c r="F194" i="34"/>
  <c r="F190" i="34"/>
  <c r="F186" i="34"/>
  <c r="F182" i="34"/>
  <c r="F178" i="34"/>
  <c r="F174" i="34"/>
  <c r="F170" i="34"/>
  <c r="F166" i="34"/>
  <c r="F162" i="34"/>
  <c r="F158" i="34"/>
  <c r="F154" i="34"/>
  <c r="F150" i="34"/>
  <c r="F146" i="34"/>
  <c r="F142" i="34"/>
  <c r="F134" i="34"/>
  <c r="D157" i="1" s="1"/>
  <c r="F130" i="34"/>
  <c r="D153" i="1" s="1"/>
  <c r="F126" i="34"/>
  <c r="D149" i="1" s="1"/>
  <c r="F122" i="34"/>
  <c r="D145" i="1" s="1"/>
  <c r="F118" i="34"/>
  <c r="D141" i="1" s="1"/>
  <c r="F114" i="34"/>
  <c r="D137" i="1" s="1"/>
  <c r="F110" i="34"/>
  <c r="D133" i="1" s="1"/>
  <c r="F106" i="34"/>
  <c r="D129" i="1" s="1"/>
  <c r="F102" i="34"/>
  <c r="D125" i="1" s="1"/>
  <c r="F98" i="34"/>
  <c r="D121" i="1" s="1"/>
  <c r="F94" i="34"/>
  <c r="D117" i="1" s="1"/>
  <c r="F90" i="34"/>
  <c r="D113" i="1" s="1"/>
  <c r="F86" i="34"/>
  <c r="D109" i="1" s="1"/>
  <c r="F82" i="34"/>
  <c r="D105" i="1" s="1"/>
  <c r="F78" i="34"/>
  <c r="D101" i="1" s="1"/>
  <c r="F74" i="34"/>
  <c r="D97" i="1" s="1"/>
  <c r="F70" i="34"/>
  <c r="D93" i="1" s="1"/>
  <c r="F66" i="34"/>
  <c r="F62" i="34"/>
  <c r="F58" i="34"/>
  <c r="F54" i="34"/>
  <c r="F50" i="34"/>
  <c r="F46" i="34"/>
  <c r="F42" i="34"/>
  <c r="F38" i="34"/>
  <c r="F34" i="34"/>
  <c r="F30" i="34"/>
  <c r="F26" i="34"/>
  <c r="F22" i="34"/>
  <c r="F18" i="34"/>
  <c r="F14" i="34"/>
  <c r="F10" i="34"/>
  <c r="F4" i="34"/>
  <c r="F12" i="34"/>
  <c r="F20" i="34"/>
  <c r="F28" i="34"/>
  <c r="F36" i="34"/>
  <c r="F44" i="34"/>
  <c r="F52" i="34"/>
  <c r="F60" i="34"/>
  <c r="F68" i="34"/>
  <c r="F76" i="34"/>
  <c r="D99" i="1" s="1"/>
  <c r="F84" i="34"/>
  <c r="D107" i="1" s="1"/>
  <c r="F92" i="34"/>
  <c r="D115" i="1" s="1"/>
  <c r="F100" i="34"/>
  <c r="D123" i="1" s="1"/>
  <c r="F108" i="34"/>
  <c r="D131" i="1" s="1"/>
  <c r="F116" i="34"/>
  <c r="D139" i="1" s="1"/>
  <c r="F124" i="34"/>
  <c r="D147" i="1" s="1"/>
  <c r="F132" i="34"/>
  <c r="D155" i="1" s="1"/>
  <c r="F144" i="34"/>
  <c r="F152" i="34"/>
  <c r="F160" i="34"/>
  <c r="F168" i="34"/>
  <c r="F176" i="34"/>
  <c r="F184" i="34"/>
  <c r="F192" i="34"/>
  <c r="F200" i="34"/>
  <c r="F208" i="34"/>
  <c r="D89" i="2" s="1"/>
  <c r="F216" i="34"/>
  <c r="D97" i="2" s="1"/>
  <c r="F224" i="34"/>
  <c r="D105" i="2" s="1"/>
  <c r="F362" i="34"/>
  <c r="F376" i="34"/>
  <c r="F391" i="34"/>
  <c r="F407" i="34"/>
  <c r="F428" i="34"/>
  <c r="F6" i="34"/>
  <c r="I36" i="36"/>
  <c r="I35" i="36"/>
  <c r="I34" i="36"/>
  <c r="I33" i="36"/>
  <c r="I32" i="36"/>
  <c r="I31" i="36"/>
  <c r="I30" i="36"/>
  <c r="I29" i="36"/>
  <c r="I28" i="36"/>
  <c r="I27" i="36"/>
  <c r="I26" i="36"/>
  <c r="I25" i="36"/>
  <c r="I24" i="36"/>
  <c r="I23" i="36"/>
  <c r="I22" i="36"/>
  <c r="I21" i="36"/>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87" i="14"/>
  <c r="I86" i="14"/>
  <c r="I85" i="14"/>
  <c r="I84" i="14"/>
  <c r="I83" i="14"/>
  <c r="I82" i="14"/>
  <c r="I81" i="14"/>
  <c r="I80" i="14"/>
  <c r="I79" i="14"/>
  <c r="I78" i="14"/>
  <c r="I77" i="14"/>
  <c r="I76" i="14"/>
  <c r="I75" i="14"/>
  <c r="I74" i="14"/>
  <c r="I73" i="14"/>
  <c r="I72" i="14"/>
  <c r="I71" i="14"/>
  <c r="I70" i="14"/>
  <c r="I69" i="14"/>
  <c r="I68" i="14"/>
  <c r="I67" i="14"/>
  <c r="I66" i="14"/>
  <c r="I65" i="14"/>
  <c r="I64" i="14"/>
  <c r="I63" i="14"/>
  <c r="I62" i="14"/>
  <c r="I61" i="14"/>
  <c r="I60" i="14"/>
  <c r="I59" i="14"/>
  <c r="I58" i="14"/>
  <c r="I57" i="14"/>
  <c r="I56" i="14"/>
  <c r="I55" i="14"/>
  <c r="I54" i="14"/>
  <c r="I53" i="14"/>
  <c r="I52" i="14"/>
  <c r="I51" i="14"/>
  <c r="I50" i="14"/>
  <c r="I49" i="14"/>
  <c r="I48" i="14"/>
  <c r="I47" i="14"/>
  <c r="I46"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D92" i="38"/>
  <c r="D81" i="38"/>
  <c r="D82" i="38"/>
  <c r="D79" i="38"/>
  <c r="D100" i="38"/>
  <c r="D87" i="38"/>
  <c r="D74" i="38"/>
  <c r="D95" i="38"/>
  <c r="D96" i="38"/>
  <c r="D70" i="38"/>
  <c r="D75" i="38"/>
  <c r="D71" i="38"/>
  <c r="D83" i="38"/>
  <c r="D91" i="38"/>
  <c r="D73" i="38"/>
  <c r="D72" i="38"/>
  <c r="D90" i="38"/>
  <c r="D76" i="38"/>
  <c r="D88" i="38"/>
  <c r="D69" i="38"/>
  <c r="D97" i="38"/>
  <c r="D93" i="38"/>
  <c r="F200" i="38"/>
  <c r="D78" i="38"/>
  <c r="D85" i="38"/>
  <c r="D77" i="38"/>
  <c r="D84" i="38"/>
  <c r="D86" i="38"/>
  <c r="D89" i="38"/>
  <c r="D80" i="38"/>
  <c r="D99" i="38"/>
  <c r="D94" i="38"/>
  <c r="D98" i="38"/>
  <c r="C88" i="8" l="1"/>
  <c r="D45" i="10"/>
  <c r="D40" i="36"/>
  <c r="D87" i="8"/>
  <c r="C87" i="8"/>
  <c r="D78" i="8"/>
  <c r="C78" i="8"/>
  <c r="D74" i="8"/>
  <c r="C74" i="8"/>
  <c r="D70" i="8"/>
  <c r="C70" i="8"/>
  <c r="D48" i="10"/>
  <c r="D143" i="2"/>
  <c r="C143" i="2"/>
  <c r="D142" i="2"/>
  <c r="C142" i="2"/>
  <c r="D82" i="8"/>
  <c r="C82" i="8"/>
  <c r="D81" i="8"/>
  <c r="C81" i="8"/>
  <c r="D86" i="8"/>
  <c r="C86" i="8"/>
  <c r="D76" i="8"/>
  <c r="C76" i="8"/>
  <c r="D77" i="8"/>
  <c r="C77" i="8"/>
  <c r="D72" i="8"/>
  <c r="C72" i="8"/>
  <c r="D49" i="10"/>
  <c r="D141" i="2"/>
  <c r="C141" i="2"/>
  <c r="D73" i="8"/>
  <c r="C73" i="8"/>
  <c r="D46" i="10"/>
  <c r="D80" i="8"/>
  <c r="C80" i="8"/>
  <c r="D79" i="8"/>
  <c r="C79" i="8"/>
  <c r="D75" i="8"/>
  <c r="C75" i="8"/>
  <c r="D60" i="8"/>
  <c r="D71" i="8"/>
  <c r="C71" i="8"/>
  <c r="D69" i="8"/>
  <c r="C69" i="8"/>
  <c r="D47" i="10"/>
  <c r="F342" i="35"/>
  <c r="I342" i="35"/>
  <c r="F274" i="35"/>
  <c r="I274" i="35"/>
  <c r="F251" i="35"/>
  <c r="I251" i="35"/>
  <c r="F248" i="35"/>
  <c r="I248" i="35"/>
  <c r="F224" i="35"/>
  <c r="I224" i="35"/>
  <c r="F221" i="35"/>
  <c r="I221" i="35"/>
  <c r="F218" i="35"/>
  <c r="I218" i="35"/>
  <c r="F196" i="35"/>
  <c r="I196" i="35"/>
  <c r="F173" i="35"/>
  <c r="I173" i="35"/>
  <c r="F159" i="35"/>
  <c r="I159" i="35"/>
  <c r="F130" i="35"/>
  <c r="I130" i="35"/>
  <c r="F66" i="35"/>
  <c r="I66" i="35"/>
  <c r="H45" i="31" l="1"/>
  <c r="I45" i="31"/>
  <c r="C10" i="33"/>
  <c r="C14" i="2" s="1"/>
  <c r="M84" i="1"/>
  <c r="M82" i="1"/>
  <c r="M81" i="1"/>
  <c r="F357" i="35"/>
  <c r="F358" i="35"/>
  <c r="F359" i="35"/>
  <c r="F360" i="35"/>
  <c r="F361" i="35"/>
  <c r="F362" i="35"/>
  <c r="F363" i="35"/>
  <c r="F364" i="35"/>
  <c r="I357" i="35"/>
  <c r="I358" i="35"/>
  <c r="I359" i="35"/>
  <c r="I360" i="35"/>
  <c r="I361" i="35"/>
  <c r="I362" i="35"/>
  <c r="I363" i="35"/>
  <c r="I364" i="35"/>
  <c r="M128" i="1"/>
  <c r="L28" i="1"/>
  <c r="Y10" i="32"/>
  <c r="Z10" i="32" s="1"/>
  <c r="Y8" i="32"/>
  <c r="Z8" i="32" s="1"/>
  <c r="AA10" i="32"/>
  <c r="AA8" i="32"/>
  <c r="B69" i="32"/>
  <c r="H102" i="31"/>
  <c r="I102" i="31"/>
  <c r="AA37" i="32"/>
  <c r="AB37" i="32" s="1"/>
  <c r="AA35" i="32"/>
  <c r="AB35" i="32" s="1"/>
  <c r="AA33" i="32"/>
  <c r="Z33" i="32" s="1"/>
  <c r="AA31" i="32"/>
  <c r="Y31" i="32" s="1"/>
  <c r="AA29" i="32"/>
  <c r="Y29" i="32" s="1"/>
  <c r="AA27" i="32"/>
  <c r="Y27" i="32" s="1"/>
  <c r="H1" i="33"/>
  <c r="H5" i="37" s="1"/>
  <c r="Y1" i="33"/>
  <c r="V3" i="33"/>
  <c r="U3" i="33"/>
  <c r="X1" i="33"/>
  <c r="C62" i="31" s="1"/>
  <c r="H3" i="33"/>
  <c r="H4" i="33"/>
  <c r="H5" i="33"/>
  <c r="H6" i="33"/>
  <c r="V1" i="33"/>
  <c r="W1" i="33"/>
  <c r="AA54" i="32"/>
  <c r="Y54" i="32" s="1"/>
  <c r="AB54" i="32" s="1"/>
  <c r="AA52" i="32"/>
  <c r="Y52" i="32" s="1"/>
  <c r="AA49" i="32"/>
  <c r="Y49" i="32" s="1"/>
  <c r="AA47" i="32"/>
  <c r="Y47" i="32" s="1"/>
  <c r="AA45" i="32"/>
  <c r="Y45" i="32" s="1"/>
  <c r="AA40" i="32"/>
  <c r="Y40" i="32" s="1"/>
  <c r="AA22" i="32"/>
  <c r="Y22" i="32" s="1"/>
  <c r="AA20" i="32"/>
  <c r="Y20" i="32" s="1"/>
  <c r="AA17" i="32"/>
  <c r="Y17" i="32" s="1"/>
  <c r="B12" i="32"/>
  <c r="H21" i="31"/>
  <c r="I21" i="31"/>
  <c r="H26" i="31"/>
  <c r="I26" i="31"/>
  <c r="U1" i="33"/>
  <c r="W4" i="33"/>
  <c r="X4" i="33" s="1"/>
  <c r="W5" i="33"/>
  <c r="X5" i="33" s="1"/>
  <c r="W6" i="33"/>
  <c r="X6" i="33" s="1"/>
  <c r="B76" i="32"/>
  <c r="H33" i="31"/>
  <c r="I33" i="31"/>
  <c r="B7" i="32"/>
  <c r="H18" i="31"/>
  <c r="I18" i="31"/>
  <c r="F3" i="33"/>
  <c r="F1" i="33" s="1"/>
  <c r="F4" i="33"/>
  <c r="F5" i="33"/>
  <c r="F6" i="33"/>
  <c r="H103" i="31"/>
  <c r="H104" i="31"/>
  <c r="H105" i="31"/>
  <c r="H106" i="31"/>
  <c r="I103" i="31"/>
  <c r="I104" i="31"/>
  <c r="I105" i="31"/>
  <c r="I106" i="31"/>
  <c r="B64" i="32"/>
  <c r="B66" i="32"/>
  <c r="H100" i="31"/>
  <c r="H101" i="31"/>
  <c r="I100" i="31"/>
  <c r="I101" i="31"/>
  <c r="B62" i="32"/>
  <c r="H99" i="31"/>
  <c r="I99" i="31"/>
  <c r="B47" i="32"/>
  <c r="H38" i="31"/>
  <c r="I38" i="31"/>
  <c r="D7" i="32"/>
  <c r="G7" i="32"/>
  <c r="J42" i="32"/>
  <c r="H9" i="31"/>
  <c r="H10" i="31"/>
  <c r="H11" i="31"/>
  <c r="I9" i="31"/>
  <c r="I10" i="31"/>
  <c r="I11" i="31"/>
  <c r="B27" i="32"/>
  <c r="H7" i="31"/>
  <c r="I7" i="31"/>
  <c r="H2" i="31"/>
  <c r="AA67" i="32"/>
  <c r="Y67" i="32" s="1"/>
  <c r="AB67" i="32" s="1"/>
  <c r="AA74" i="32"/>
  <c r="Y74" i="32" s="1"/>
  <c r="AA72" i="32"/>
  <c r="Y72" i="32" s="1"/>
  <c r="AB72" i="32" s="1"/>
  <c r="AA70" i="32"/>
  <c r="Y70" i="32" s="1"/>
  <c r="AB70" i="32" s="1"/>
  <c r="AA60" i="32"/>
  <c r="Y60" i="32" s="1"/>
  <c r="AB60" i="32" s="1"/>
  <c r="AA58" i="32"/>
  <c r="Y58" i="32" s="1"/>
  <c r="AB58" i="32" s="1"/>
  <c r="AA56" i="32"/>
  <c r="Y56" i="32" s="1"/>
  <c r="Y43" i="32"/>
  <c r="Z43" i="32" s="1"/>
  <c r="AA43" i="32" s="1"/>
  <c r="Y37" i="32"/>
  <c r="AA24" i="32"/>
  <c r="Y24" i="32" s="1"/>
  <c r="H98" i="31"/>
  <c r="I98" i="31"/>
  <c r="H97" i="31"/>
  <c r="I97" i="31"/>
  <c r="B14" i="32"/>
  <c r="B26" i="32"/>
  <c r="B52" i="32"/>
  <c r="B54" i="32"/>
  <c r="B56" i="32"/>
  <c r="B58" i="32"/>
  <c r="B60" i="32"/>
  <c r="B5" i="32"/>
  <c r="B8" i="32"/>
  <c r="B10" i="32"/>
  <c r="J3" i="33"/>
  <c r="J4" i="33"/>
  <c r="J5" i="33"/>
  <c r="J6" i="33"/>
  <c r="B119" i="32"/>
  <c r="B67" i="32"/>
  <c r="D5" i="10"/>
  <c r="B121" i="32"/>
  <c r="B124" i="32"/>
  <c r="B72" i="32"/>
  <c r="B126" i="32"/>
  <c r="B118" i="32"/>
  <c r="B49" i="32"/>
  <c r="C15" i="1"/>
  <c r="C15" i="2"/>
  <c r="C15" i="36"/>
  <c r="C15" i="8"/>
  <c r="C15" i="14"/>
  <c r="C18" i="36"/>
  <c r="D18" i="36"/>
  <c r="I18" i="2"/>
  <c r="K18" i="1"/>
  <c r="K19" i="1"/>
  <c r="L19" i="1"/>
  <c r="M19" i="1"/>
  <c r="N89" i="1"/>
  <c r="J18" i="14"/>
  <c r="J19" i="14"/>
  <c r="L19" i="36"/>
  <c r="K17" i="14"/>
  <c r="H17" i="10"/>
  <c r="D17" i="10"/>
  <c r="H18" i="10"/>
  <c r="I18" i="10"/>
  <c r="J18" i="10"/>
  <c r="K18" i="10"/>
  <c r="L18" i="10"/>
  <c r="M18" i="10"/>
  <c r="O18" i="10"/>
  <c r="E2" i="37"/>
  <c r="E3" i="37"/>
  <c r="E4" i="37"/>
  <c r="E5" i="37"/>
  <c r="E6" i="37"/>
  <c r="E7" i="37"/>
  <c r="E8" i="37"/>
  <c r="E9" i="37"/>
  <c r="E10" i="37"/>
  <c r="E11" i="37"/>
  <c r="E12" i="37"/>
  <c r="E13" i="37"/>
  <c r="E14" i="37"/>
  <c r="E15" i="37"/>
  <c r="E16" i="37"/>
  <c r="E17" i="37"/>
  <c r="E18" i="37"/>
  <c r="E19" i="37"/>
  <c r="E20" i="37"/>
  <c r="F2" i="35"/>
  <c r="F3" i="35"/>
  <c r="F4" i="35"/>
  <c r="F5" i="35"/>
  <c r="F6" i="35"/>
  <c r="F7" i="35"/>
  <c r="F8" i="35"/>
  <c r="F9" i="35"/>
  <c r="F10" i="35"/>
  <c r="F11" i="35"/>
  <c r="F12" i="35"/>
  <c r="F13" i="35"/>
  <c r="F14" i="35"/>
  <c r="F15" i="35"/>
  <c r="F16" i="35"/>
  <c r="F17" i="35"/>
  <c r="F35" i="35"/>
  <c r="F36" i="35"/>
  <c r="F37" i="35"/>
  <c r="F38" i="35"/>
  <c r="F39" i="35"/>
  <c r="F40" i="35"/>
  <c r="F41" i="35"/>
  <c r="F42" i="35"/>
  <c r="F43" i="35"/>
  <c r="F44" i="35"/>
  <c r="F45" i="35"/>
  <c r="F46" i="35"/>
  <c r="F47" i="35"/>
  <c r="F48" i="35"/>
  <c r="F49" i="35"/>
  <c r="F50" i="35"/>
  <c r="F51" i="35"/>
  <c r="F52" i="35"/>
  <c r="F53" i="35"/>
  <c r="F54" i="35"/>
  <c r="F55" i="35"/>
  <c r="F56" i="35"/>
  <c r="F57" i="35"/>
  <c r="F58" i="35"/>
  <c r="F59" i="35"/>
  <c r="F60" i="35"/>
  <c r="F61" i="35"/>
  <c r="F62" i="35"/>
  <c r="F63" i="35"/>
  <c r="F64" i="35"/>
  <c r="F65" i="35"/>
  <c r="F68" i="35"/>
  <c r="F70" i="35"/>
  <c r="F71" i="35"/>
  <c r="F72" i="35"/>
  <c r="F73" i="35"/>
  <c r="F74" i="35"/>
  <c r="F75" i="35"/>
  <c r="F76" i="35"/>
  <c r="F77" i="35"/>
  <c r="F78" i="35"/>
  <c r="F79" i="35"/>
  <c r="F80" i="35"/>
  <c r="F81" i="35"/>
  <c r="F82" i="35"/>
  <c r="F83" i="35"/>
  <c r="F84" i="35"/>
  <c r="F85" i="35"/>
  <c r="F86" i="35"/>
  <c r="F87" i="35"/>
  <c r="F88" i="35"/>
  <c r="F89" i="35"/>
  <c r="F90" i="35"/>
  <c r="F91" i="35"/>
  <c r="F92" i="35"/>
  <c r="F93" i="35"/>
  <c r="F94" i="35"/>
  <c r="F95" i="35"/>
  <c r="F96" i="35"/>
  <c r="F97" i="35"/>
  <c r="F98" i="35"/>
  <c r="F99" i="35"/>
  <c r="F100" i="35"/>
  <c r="F101" i="35"/>
  <c r="F102" i="35"/>
  <c r="F103" i="35"/>
  <c r="F104" i="35"/>
  <c r="F105" i="35"/>
  <c r="F106" i="35"/>
  <c r="F107" i="35"/>
  <c r="F108" i="35"/>
  <c r="F109" i="35"/>
  <c r="F110" i="35"/>
  <c r="F111" i="35"/>
  <c r="F112" i="35"/>
  <c r="F113" i="35"/>
  <c r="F114" i="35"/>
  <c r="F115" i="35"/>
  <c r="F116" i="35"/>
  <c r="F117" i="35"/>
  <c r="F118" i="35"/>
  <c r="F119" i="35"/>
  <c r="F120" i="35"/>
  <c r="F121" i="35"/>
  <c r="F122" i="35"/>
  <c r="F123" i="35"/>
  <c r="F124" i="35"/>
  <c r="F125" i="35"/>
  <c r="F126" i="35"/>
  <c r="F127" i="35"/>
  <c r="F128" i="35"/>
  <c r="F129" i="35"/>
  <c r="F131" i="35"/>
  <c r="F132" i="35"/>
  <c r="F133" i="35"/>
  <c r="F134" i="35"/>
  <c r="F135" i="35"/>
  <c r="F136" i="35"/>
  <c r="F137" i="35"/>
  <c r="F138" i="35"/>
  <c r="F139" i="35"/>
  <c r="F140" i="35"/>
  <c r="F141" i="35"/>
  <c r="F142" i="35"/>
  <c r="F143" i="35"/>
  <c r="F144" i="35"/>
  <c r="F145" i="35"/>
  <c r="F146" i="35"/>
  <c r="F147" i="35"/>
  <c r="F148" i="35"/>
  <c r="F149" i="35"/>
  <c r="F150" i="35"/>
  <c r="F151" i="35"/>
  <c r="F152" i="35"/>
  <c r="F153" i="35"/>
  <c r="F154" i="35"/>
  <c r="F155" i="35"/>
  <c r="F156" i="35"/>
  <c r="F157" i="35"/>
  <c r="F158" i="35"/>
  <c r="F160" i="35"/>
  <c r="F161" i="35"/>
  <c r="F162" i="35"/>
  <c r="F163" i="35"/>
  <c r="F164" i="35"/>
  <c r="F165" i="35"/>
  <c r="F166" i="35"/>
  <c r="F167" i="35"/>
  <c r="F168" i="35"/>
  <c r="F169" i="35"/>
  <c r="F170" i="35"/>
  <c r="F171" i="35"/>
  <c r="F172" i="35"/>
  <c r="F174" i="35"/>
  <c r="F175" i="35"/>
  <c r="F176" i="35"/>
  <c r="F177" i="35"/>
  <c r="F178" i="35"/>
  <c r="F179" i="35"/>
  <c r="F180" i="35"/>
  <c r="F181" i="35"/>
  <c r="F182" i="35"/>
  <c r="F183" i="35"/>
  <c r="F184" i="35"/>
  <c r="F185" i="35"/>
  <c r="F186" i="35"/>
  <c r="F187" i="35"/>
  <c r="F188" i="35"/>
  <c r="F189" i="35"/>
  <c r="F190" i="35"/>
  <c r="F191" i="35"/>
  <c r="F192" i="35"/>
  <c r="F193" i="35"/>
  <c r="F194" i="35"/>
  <c r="F195" i="35"/>
  <c r="F197" i="35"/>
  <c r="F198" i="35"/>
  <c r="F199" i="35"/>
  <c r="F200" i="35"/>
  <c r="F201" i="35"/>
  <c r="F202" i="35"/>
  <c r="F203" i="35"/>
  <c r="F204" i="35"/>
  <c r="F205" i="35"/>
  <c r="F206" i="35"/>
  <c r="F207" i="35"/>
  <c r="F208" i="35"/>
  <c r="F209" i="35"/>
  <c r="F210" i="35"/>
  <c r="F211" i="35"/>
  <c r="F212" i="35"/>
  <c r="F213" i="35"/>
  <c r="F214" i="35"/>
  <c r="F215" i="35"/>
  <c r="F216" i="35"/>
  <c r="F217" i="35"/>
  <c r="F219" i="35"/>
  <c r="F220" i="35"/>
  <c r="F222" i="35"/>
  <c r="F223" i="35"/>
  <c r="F225" i="35"/>
  <c r="F226" i="35"/>
  <c r="F227" i="35"/>
  <c r="F228" i="35"/>
  <c r="F229" i="35"/>
  <c r="F230" i="35"/>
  <c r="F231" i="35"/>
  <c r="F232" i="35"/>
  <c r="F233" i="35"/>
  <c r="F234" i="35"/>
  <c r="F235" i="35"/>
  <c r="F236" i="35"/>
  <c r="F237" i="35"/>
  <c r="F238" i="35"/>
  <c r="F239" i="35"/>
  <c r="F240" i="35"/>
  <c r="F241" i="35"/>
  <c r="F242" i="35"/>
  <c r="F243" i="35"/>
  <c r="F244" i="35"/>
  <c r="F245" i="35"/>
  <c r="F246" i="35"/>
  <c r="F247" i="35"/>
  <c r="F249" i="35"/>
  <c r="F250" i="35"/>
  <c r="F252" i="35"/>
  <c r="F253" i="35"/>
  <c r="F254" i="35"/>
  <c r="F255" i="35"/>
  <c r="F256" i="35"/>
  <c r="F257" i="35"/>
  <c r="F258" i="35"/>
  <c r="F259" i="35"/>
  <c r="F260" i="35"/>
  <c r="F261" i="35"/>
  <c r="F262" i="35"/>
  <c r="F263" i="35"/>
  <c r="F264" i="35"/>
  <c r="F265" i="35"/>
  <c r="F266" i="35"/>
  <c r="F267" i="35"/>
  <c r="F268" i="35"/>
  <c r="F269" i="35"/>
  <c r="F270" i="35"/>
  <c r="F271" i="35"/>
  <c r="F272" i="35"/>
  <c r="F273" i="35"/>
  <c r="F275" i="35"/>
  <c r="F276" i="35"/>
  <c r="F277" i="35"/>
  <c r="F278" i="35"/>
  <c r="F279" i="35"/>
  <c r="F280" i="35"/>
  <c r="F281" i="35"/>
  <c r="F282" i="35"/>
  <c r="F283" i="35"/>
  <c r="F284" i="35"/>
  <c r="F285" i="35"/>
  <c r="F286" i="35"/>
  <c r="F287" i="35"/>
  <c r="F288" i="35"/>
  <c r="F289" i="35"/>
  <c r="F290" i="35"/>
  <c r="F291" i="35"/>
  <c r="F292" i="35"/>
  <c r="F293" i="35"/>
  <c r="F294" i="35"/>
  <c r="F295" i="35"/>
  <c r="F296" i="35"/>
  <c r="F297" i="35"/>
  <c r="F298" i="35"/>
  <c r="F299" i="35"/>
  <c r="F300" i="35"/>
  <c r="F301" i="35"/>
  <c r="F302" i="35"/>
  <c r="F303" i="35"/>
  <c r="F304" i="35"/>
  <c r="F305" i="35"/>
  <c r="F306" i="35"/>
  <c r="F307" i="35"/>
  <c r="F308" i="35"/>
  <c r="F309" i="35"/>
  <c r="F310" i="35"/>
  <c r="F311" i="35"/>
  <c r="F312" i="35"/>
  <c r="F313" i="35"/>
  <c r="F314" i="35"/>
  <c r="F315" i="35"/>
  <c r="F316" i="35"/>
  <c r="F317" i="35"/>
  <c r="F318" i="35"/>
  <c r="F319" i="35"/>
  <c r="F320" i="35"/>
  <c r="F321" i="35"/>
  <c r="F322" i="35"/>
  <c r="F323" i="35"/>
  <c r="F324" i="35"/>
  <c r="F325" i="35"/>
  <c r="F326" i="35"/>
  <c r="F327" i="35"/>
  <c r="F328" i="35"/>
  <c r="F329" i="35"/>
  <c r="F330" i="35"/>
  <c r="F331" i="35"/>
  <c r="F332" i="35"/>
  <c r="F333" i="35"/>
  <c r="F334" i="35"/>
  <c r="F335" i="35"/>
  <c r="F336" i="35"/>
  <c r="F337" i="35"/>
  <c r="F338" i="35"/>
  <c r="F339" i="35"/>
  <c r="F340" i="35"/>
  <c r="F341" i="35"/>
  <c r="F343" i="35"/>
  <c r="F344" i="35"/>
  <c r="F345" i="35"/>
  <c r="F346" i="35"/>
  <c r="F347" i="35"/>
  <c r="F348" i="35"/>
  <c r="F349" i="35"/>
  <c r="F350" i="35"/>
  <c r="F351" i="35"/>
  <c r="F352" i="35"/>
  <c r="F353" i="35"/>
  <c r="F354" i="35"/>
  <c r="F355" i="35"/>
  <c r="F356" i="35"/>
  <c r="H34" i="31"/>
  <c r="I34" i="31"/>
  <c r="O40" i="10"/>
  <c r="Q40" i="10" s="1"/>
  <c r="O39" i="10"/>
  <c r="Q39" i="10" s="1"/>
  <c r="O35" i="10"/>
  <c r="Q35" i="10" s="1"/>
  <c r="O33" i="10"/>
  <c r="O32" i="10"/>
  <c r="Q32" i="10" s="1"/>
  <c r="O28" i="10"/>
  <c r="O27" i="10"/>
  <c r="Q27" i="10" s="1"/>
  <c r="O21" i="10"/>
  <c r="Q21" i="10" s="1"/>
  <c r="P37" i="10"/>
  <c r="P41" i="10" s="1"/>
  <c r="P53" i="10" s="1"/>
  <c r="H86" i="31"/>
  <c r="H87" i="31"/>
  <c r="H88" i="31"/>
  <c r="H89" i="31"/>
  <c r="H90" i="31"/>
  <c r="H91" i="31"/>
  <c r="H94" i="31"/>
  <c r="H95" i="31"/>
  <c r="H96" i="31"/>
  <c r="I86" i="31"/>
  <c r="I87" i="31"/>
  <c r="I88" i="31"/>
  <c r="I89" i="31"/>
  <c r="I90" i="31"/>
  <c r="I91" i="31"/>
  <c r="I94" i="31"/>
  <c r="I95" i="31"/>
  <c r="I96" i="31"/>
  <c r="H85" i="31"/>
  <c r="I85" i="31"/>
  <c r="H75" i="31"/>
  <c r="I75" i="31"/>
  <c r="H8" i="31"/>
  <c r="I8" i="31"/>
  <c r="H50" i="31"/>
  <c r="H51" i="31"/>
  <c r="I50" i="31"/>
  <c r="I51" i="31"/>
  <c r="H3" i="31"/>
  <c r="H4" i="31"/>
  <c r="H5" i="31"/>
  <c r="H12" i="31"/>
  <c r="H13" i="31"/>
  <c r="H14" i="31"/>
  <c r="H15" i="31"/>
  <c r="H16" i="31"/>
  <c r="H17" i="31"/>
  <c r="H19" i="31"/>
  <c r="H20" i="31"/>
  <c r="H22" i="31"/>
  <c r="H23" i="31"/>
  <c r="H24" i="31"/>
  <c r="H25" i="31"/>
  <c r="H27" i="31"/>
  <c r="H28" i="31"/>
  <c r="H29" i="31"/>
  <c r="H30" i="31"/>
  <c r="H31" i="31"/>
  <c r="H32" i="31"/>
  <c r="H35" i="31"/>
  <c r="H36" i="31"/>
  <c r="H37" i="31"/>
  <c r="H39" i="31"/>
  <c r="H44" i="31"/>
  <c r="H46" i="31"/>
  <c r="H47" i="31"/>
  <c r="H48" i="31"/>
  <c r="H49" i="31"/>
  <c r="H52" i="31"/>
  <c r="H53" i="31"/>
  <c r="H54" i="31"/>
  <c r="H55" i="31"/>
  <c r="H56" i="31"/>
  <c r="H57" i="31"/>
  <c r="H58" i="31"/>
  <c r="H59" i="31"/>
  <c r="H60" i="31"/>
  <c r="H61" i="31"/>
  <c r="H62" i="31"/>
  <c r="H63" i="31"/>
  <c r="H64" i="31"/>
  <c r="H65" i="31"/>
  <c r="H66" i="31"/>
  <c r="H67" i="31"/>
  <c r="H68" i="31"/>
  <c r="H69" i="31"/>
  <c r="H70" i="31"/>
  <c r="H71" i="31"/>
  <c r="H72" i="31"/>
  <c r="H74" i="31"/>
  <c r="H76" i="31"/>
  <c r="H77" i="31"/>
  <c r="H78" i="31"/>
  <c r="H79" i="31"/>
  <c r="H80" i="31"/>
  <c r="H81" i="31"/>
  <c r="H82" i="31"/>
  <c r="H83" i="31"/>
  <c r="H84" i="31"/>
  <c r="C21" i="14"/>
  <c r="C23" i="14"/>
  <c r="C29" i="14"/>
  <c r="C33" i="14"/>
  <c r="C35" i="14"/>
  <c r="C37" i="14"/>
  <c r="C41" i="14"/>
  <c r="C45" i="14"/>
  <c r="C78" i="14"/>
  <c r="D77" i="14"/>
  <c r="A2" i="34"/>
  <c r="I22" i="31"/>
  <c r="I23" i="31"/>
  <c r="I24" i="31"/>
  <c r="I25" i="31"/>
  <c r="I15" i="31"/>
  <c r="I16" i="31"/>
  <c r="I12" i="31"/>
  <c r="I14" i="31"/>
  <c r="I13" i="31"/>
  <c r="I2" i="31"/>
  <c r="I3" i="31"/>
  <c r="I4" i="31"/>
  <c r="I5" i="31"/>
  <c r="I17" i="31"/>
  <c r="I19" i="31"/>
  <c r="I20" i="31"/>
  <c r="I27" i="31"/>
  <c r="I28" i="31"/>
  <c r="I29" i="31"/>
  <c r="I30" i="31"/>
  <c r="I31" i="31"/>
  <c r="I32" i="31"/>
  <c r="I35" i="31"/>
  <c r="I36" i="31"/>
  <c r="I37" i="31"/>
  <c r="I39" i="31"/>
  <c r="I44" i="31"/>
  <c r="I46" i="31"/>
  <c r="I47" i="31"/>
  <c r="I48" i="31"/>
  <c r="I49" i="31"/>
  <c r="I52" i="31"/>
  <c r="I53" i="31"/>
  <c r="I54" i="31"/>
  <c r="I55" i="31"/>
  <c r="I56" i="31"/>
  <c r="I57" i="31"/>
  <c r="I58" i="31"/>
  <c r="I59" i="31"/>
  <c r="I60" i="31"/>
  <c r="I61" i="31"/>
  <c r="I62" i="31"/>
  <c r="I63" i="31"/>
  <c r="I64" i="31"/>
  <c r="I65" i="31"/>
  <c r="I66" i="31"/>
  <c r="I67" i="31"/>
  <c r="I68" i="31"/>
  <c r="I69" i="31"/>
  <c r="I70" i="31"/>
  <c r="I71" i="31"/>
  <c r="I72" i="31"/>
  <c r="I74" i="31"/>
  <c r="I76" i="31"/>
  <c r="I77" i="31"/>
  <c r="I78" i="31"/>
  <c r="I79" i="31"/>
  <c r="I80" i="31"/>
  <c r="I81" i="31"/>
  <c r="I82" i="31"/>
  <c r="I83" i="31"/>
  <c r="I84" i="31"/>
  <c r="C33" i="8"/>
  <c r="C21" i="36"/>
  <c r="C56" i="8"/>
  <c r="D48" i="8"/>
  <c r="C48" i="8"/>
  <c r="C44" i="8"/>
  <c r="D40" i="8"/>
  <c r="C40" i="8"/>
  <c r="C36" i="8"/>
  <c r="D32" i="8"/>
  <c r="D28" i="8"/>
  <c r="C28" i="8"/>
  <c r="D24" i="8"/>
  <c r="C24" i="8"/>
  <c r="D41" i="36"/>
  <c r="D36" i="36"/>
  <c r="C36" i="36"/>
  <c r="D32" i="36"/>
  <c r="D28" i="36"/>
  <c r="C28" i="36"/>
  <c r="D24" i="36"/>
  <c r="D144" i="2"/>
  <c r="D88" i="2"/>
  <c r="D84" i="2"/>
  <c r="D80" i="2"/>
  <c r="D72" i="2"/>
  <c r="D64" i="2"/>
  <c r="D60" i="2"/>
  <c r="D56" i="2"/>
  <c r="D52" i="2"/>
  <c r="C48" i="2"/>
  <c r="D44" i="2"/>
  <c r="C44" i="2"/>
  <c r="C40" i="2"/>
  <c r="D36" i="2"/>
  <c r="D32" i="2"/>
  <c r="C32" i="2"/>
  <c r="D28" i="2"/>
  <c r="D24" i="2"/>
  <c r="C24" i="2"/>
  <c r="C55" i="8"/>
  <c r="C47" i="8"/>
  <c r="C39" i="8"/>
  <c r="C31" i="8"/>
  <c r="C27" i="8"/>
  <c r="C35" i="36"/>
  <c r="C31" i="36"/>
  <c r="C27" i="36"/>
  <c r="D23" i="14"/>
  <c r="C66" i="8"/>
  <c r="C62" i="8"/>
  <c r="D58" i="8"/>
  <c r="C58" i="8"/>
  <c r="D54" i="8"/>
  <c r="C54" i="8"/>
  <c r="D50" i="8"/>
  <c r="C50" i="8"/>
  <c r="D46" i="8"/>
  <c r="C46" i="8"/>
  <c r="D42" i="8"/>
  <c r="C42" i="8"/>
  <c r="D38" i="8"/>
  <c r="C38" i="8"/>
  <c r="D34" i="8"/>
  <c r="C34" i="8"/>
  <c r="D30" i="8"/>
  <c r="C30" i="8"/>
  <c r="D26" i="8"/>
  <c r="C26" i="8"/>
  <c r="D22" i="8"/>
  <c r="C22" i="8"/>
  <c r="D38" i="36"/>
  <c r="C38" i="36"/>
  <c r="D34" i="36"/>
  <c r="C34" i="36"/>
  <c r="D30" i="36"/>
  <c r="C30" i="36"/>
  <c r="D26" i="36"/>
  <c r="C26" i="36"/>
  <c r="D22" i="36"/>
  <c r="C22" i="36"/>
  <c r="D86" i="2"/>
  <c r="D82" i="2"/>
  <c r="D78" i="2"/>
  <c r="D74" i="2"/>
  <c r="D70" i="2"/>
  <c r="D66" i="2"/>
  <c r="D62" i="2"/>
  <c r="D58" i="2"/>
  <c r="D54" i="2"/>
  <c r="D50" i="2"/>
  <c r="D46" i="2"/>
  <c r="C46" i="2"/>
  <c r="D42" i="2"/>
  <c r="C42" i="2"/>
  <c r="D38" i="2"/>
  <c r="C38" i="2"/>
  <c r="D34" i="2"/>
  <c r="C34" i="2"/>
  <c r="D30" i="2"/>
  <c r="C30" i="2"/>
  <c r="D26" i="2"/>
  <c r="C26" i="2"/>
  <c r="D22" i="2"/>
  <c r="C22" i="2"/>
  <c r="D84" i="1"/>
  <c r="D80" i="1"/>
  <c r="D76" i="1"/>
  <c r="D72" i="1"/>
  <c r="D68" i="1"/>
  <c r="D64" i="1"/>
  <c r="D60" i="1"/>
  <c r="D56" i="1"/>
  <c r="D52" i="1"/>
  <c r="D48" i="1"/>
  <c r="D44" i="1"/>
  <c r="D40" i="1"/>
  <c r="D36" i="1"/>
  <c r="D32" i="1"/>
  <c r="D28" i="1"/>
  <c r="D24" i="1"/>
  <c r="D26" i="14"/>
  <c r="D61" i="8"/>
  <c r="D57" i="8"/>
  <c r="D53" i="8"/>
  <c r="D49" i="8"/>
  <c r="D45" i="8"/>
  <c r="D41" i="8"/>
  <c r="D37" i="8"/>
  <c r="D33" i="8"/>
  <c r="D29" i="8"/>
  <c r="D25" i="8"/>
  <c r="D37" i="36"/>
  <c r="D33" i="36"/>
  <c r="D29" i="36"/>
  <c r="D25" i="36"/>
  <c r="D21" i="36"/>
  <c r="D85" i="2"/>
  <c r="D81" i="2"/>
  <c r="D77" i="2"/>
  <c r="D73" i="2"/>
  <c r="D69" i="2"/>
  <c r="D65" i="2"/>
  <c r="D61" i="2"/>
  <c r="D57" i="2"/>
  <c r="D53" i="2"/>
  <c r="D49" i="2"/>
  <c r="C49" i="2"/>
  <c r="D45" i="2"/>
  <c r="C45" i="2"/>
  <c r="D41" i="2"/>
  <c r="C41" i="2"/>
  <c r="D37" i="2"/>
  <c r="C37" i="2"/>
  <c r="D33" i="2"/>
  <c r="C33" i="2"/>
  <c r="D29" i="2"/>
  <c r="C29" i="2"/>
  <c r="D25" i="2"/>
  <c r="C25" i="2"/>
  <c r="D21" i="2"/>
  <c r="C21" i="2"/>
  <c r="D87" i="1"/>
  <c r="D83" i="1"/>
  <c r="D79" i="1"/>
  <c r="D75" i="1"/>
  <c r="D71" i="1"/>
  <c r="D67" i="1"/>
  <c r="D63" i="1"/>
  <c r="D59" i="1"/>
  <c r="D55" i="1"/>
  <c r="D51" i="1"/>
  <c r="D47" i="1"/>
  <c r="D43" i="1"/>
  <c r="D39" i="1"/>
  <c r="D35" i="1"/>
  <c r="C53" i="8"/>
  <c r="C37" i="8"/>
  <c r="C21" i="8"/>
  <c r="C25" i="36"/>
  <c r="D70" i="1"/>
  <c r="D66" i="1"/>
  <c r="D62" i="1"/>
  <c r="D58" i="1"/>
  <c r="D54" i="1"/>
  <c r="D50" i="1"/>
  <c r="D46" i="1"/>
  <c r="D42" i="1"/>
  <c r="D38" i="1"/>
  <c r="D34" i="1"/>
  <c r="D30" i="1"/>
  <c r="D26" i="1"/>
  <c r="C57" i="8"/>
  <c r="C41" i="8"/>
  <c r="C25" i="8"/>
  <c r="C29" i="36"/>
  <c r="D44" i="14"/>
  <c r="D40" i="14"/>
  <c r="D36" i="14"/>
  <c r="D32" i="14"/>
  <c r="D28" i="14"/>
  <c r="D24" i="14"/>
  <c r="D88" i="8"/>
  <c r="D67" i="8"/>
  <c r="D63" i="8"/>
  <c r="D59" i="8"/>
  <c r="D55" i="8"/>
  <c r="D51" i="8"/>
  <c r="D47" i="8"/>
  <c r="D43" i="8"/>
  <c r="D39" i="8"/>
  <c r="D35" i="8"/>
  <c r="D31" i="8"/>
  <c r="D27" i="8"/>
  <c r="D23" i="8"/>
  <c r="D39" i="36"/>
  <c r="D35" i="36"/>
  <c r="D31" i="36"/>
  <c r="D27" i="36"/>
  <c r="D23" i="36"/>
  <c r="D87" i="2"/>
  <c r="D83" i="2"/>
  <c r="D79" i="2"/>
  <c r="D75" i="2"/>
  <c r="D71" i="2"/>
  <c r="D67" i="2"/>
  <c r="D63" i="2"/>
  <c r="D59" i="2"/>
  <c r="D55" i="2"/>
  <c r="D51" i="2"/>
  <c r="D47" i="2"/>
  <c r="C47" i="2"/>
  <c r="D43" i="2"/>
  <c r="C43" i="2"/>
  <c r="D39" i="2"/>
  <c r="C39" i="2"/>
  <c r="D35" i="2"/>
  <c r="C35" i="2"/>
  <c r="D31" i="2"/>
  <c r="C31" i="2"/>
  <c r="D27" i="2"/>
  <c r="C27" i="2"/>
  <c r="D23" i="2"/>
  <c r="C23" i="2"/>
  <c r="D85" i="1"/>
  <c r="D81" i="1"/>
  <c r="D77" i="1"/>
  <c r="D73" i="1"/>
  <c r="D69" i="1"/>
  <c r="D65" i="1"/>
  <c r="D61" i="1"/>
  <c r="D57" i="1"/>
  <c r="D53" i="1"/>
  <c r="D49" i="1"/>
  <c r="D45" i="1"/>
  <c r="D41" i="1"/>
  <c r="D37" i="1"/>
  <c r="D33" i="1"/>
  <c r="D29" i="1"/>
  <c r="D25" i="1"/>
  <c r="C67" i="8"/>
  <c r="C61" i="8"/>
  <c r="C51" i="8"/>
  <c r="C45" i="8"/>
  <c r="C35" i="8"/>
  <c r="C29" i="8"/>
  <c r="C39" i="36"/>
  <c r="C33" i="36"/>
  <c r="C23" i="36"/>
  <c r="D31" i="1"/>
  <c r="D27" i="1"/>
  <c r="D23" i="1"/>
  <c r="D86" i="1"/>
  <c r="D78" i="1"/>
  <c r="D74" i="1"/>
  <c r="D82" i="1"/>
  <c r="G39" i="10"/>
  <c r="G35" i="10"/>
  <c r="G31" i="10"/>
  <c r="G27" i="10"/>
  <c r="G53" i="10"/>
  <c r="G38" i="10"/>
  <c r="G34" i="10"/>
  <c r="G30" i="10"/>
  <c r="G26" i="10"/>
  <c r="G22" i="10"/>
  <c r="G41" i="10"/>
  <c r="G37" i="10"/>
  <c r="G33" i="10"/>
  <c r="G29" i="10"/>
  <c r="G21" i="10"/>
  <c r="G40" i="10"/>
  <c r="G36" i="10"/>
  <c r="G32" i="10"/>
  <c r="G28" i="10"/>
  <c r="I5" i="35"/>
  <c r="I9" i="35"/>
  <c r="I13" i="35"/>
  <c r="I17" i="35"/>
  <c r="I21" i="35"/>
  <c r="I25" i="35"/>
  <c r="I29" i="35"/>
  <c r="I33" i="35"/>
  <c r="I37" i="35"/>
  <c r="I41" i="35"/>
  <c r="I45" i="35"/>
  <c r="I49" i="35"/>
  <c r="I53" i="35"/>
  <c r="I57" i="35"/>
  <c r="I61" i="35"/>
  <c r="I65" i="35"/>
  <c r="I70" i="35"/>
  <c r="I2" i="35"/>
  <c r="I7" i="35"/>
  <c r="I12" i="35"/>
  <c r="I18" i="35"/>
  <c r="I23" i="35"/>
  <c r="I28" i="35"/>
  <c r="I34" i="35"/>
  <c r="I39" i="35"/>
  <c r="I44" i="35"/>
  <c r="I50" i="35"/>
  <c r="I55" i="35"/>
  <c r="I60" i="35"/>
  <c r="I68" i="35"/>
  <c r="I72" i="35"/>
  <c r="I76" i="35"/>
  <c r="I80" i="35"/>
  <c r="I84" i="35"/>
  <c r="I88" i="35"/>
  <c r="I92" i="35"/>
  <c r="I96" i="35"/>
  <c r="I100" i="35"/>
  <c r="I104" i="35"/>
  <c r="I108" i="35"/>
  <c r="I112" i="35"/>
  <c r="I116" i="35"/>
  <c r="I120" i="35"/>
  <c r="I124" i="35"/>
  <c r="I128" i="35"/>
  <c r="I3" i="35"/>
  <c r="I8" i="35"/>
  <c r="I14" i="35"/>
  <c r="I19" i="35"/>
  <c r="I24" i="35"/>
  <c r="I30" i="35"/>
  <c r="I35" i="35"/>
  <c r="I40" i="35"/>
  <c r="I46" i="35"/>
  <c r="I51" i="35"/>
  <c r="I56" i="35"/>
  <c r="I62" i="35"/>
  <c r="I73" i="35"/>
  <c r="I77" i="35"/>
  <c r="I81" i="35"/>
  <c r="I85" i="35"/>
  <c r="I89" i="35"/>
  <c r="I93" i="35"/>
  <c r="I97" i="35"/>
  <c r="I101" i="35"/>
  <c r="I105" i="35"/>
  <c r="I109" i="35"/>
  <c r="I113" i="35"/>
  <c r="I117" i="35"/>
  <c r="I121" i="35"/>
  <c r="I125" i="35"/>
  <c r="I129" i="35"/>
  <c r="I4" i="35"/>
  <c r="I10" i="35"/>
  <c r="I15" i="35"/>
  <c r="I20" i="35"/>
  <c r="I26" i="35"/>
  <c r="I31" i="35"/>
  <c r="I36" i="35"/>
  <c r="I42" i="35"/>
  <c r="I47" i="35"/>
  <c r="I52" i="35"/>
  <c r="I58" i="35"/>
  <c r="I63" i="35"/>
  <c r="I74" i="35"/>
  <c r="I78" i="35"/>
  <c r="I82" i="35"/>
  <c r="I86" i="35"/>
  <c r="I90" i="35"/>
  <c r="I94" i="35"/>
  <c r="I98" i="35"/>
  <c r="I102" i="35"/>
  <c r="I106" i="35"/>
  <c r="I110" i="35"/>
  <c r="I114" i="35"/>
  <c r="I118" i="35"/>
  <c r="I122" i="35"/>
  <c r="I126" i="35"/>
  <c r="I6" i="35"/>
  <c r="I11" i="35"/>
  <c r="I16" i="35"/>
  <c r="I22" i="35"/>
  <c r="I27" i="35"/>
  <c r="I32" i="35"/>
  <c r="I38" i="35"/>
  <c r="I43" i="35"/>
  <c r="I48" i="35"/>
  <c r="I54" i="35"/>
  <c r="I59" i="35"/>
  <c r="I64" i="35"/>
  <c r="I71" i="35"/>
  <c r="I75" i="35"/>
  <c r="I79" i="35"/>
  <c r="I83" i="35"/>
  <c r="I87" i="35"/>
  <c r="I91" i="35"/>
  <c r="I95" i="35"/>
  <c r="I99" i="35"/>
  <c r="I103" i="35"/>
  <c r="I107" i="35"/>
  <c r="I111" i="35"/>
  <c r="I115" i="35"/>
  <c r="I119" i="35"/>
  <c r="I123" i="35"/>
  <c r="I127" i="35"/>
  <c r="K18" i="8"/>
  <c r="P5" i="33" a="1"/>
  <c r="P5" i="33" s="1"/>
  <c r="D78" i="14"/>
  <c r="D38" i="14"/>
  <c r="C37" i="36"/>
  <c r="C68" i="8"/>
  <c r="C60" i="8"/>
  <c r="C52" i="8"/>
  <c r="D42" i="14"/>
  <c r="D34" i="14"/>
  <c r="C49" i="8"/>
  <c r="I323" i="35"/>
  <c r="I319" i="35"/>
  <c r="I315" i="35"/>
  <c r="I311" i="35"/>
  <c r="I307" i="35"/>
  <c r="I303" i="35"/>
  <c r="I299" i="35"/>
  <c r="I295" i="35"/>
  <c r="I291" i="35"/>
  <c r="I288" i="35"/>
  <c r="I284" i="35"/>
  <c r="I280" i="35"/>
  <c r="I277" i="35"/>
  <c r="I273" i="35"/>
  <c r="I269" i="35"/>
  <c r="I263" i="35"/>
  <c r="I259" i="35"/>
  <c r="I253" i="35"/>
  <c r="I247" i="35"/>
  <c r="I243" i="35"/>
  <c r="I239" i="35"/>
  <c r="I235" i="35"/>
  <c r="I232" i="35"/>
  <c r="I229" i="35"/>
  <c r="I227" i="35"/>
  <c r="I219" i="35"/>
  <c r="I214" i="35"/>
  <c r="I210" i="35"/>
  <c r="I206" i="35"/>
  <c r="I203" i="35"/>
  <c r="I200" i="35"/>
  <c r="I195" i="35"/>
  <c r="I191" i="35"/>
  <c r="I187" i="35"/>
  <c r="I183" i="35"/>
  <c r="I180" i="35"/>
  <c r="I177" i="35"/>
  <c r="I172" i="35"/>
  <c r="I168" i="35"/>
  <c r="I165" i="35"/>
  <c r="I162" i="35"/>
  <c r="I157" i="35"/>
  <c r="I153" i="35"/>
  <c r="I149" i="35"/>
  <c r="I145" i="35"/>
  <c r="I141" i="35"/>
  <c r="I137" i="35"/>
  <c r="I131" i="35"/>
  <c r="I356" i="35"/>
  <c r="I322" i="35"/>
  <c r="I318" i="35"/>
  <c r="I314" i="35"/>
  <c r="I310" i="35"/>
  <c r="I306" i="35"/>
  <c r="I302" i="35"/>
  <c r="I298" i="35"/>
  <c r="I294" i="35"/>
  <c r="I290" i="35"/>
  <c r="I287" i="35"/>
  <c r="I283" i="35"/>
  <c r="I279" i="35"/>
  <c r="I276" i="35"/>
  <c r="I272" i="35"/>
  <c r="I268" i="35"/>
  <c r="I265" i="35"/>
  <c r="I262" i="35"/>
  <c r="I258" i="35"/>
  <c r="I255" i="35"/>
  <c r="I252" i="35"/>
  <c r="I246" i="35"/>
  <c r="I242" i="35"/>
  <c r="I238" i="35"/>
  <c r="I234" i="35"/>
  <c r="I231" i="35"/>
  <c r="I226" i="35"/>
  <c r="I223" i="35"/>
  <c r="I217" i="35"/>
  <c r="I213" i="35"/>
  <c r="I209" i="35"/>
  <c r="I205" i="35"/>
  <c r="I202" i="35"/>
  <c r="I199" i="35"/>
  <c r="I194" i="35"/>
  <c r="I190" i="35"/>
  <c r="I186" i="35"/>
  <c r="I182" i="35"/>
  <c r="I179" i="35"/>
  <c r="I176" i="35"/>
  <c r="I171" i="35"/>
  <c r="I167" i="35"/>
  <c r="I164" i="35"/>
  <c r="I161" i="35"/>
  <c r="I156" i="35"/>
  <c r="I152" i="35"/>
  <c r="I148" i="35"/>
  <c r="I144" i="35"/>
  <c r="I140" i="35"/>
  <c r="I136" i="35"/>
  <c r="I134" i="35"/>
  <c r="I325" i="35"/>
  <c r="I321" i="35"/>
  <c r="I317" i="35"/>
  <c r="I313" i="35"/>
  <c r="I309" i="35"/>
  <c r="I305" i="35"/>
  <c r="I301" i="35"/>
  <c r="I297" i="35"/>
  <c r="I293" i="35"/>
  <c r="I286" i="35"/>
  <c r="I282" i="35"/>
  <c r="I271" i="35"/>
  <c r="I267" i="35"/>
  <c r="I264" i="35"/>
  <c r="I261" i="35"/>
  <c r="I257" i="35"/>
  <c r="I254" i="35"/>
  <c r="I250" i="35"/>
  <c r="I245" i="35"/>
  <c r="I241" i="35"/>
  <c r="I237" i="35"/>
  <c r="I222" i="35"/>
  <c r="I216" i="35"/>
  <c r="I212" i="35"/>
  <c r="I208" i="35"/>
  <c r="I201" i="35"/>
  <c r="I198" i="35"/>
  <c r="I193" i="35"/>
  <c r="I189" i="35"/>
  <c r="I185" i="35"/>
  <c r="I181" i="35"/>
  <c r="I178" i="35"/>
  <c r="I175" i="35"/>
  <c r="I170" i="35"/>
  <c r="I166" i="35"/>
  <c r="I160" i="35"/>
  <c r="I155" i="35"/>
  <c r="I151" i="35"/>
  <c r="I147" i="35"/>
  <c r="I143" i="35"/>
  <c r="I139" i="35"/>
  <c r="I133" i="35"/>
  <c r="I324" i="35"/>
  <c r="I320" i="35"/>
  <c r="I316" i="35"/>
  <c r="I312" i="35"/>
  <c r="I308" i="35"/>
  <c r="I304" i="35"/>
  <c r="I300" i="35"/>
  <c r="I296" i="35"/>
  <c r="I292" i="35"/>
  <c r="I289" i="35"/>
  <c r="I285" i="35"/>
  <c r="I281" i="35"/>
  <c r="I278" i="35"/>
  <c r="I275" i="35"/>
  <c r="I270" i="35"/>
  <c r="I266" i="35"/>
  <c r="I260" i="35"/>
  <c r="I256" i="35"/>
  <c r="I249" i="35"/>
  <c r="I244" i="35"/>
  <c r="I240" i="35"/>
  <c r="I236" i="35"/>
  <c r="I233" i="35"/>
  <c r="I230" i="35"/>
  <c r="I228" i="35"/>
  <c r="I225" i="35"/>
  <c r="I220" i="35"/>
  <c r="I215" i="35"/>
  <c r="I211" i="35"/>
  <c r="I207" i="35"/>
  <c r="I204" i="35"/>
  <c r="I197" i="35"/>
  <c r="I192" i="35"/>
  <c r="I188" i="35"/>
  <c r="I184" i="35"/>
  <c r="I174" i="35"/>
  <c r="I169" i="35"/>
  <c r="I163" i="35"/>
  <c r="I158" i="35"/>
  <c r="I154" i="35"/>
  <c r="I150" i="35"/>
  <c r="I146" i="35"/>
  <c r="I142" i="35"/>
  <c r="I138" i="35"/>
  <c r="I135" i="35"/>
  <c r="I132" i="35"/>
  <c r="G2" i="37"/>
  <c r="G3" i="37"/>
  <c r="G4" i="37"/>
  <c r="G5" i="37"/>
  <c r="G6" i="37"/>
  <c r="G7" i="37"/>
  <c r="G8" i="37"/>
  <c r="G9" i="37"/>
  <c r="G10" i="37"/>
  <c r="G11" i="37"/>
  <c r="G12" i="37"/>
  <c r="G13" i="37"/>
  <c r="G14" i="37"/>
  <c r="G15" i="37"/>
  <c r="G16" i="37"/>
  <c r="G17" i="37"/>
  <c r="G18" i="37"/>
  <c r="G19" i="37"/>
  <c r="D56" i="8"/>
  <c r="D46" i="14"/>
  <c r="D49" i="14"/>
  <c r="D48" i="14"/>
  <c r="C63" i="8"/>
  <c r="C23" i="8"/>
  <c r="C43" i="8"/>
  <c r="D37" i="14"/>
  <c r="C64" i="8"/>
  <c r="D52" i="8"/>
  <c r="D44" i="8"/>
  <c r="D36" i="8"/>
  <c r="C32" i="8"/>
  <c r="C41" i="36"/>
  <c r="C32" i="36"/>
  <c r="C24" i="36"/>
  <c r="D76" i="2"/>
  <c r="D68" i="2"/>
  <c r="D48" i="2"/>
  <c r="D40" i="2"/>
  <c r="C36" i="2"/>
  <c r="C28" i="2"/>
  <c r="K19" i="8"/>
  <c r="D68" i="8"/>
  <c r="D76" i="14"/>
  <c r="D72" i="14"/>
  <c r="D64" i="14"/>
  <c r="D51" i="14"/>
  <c r="D21" i="14"/>
  <c r="D63" i="14"/>
  <c r="D29" i="14"/>
  <c r="D45" i="14"/>
  <c r="C65" i="8"/>
  <c r="D41" i="14"/>
  <c r="D75" i="14"/>
  <c r="D67" i="14"/>
  <c r="D58" i="14"/>
  <c r="D50" i="14"/>
  <c r="I355" i="35"/>
  <c r="I354" i="35"/>
  <c r="I353" i="35"/>
  <c r="I352" i="35"/>
  <c r="I351" i="35"/>
  <c r="I350" i="35"/>
  <c r="I349" i="35"/>
  <c r="I348" i="35"/>
  <c r="I347" i="35"/>
  <c r="I346" i="35"/>
  <c r="I345" i="35"/>
  <c r="I344" i="35"/>
  <c r="I343" i="35"/>
  <c r="I341" i="35"/>
  <c r="I340" i="35"/>
  <c r="I339" i="35"/>
  <c r="I338" i="35"/>
  <c r="I337" i="35"/>
  <c r="I336" i="35"/>
  <c r="I335" i="35"/>
  <c r="I334" i="35"/>
  <c r="I333" i="35"/>
  <c r="I332" i="35"/>
  <c r="I331" i="35"/>
  <c r="I330" i="35"/>
  <c r="I329" i="35"/>
  <c r="I328" i="35"/>
  <c r="I327" i="35"/>
  <c r="I326" i="35"/>
  <c r="G20" i="37"/>
  <c r="B17" i="32"/>
  <c r="Z37" i="32"/>
  <c r="B106" i="32"/>
  <c r="B96" i="32"/>
  <c r="B86" i="32"/>
  <c r="B116" i="32"/>
  <c r="B79" i="32"/>
  <c r="B109" i="32"/>
  <c r="B99" i="32"/>
  <c r="B89" i="32"/>
  <c r="B114" i="32"/>
  <c r="B104" i="32"/>
  <c r="B94" i="32"/>
  <c r="B84" i="32"/>
  <c r="B78" i="32"/>
  <c r="B98" i="32"/>
  <c r="B88" i="32"/>
  <c r="B81" i="32"/>
  <c r="B111" i="32"/>
  <c r="B101" i="32"/>
  <c r="B91" i="32"/>
  <c r="J7" i="32"/>
  <c r="G18" i="35"/>
  <c r="G87" i="35"/>
  <c r="G146" i="35"/>
  <c r="G228" i="35"/>
  <c r="G289" i="35"/>
  <c r="G27" i="35"/>
  <c r="G92" i="35"/>
  <c r="G166" i="35"/>
  <c r="G241" i="35"/>
  <c r="H11" i="37"/>
  <c r="G52" i="35"/>
  <c r="G125" i="35"/>
  <c r="G182" i="35"/>
  <c r="G252" i="35"/>
  <c r="G306" i="35"/>
  <c r="G49" i="35"/>
  <c r="G110" i="35"/>
  <c r="G180" i="35"/>
  <c r="G239" i="35"/>
  <c r="G309" i="35"/>
  <c r="G349" i="35"/>
  <c r="G353" i="35"/>
  <c r="G335" i="35"/>
  <c r="G356" i="35"/>
  <c r="B74" i="32"/>
  <c r="Y6" i="33"/>
  <c r="Y5" i="33"/>
  <c r="B108" i="32"/>
  <c r="D66" i="8"/>
  <c r="D27" i="14"/>
  <c r="D33" i="14"/>
  <c r="D56" i="14"/>
  <c r="D52" i="14"/>
  <c r="D64" i="8"/>
  <c r="D57" i="14"/>
  <c r="C59" i="8"/>
  <c r="D25" i="14"/>
  <c r="D53" i="14"/>
  <c r="D65" i="8"/>
  <c r="D22" i="14"/>
  <c r="D62" i="8"/>
  <c r="D31" i="14"/>
  <c r="D43" i="14"/>
  <c r="D54" i="14"/>
  <c r="D47" i="14"/>
  <c r="D62" i="14"/>
  <c r="D85" i="14"/>
  <c r="D86" i="14"/>
  <c r="B14" i="37"/>
  <c r="H111" i="35"/>
  <c r="H195" i="35"/>
  <c r="H140" i="35"/>
  <c r="H285" i="35"/>
  <c r="H349" i="35"/>
  <c r="H157" i="35"/>
  <c r="H254" i="35"/>
  <c r="H128" i="35"/>
  <c r="H238" i="35"/>
  <c r="H290" i="35"/>
  <c r="D35" i="14"/>
  <c r="D70" i="14"/>
  <c r="D61" i="14"/>
  <c r="D65" i="14"/>
  <c r="D83" i="14"/>
  <c r="D30" i="14"/>
  <c r="D68" i="14"/>
  <c r="F146" i="2"/>
  <c r="B43" i="32"/>
  <c r="D79" i="14"/>
  <c r="D71" i="14"/>
  <c r="D66" i="14"/>
  <c r="D60" i="14"/>
  <c r="D81" i="14"/>
  <c r="D69" i="14"/>
  <c r="D82" i="14"/>
  <c r="D80" i="14"/>
  <c r="D74" i="14"/>
  <c r="D73" i="14"/>
  <c r="D59" i="14"/>
  <c r="D84" i="14"/>
  <c r="G358" i="35"/>
  <c r="AB45" i="32"/>
  <c r="G94" i="14" s="1"/>
  <c r="C14" i="14"/>
  <c r="G386" i="38"/>
  <c r="G402" i="38"/>
  <c r="G387" i="38"/>
  <c r="G403" i="38"/>
  <c r="G384" i="38"/>
  <c r="G400" i="38"/>
  <c r="G381" i="38"/>
  <c r="G397" i="38"/>
  <c r="H378" i="38"/>
  <c r="H394" i="38"/>
  <c r="H379" i="38"/>
  <c r="H395" i="38"/>
  <c r="H376" i="38"/>
  <c r="H392" i="38"/>
  <c r="H408" i="38"/>
  <c r="H389" i="38"/>
  <c r="H405" i="38"/>
  <c r="I386" i="38"/>
  <c r="I402" i="38"/>
  <c r="I387" i="38"/>
  <c r="I403" i="38"/>
  <c r="I384" i="38"/>
  <c r="I400" i="38"/>
  <c r="I381" i="38"/>
  <c r="I397" i="38"/>
  <c r="I388" i="38"/>
  <c r="I385" i="38"/>
  <c r="I398" i="38"/>
  <c r="I380" i="38"/>
  <c r="I393" i="38"/>
  <c r="G390" i="38"/>
  <c r="G406" i="38"/>
  <c r="G391" i="38"/>
  <c r="G407" i="38"/>
  <c r="G388" i="38"/>
  <c r="G404" i="38"/>
  <c r="G385" i="38"/>
  <c r="G401" i="38"/>
  <c r="H382" i="38"/>
  <c r="H398" i="38"/>
  <c r="H383" i="38"/>
  <c r="H399" i="38"/>
  <c r="H380" i="38"/>
  <c r="H396" i="38"/>
  <c r="H377" i="38"/>
  <c r="H393" i="38"/>
  <c r="H409" i="38"/>
  <c r="I390" i="38"/>
  <c r="I406" i="38"/>
  <c r="I391" i="38"/>
  <c r="I407" i="38"/>
  <c r="I404" i="38"/>
  <c r="I401" i="38"/>
  <c r="I399" i="38"/>
  <c r="I377" i="38"/>
  <c r="G378" i="38"/>
  <c r="G394" i="38"/>
  <c r="G379" i="38"/>
  <c r="G395" i="38"/>
  <c r="G376" i="38"/>
  <c r="G392" i="38"/>
  <c r="G408" i="38"/>
  <c r="G389" i="38"/>
  <c r="G405" i="38"/>
  <c r="H386" i="38"/>
  <c r="H402" i="38"/>
  <c r="H387" i="38"/>
  <c r="H403" i="38"/>
  <c r="H384" i="38"/>
  <c r="H400" i="38"/>
  <c r="H381" i="38"/>
  <c r="H397" i="38"/>
  <c r="I378" i="38"/>
  <c r="I394" i="38"/>
  <c r="I379" i="38"/>
  <c r="I395" i="38"/>
  <c r="I376" i="38"/>
  <c r="I392" i="38"/>
  <c r="I408" i="38"/>
  <c r="I389" i="38"/>
  <c r="I405" i="38"/>
  <c r="H401" i="38"/>
  <c r="I382" i="38"/>
  <c r="I383" i="38"/>
  <c r="I396" i="38"/>
  <c r="I409" i="38"/>
  <c r="G382" i="38"/>
  <c r="G398" i="38"/>
  <c r="G383" i="38"/>
  <c r="G399" i="38"/>
  <c r="G380" i="38"/>
  <c r="G396" i="38"/>
  <c r="G377" i="38"/>
  <c r="G393" i="38"/>
  <c r="G409" i="38"/>
  <c r="H390" i="38"/>
  <c r="H406" i="38"/>
  <c r="H391" i="38"/>
  <c r="H407" i="38"/>
  <c r="H388" i="38"/>
  <c r="H404" i="38"/>
  <c r="H385" i="38"/>
  <c r="G345" i="35" l="1"/>
  <c r="G340" i="35"/>
  <c r="G307" i="35"/>
  <c r="G177" i="35"/>
  <c r="G45" i="35"/>
  <c r="G246" i="35"/>
  <c r="G121" i="35"/>
  <c r="H7" i="37"/>
  <c r="G160" i="35"/>
  <c r="G23" i="35"/>
  <c r="G225" i="35"/>
  <c r="G83" i="35"/>
  <c r="G363" i="35"/>
  <c r="G339" i="35"/>
  <c r="G310" i="35"/>
  <c r="G243" i="35"/>
  <c r="G114" i="35"/>
  <c r="H4" i="37"/>
  <c r="G186" i="35"/>
  <c r="G56" i="35"/>
  <c r="G245" i="35"/>
  <c r="G96" i="35"/>
  <c r="G292" i="35"/>
  <c r="G150" i="35"/>
  <c r="G22" i="35"/>
  <c r="L21" i="1"/>
  <c r="L86" i="1" s="1"/>
  <c r="M28" i="1"/>
  <c r="Z29" i="32"/>
  <c r="AB29" i="32" s="1"/>
  <c r="D11" i="10" s="1"/>
  <c r="G360" i="35"/>
  <c r="D62" i="31"/>
  <c r="G355" i="35"/>
  <c r="G323" i="35"/>
  <c r="G343" i="35"/>
  <c r="G341" i="35"/>
  <c r="G280" i="35"/>
  <c r="G210" i="35"/>
  <c r="G149" i="35"/>
  <c r="G82" i="35"/>
  <c r="G17" i="35"/>
  <c r="G279" i="35"/>
  <c r="G217" i="35"/>
  <c r="G156" i="35"/>
  <c r="G93" i="35"/>
  <c r="G24" i="35"/>
  <c r="G282" i="35"/>
  <c r="G198" i="35"/>
  <c r="G128" i="35"/>
  <c r="G59" i="35"/>
  <c r="H14" i="37"/>
  <c r="G260" i="35"/>
  <c r="G192" i="35"/>
  <c r="G119" i="35"/>
  <c r="G54" i="35"/>
  <c r="H9" i="37"/>
  <c r="G361" i="35"/>
  <c r="E57" i="31"/>
  <c r="G352" i="35"/>
  <c r="G319" i="35"/>
  <c r="G338" i="35"/>
  <c r="G337" i="35"/>
  <c r="G277" i="35"/>
  <c r="G206" i="35"/>
  <c r="G145" i="35"/>
  <c r="G78" i="35"/>
  <c r="G13" i="35"/>
  <c r="G276" i="35"/>
  <c r="G213" i="35"/>
  <c r="G152" i="35"/>
  <c r="G89" i="35"/>
  <c r="G20" i="35"/>
  <c r="G271" i="35"/>
  <c r="G193" i="35"/>
  <c r="G124" i="35"/>
  <c r="G55" i="35"/>
  <c r="H10" i="37"/>
  <c r="G256" i="35"/>
  <c r="G188" i="35"/>
  <c r="G115" i="35"/>
  <c r="G50" i="35"/>
  <c r="D67" i="35"/>
  <c r="L5" i="2"/>
  <c r="F60" i="31"/>
  <c r="F59" i="31"/>
  <c r="E59" i="31"/>
  <c r="D59" i="31"/>
  <c r="C59" i="31"/>
  <c r="F58" i="31"/>
  <c r="E58" i="31"/>
  <c r="D58" i="31"/>
  <c r="C58" i="31"/>
  <c r="F61" i="31"/>
  <c r="E61" i="31"/>
  <c r="D61" i="31"/>
  <c r="C61" i="31"/>
  <c r="E60" i="31"/>
  <c r="D60" i="31"/>
  <c r="C60" i="31"/>
  <c r="G6" i="35"/>
  <c r="G67" i="35"/>
  <c r="H421" i="34"/>
  <c r="G421" i="34"/>
  <c r="G441" i="34"/>
  <c r="H441" i="34"/>
  <c r="C418" i="38"/>
  <c r="C422" i="38"/>
  <c r="C426" i="38"/>
  <c r="C430" i="38"/>
  <c r="C434" i="38"/>
  <c r="C438" i="38"/>
  <c r="F5" i="37"/>
  <c r="F9" i="37"/>
  <c r="F13" i="37"/>
  <c r="F17" i="37"/>
  <c r="F21" i="37"/>
  <c r="F25" i="37"/>
  <c r="F29" i="37"/>
  <c r="F33" i="37"/>
  <c r="C419" i="38"/>
  <c r="C423" i="38"/>
  <c r="C427" i="38"/>
  <c r="C431" i="38"/>
  <c r="C435" i="38"/>
  <c r="C439" i="38"/>
  <c r="F2" i="37"/>
  <c r="F6" i="37"/>
  <c r="F10" i="37"/>
  <c r="F14" i="37"/>
  <c r="F18" i="37"/>
  <c r="F22" i="37"/>
  <c r="F26" i="37"/>
  <c r="F30" i="37"/>
  <c r="F34" i="37"/>
  <c r="C420" i="38"/>
  <c r="C424" i="38"/>
  <c r="C428" i="38"/>
  <c r="C432" i="38"/>
  <c r="C436" i="38"/>
  <c r="C440" i="38"/>
  <c r="F3" i="37"/>
  <c r="F7" i="37"/>
  <c r="F11" i="37"/>
  <c r="F15" i="37"/>
  <c r="F19" i="37"/>
  <c r="F23" i="37"/>
  <c r="F27" i="37"/>
  <c r="F31" i="37"/>
  <c r="F35" i="37"/>
  <c r="F16" i="37"/>
  <c r="F24" i="37"/>
  <c r="F32" i="37"/>
  <c r="C417" i="38"/>
  <c r="C421" i="38"/>
  <c r="C425" i="38"/>
  <c r="C429" i="38"/>
  <c r="C433" i="38"/>
  <c r="C437" i="38"/>
  <c r="C441" i="38"/>
  <c r="F4" i="37"/>
  <c r="F8" i="37"/>
  <c r="F12" i="37"/>
  <c r="F20" i="37"/>
  <c r="F28" i="37"/>
  <c r="G43" i="36"/>
  <c r="G90" i="8"/>
  <c r="H56" i="10"/>
  <c r="Z31" i="32"/>
  <c r="F167" i="1"/>
  <c r="G146" i="2"/>
  <c r="M123" i="1"/>
  <c r="J437" i="34"/>
  <c r="D14" i="10"/>
  <c r="I421" i="34"/>
  <c r="J421" i="34"/>
  <c r="G453" i="34"/>
  <c r="J453" i="34"/>
  <c r="P5" i="10"/>
  <c r="J5" i="14"/>
  <c r="AB33" i="32"/>
  <c r="C14" i="36"/>
  <c r="C14" i="8"/>
  <c r="I425" i="34"/>
  <c r="G364" i="35"/>
  <c r="G362" i="35"/>
  <c r="C57" i="31"/>
  <c r="G324" i="35"/>
  <c r="G348" i="35"/>
  <c r="G331" i="35"/>
  <c r="G315" i="35"/>
  <c r="G332" i="35"/>
  <c r="G326" i="35"/>
  <c r="G312" i="35"/>
  <c r="G325" i="35"/>
  <c r="G295" i="35"/>
  <c r="G263" i="35"/>
  <c r="G229" i="35"/>
  <c r="G195" i="35"/>
  <c r="G165" i="35"/>
  <c r="G131" i="35"/>
  <c r="G98" i="35"/>
  <c r="G65" i="35"/>
  <c r="G33" i="35"/>
  <c r="H20" i="37"/>
  <c r="G294" i="35"/>
  <c r="G265" i="35"/>
  <c r="G234" i="35"/>
  <c r="G202" i="35"/>
  <c r="G171" i="35"/>
  <c r="G140" i="35"/>
  <c r="G109" i="35"/>
  <c r="G77" i="35"/>
  <c r="G40" i="35"/>
  <c r="G8" i="35"/>
  <c r="G301" i="35"/>
  <c r="G261" i="35"/>
  <c r="G216" i="35"/>
  <c r="G181" i="35"/>
  <c r="G147" i="35"/>
  <c r="G112" i="35"/>
  <c r="G80" i="35"/>
  <c r="G43" i="35"/>
  <c r="G11" i="35"/>
  <c r="G308" i="35"/>
  <c r="G278" i="35"/>
  <c r="G240" i="35"/>
  <c r="G211" i="35"/>
  <c r="G169" i="35"/>
  <c r="G135" i="35"/>
  <c r="G103" i="35"/>
  <c r="G71" i="35"/>
  <c r="G38" i="35"/>
  <c r="G425" i="34"/>
  <c r="J425" i="34"/>
  <c r="H425" i="34"/>
  <c r="H13" i="37"/>
  <c r="G10" i="35"/>
  <c r="G26" i="35"/>
  <c r="G42" i="35"/>
  <c r="G58" i="35"/>
  <c r="G75" i="35"/>
  <c r="G91" i="35"/>
  <c r="G107" i="35"/>
  <c r="G123" i="35"/>
  <c r="G138" i="35"/>
  <c r="G154" i="35"/>
  <c r="G174" i="35"/>
  <c r="G197" i="35"/>
  <c r="G215" i="35"/>
  <c r="G230" i="35"/>
  <c r="G244" i="35"/>
  <c r="G266" i="35"/>
  <c r="G281" i="35"/>
  <c r="G296" i="35"/>
  <c r="H2" i="37"/>
  <c r="H18" i="37"/>
  <c r="G15" i="35"/>
  <c r="G31" i="35"/>
  <c r="G47" i="35"/>
  <c r="G63" i="35"/>
  <c r="G84" i="35"/>
  <c r="G100" i="35"/>
  <c r="G116" i="35"/>
  <c r="G133" i="35"/>
  <c r="G151" i="35"/>
  <c r="G170" i="35"/>
  <c r="G185" i="35"/>
  <c r="G201" i="35"/>
  <c r="G222" i="35"/>
  <c r="G250" i="35"/>
  <c r="G264" i="35"/>
  <c r="G286" i="35"/>
  <c r="G305" i="35"/>
  <c r="H15" i="37"/>
  <c r="G12" i="35"/>
  <c r="G28" i="35"/>
  <c r="G44" i="35"/>
  <c r="G60" i="35"/>
  <c r="G81" i="35"/>
  <c r="G97" i="35"/>
  <c r="G113" i="35"/>
  <c r="G129" i="35"/>
  <c r="G144" i="35"/>
  <c r="G161" i="35"/>
  <c r="G176" i="35"/>
  <c r="G190" i="35"/>
  <c r="G205" i="35"/>
  <c r="G223" i="35"/>
  <c r="G238" i="35"/>
  <c r="G255" i="35"/>
  <c r="G268" i="35"/>
  <c r="G283" i="35"/>
  <c r="G298" i="35"/>
  <c r="H8" i="37"/>
  <c r="G5" i="35"/>
  <c r="G21" i="35"/>
  <c r="G37" i="35"/>
  <c r="G53" i="35"/>
  <c r="G70" i="35"/>
  <c r="G86" i="35"/>
  <c r="G102" i="35"/>
  <c r="G118" i="35"/>
  <c r="G137" i="35"/>
  <c r="G153" i="35"/>
  <c r="G168" i="35"/>
  <c r="G183" i="35"/>
  <c r="G200" i="35"/>
  <c r="G214" i="35"/>
  <c r="G232" i="35"/>
  <c r="G247" i="35"/>
  <c r="G269" i="35"/>
  <c r="G284" i="35"/>
  <c r="G299" i="35"/>
  <c r="G313" i="35"/>
  <c r="G329" i="35"/>
  <c r="G346" i="35"/>
  <c r="G328" i="35"/>
  <c r="G314" i="35"/>
  <c r="G330" i="35"/>
  <c r="G347" i="35"/>
  <c r="H17" i="37"/>
  <c r="G14" i="35"/>
  <c r="G30" i="35"/>
  <c r="G46" i="35"/>
  <c r="G62" i="35"/>
  <c r="G79" i="35"/>
  <c r="G95" i="35"/>
  <c r="G111" i="35"/>
  <c r="G127" i="35"/>
  <c r="G142" i="35"/>
  <c r="G158" i="35"/>
  <c r="G184" i="35"/>
  <c r="G204" i="35"/>
  <c r="G220" i="35"/>
  <c r="G233" i="35"/>
  <c r="G249" i="35"/>
  <c r="G270" i="35"/>
  <c r="G285" i="35"/>
  <c r="G300" i="35"/>
  <c r="H6" i="37"/>
  <c r="G3" i="35"/>
  <c r="G19" i="35"/>
  <c r="G35" i="35"/>
  <c r="G51" i="35"/>
  <c r="G72" i="35"/>
  <c r="G88" i="35"/>
  <c r="G104" i="35"/>
  <c r="G120" i="35"/>
  <c r="G139" i="35"/>
  <c r="G155" i="35"/>
  <c r="G175" i="35"/>
  <c r="G189" i="35"/>
  <c r="G208" i="35"/>
  <c r="G237" i="35"/>
  <c r="G254" i="35"/>
  <c r="G267" i="35"/>
  <c r="G293" i="35"/>
  <c r="H3" i="37"/>
  <c r="H19" i="37"/>
  <c r="G16" i="35"/>
  <c r="G32" i="35"/>
  <c r="G48" i="35"/>
  <c r="G64" i="35"/>
  <c r="G85" i="35"/>
  <c r="G101" i="35"/>
  <c r="G117" i="35"/>
  <c r="G134" i="35"/>
  <c r="G148" i="35"/>
  <c r="G164" i="35"/>
  <c r="G179" i="35"/>
  <c r="G194" i="35"/>
  <c r="G209" i="35"/>
  <c r="G226" i="35"/>
  <c r="G242" i="35"/>
  <c r="G258" i="35"/>
  <c r="G272" i="35"/>
  <c r="G287" i="35"/>
  <c r="G302" i="35"/>
  <c r="H12" i="37"/>
  <c r="G9" i="35"/>
  <c r="G25" i="35"/>
  <c r="G41" i="35"/>
  <c r="G57" i="35"/>
  <c r="G74" i="35"/>
  <c r="G90" i="35"/>
  <c r="G106" i="35"/>
  <c r="G122" i="35"/>
  <c r="G141" i="35"/>
  <c r="G157" i="35"/>
  <c r="G172" i="35"/>
  <c r="G187" i="35"/>
  <c r="G203" i="35"/>
  <c r="G219" i="35"/>
  <c r="G235" i="35"/>
  <c r="G253" i="35"/>
  <c r="G273" i="35"/>
  <c r="G288" i="35"/>
  <c r="G303" i="35"/>
  <c r="G317" i="35"/>
  <c r="G333" i="35"/>
  <c r="G350" i="35"/>
  <c r="G336" i="35"/>
  <c r="G318" i="35"/>
  <c r="G334" i="35"/>
  <c r="G351" i="35"/>
  <c r="G357" i="35"/>
  <c r="E62" i="31"/>
  <c r="G316" i="35"/>
  <c r="G344" i="35"/>
  <c r="G327" i="35"/>
  <c r="G311" i="35"/>
  <c r="G320" i="35"/>
  <c r="G322" i="35"/>
  <c r="G354" i="35"/>
  <c r="G321" i="35"/>
  <c r="G291" i="35"/>
  <c r="G259" i="35"/>
  <c r="G227" i="35"/>
  <c r="G191" i="35"/>
  <c r="G162" i="35"/>
  <c r="G126" i="35"/>
  <c r="G94" i="35"/>
  <c r="G61" i="35"/>
  <c r="G29" i="35"/>
  <c r="H16" i="37"/>
  <c r="G290" i="35"/>
  <c r="G262" i="35"/>
  <c r="G231" i="35"/>
  <c r="G199" i="35"/>
  <c r="G167" i="35"/>
  <c r="G136" i="35"/>
  <c r="G105" i="35"/>
  <c r="G73" i="35"/>
  <c r="G36" i="35"/>
  <c r="G4" i="35"/>
  <c r="G297" i="35"/>
  <c r="G257" i="35"/>
  <c r="G212" i="35"/>
  <c r="G178" i="35"/>
  <c r="G143" i="35"/>
  <c r="G108" i="35"/>
  <c r="G76" i="35"/>
  <c r="G39" i="35"/>
  <c r="G7" i="35"/>
  <c r="G304" i="35"/>
  <c r="G275" i="35"/>
  <c r="G236" i="35"/>
  <c r="G207" i="35"/>
  <c r="G163" i="35"/>
  <c r="G132" i="35"/>
  <c r="G99" i="35"/>
  <c r="G68" i="35"/>
  <c r="G34" i="35"/>
  <c r="G2" i="35"/>
  <c r="H437" i="34"/>
  <c r="G437" i="34"/>
  <c r="G398" i="35"/>
  <c r="G402" i="35"/>
  <c r="G406" i="35"/>
  <c r="G382" i="35"/>
  <c r="G386" i="35"/>
  <c r="G390" i="35"/>
  <c r="G394" i="35"/>
  <c r="G399" i="35"/>
  <c r="G403" i="35"/>
  <c r="G407" i="35"/>
  <c r="G383" i="35"/>
  <c r="G387" i="35"/>
  <c r="G391" i="35"/>
  <c r="G395" i="35"/>
  <c r="G400" i="35"/>
  <c r="G404" i="35"/>
  <c r="G408" i="35"/>
  <c r="G384" i="35"/>
  <c r="G388" i="35"/>
  <c r="G392" i="35"/>
  <c r="G396" i="35"/>
  <c r="G401" i="35"/>
  <c r="G405" i="35"/>
  <c r="G385" i="35"/>
  <c r="G389" i="35"/>
  <c r="G393" i="35"/>
  <c r="G397" i="35"/>
  <c r="AB31" i="32"/>
  <c r="D12" i="10" s="1"/>
  <c r="H358" i="35"/>
  <c r="H214" i="35"/>
  <c r="H350" i="35"/>
  <c r="H126" i="35"/>
  <c r="H262" i="35"/>
  <c r="H344" i="35"/>
  <c r="H249" i="35"/>
  <c r="H306" i="35"/>
  <c r="H148" i="35"/>
  <c r="H282" i="35"/>
  <c r="P8" i="33" a="1"/>
  <c r="P8" i="33" s="1"/>
  <c r="H171" i="35"/>
  <c r="H239" i="35"/>
  <c r="H142" i="35"/>
  <c r="B15" i="37"/>
  <c r="O8" i="33" a="1"/>
  <c r="O8" i="33" s="1"/>
  <c r="H338" i="35"/>
  <c r="H276" i="35"/>
  <c r="H189" i="35"/>
  <c r="H106" i="35"/>
  <c r="H329" i="35"/>
  <c r="H213" i="35"/>
  <c r="H100" i="35"/>
  <c r="H328" i="35"/>
  <c r="H231" i="35"/>
  <c r="H109" i="35"/>
  <c r="H311" i="35"/>
  <c r="H155" i="35"/>
  <c r="H220" i="35"/>
  <c r="H79" i="35"/>
  <c r="B5" i="37"/>
  <c r="H322" i="35"/>
  <c r="H259" i="35"/>
  <c r="H168" i="35"/>
  <c r="H85" i="35"/>
  <c r="H305" i="35"/>
  <c r="H187" i="35"/>
  <c r="H73" i="35"/>
  <c r="H304" i="35"/>
  <c r="H198" i="35"/>
  <c r="H82" i="35"/>
  <c r="H280" i="35"/>
  <c r="H108" i="35"/>
  <c r="H184" i="35"/>
  <c r="B10" i="37"/>
  <c r="B401" i="35"/>
  <c r="H407" i="35"/>
  <c r="B387" i="35"/>
  <c r="B395" i="35"/>
  <c r="H385" i="35"/>
  <c r="H393" i="35"/>
  <c r="C5" i="38"/>
  <c r="C9" i="38"/>
  <c r="C13" i="38"/>
  <c r="C17" i="38"/>
  <c r="C21" i="38"/>
  <c r="C25" i="38"/>
  <c r="C29" i="38"/>
  <c r="C33" i="38"/>
  <c r="C37" i="38"/>
  <c r="C41" i="38"/>
  <c r="C45" i="38"/>
  <c r="C49" i="38"/>
  <c r="C201" i="38"/>
  <c r="C207" i="38"/>
  <c r="C212" i="38"/>
  <c r="C217" i="38"/>
  <c r="C223" i="38"/>
  <c r="C228" i="38"/>
  <c r="C233" i="38"/>
  <c r="C239" i="38"/>
  <c r="C244" i="38"/>
  <c r="C249" i="38"/>
  <c r="C255" i="38"/>
  <c r="C260" i="38"/>
  <c r="C265" i="38"/>
  <c r="C271" i="38"/>
  <c r="C276" i="38"/>
  <c r="B407" i="35"/>
  <c r="H405" i="35"/>
  <c r="B385" i="35"/>
  <c r="B393" i="35"/>
  <c r="H383" i="35"/>
  <c r="H391" i="35"/>
  <c r="H399" i="35"/>
  <c r="C415" i="38"/>
  <c r="C4" i="38"/>
  <c r="C8" i="38"/>
  <c r="C12" i="38"/>
  <c r="C16" i="38"/>
  <c r="C20" i="38"/>
  <c r="C24" i="38"/>
  <c r="C28" i="38"/>
  <c r="C32" i="38"/>
  <c r="C36" i="38"/>
  <c r="C40" i="38"/>
  <c r="C44" i="38"/>
  <c r="C48" i="38"/>
  <c r="C205" i="38"/>
  <c r="C211" i="38"/>
  <c r="C216" i="38"/>
  <c r="C221" i="38"/>
  <c r="C227" i="38"/>
  <c r="C232" i="38"/>
  <c r="C237" i="38"/>
  <c r="C243" i="38"/>
  <c r="C248" i="38"/>
  <c r="C253" i="38"/>
  <c r="C259" i="38"/>
  <c r="C264" i="38"/>
  <c r="C269" i="38"/>
  <c r="C275" i="38"/>
  <c r="C279" i="38"/>
  <c r="C283" i="38"/>
  <c r="C289" i="38"/>
  <c r="C294" i="38"/>
  <c r="C298" i="38"/>
  <c r="C302" i="38"/>
  <c r="C306" i="38"/>
  <c r="C310" i="38"/>
  <c r="B405" i="35"/>
  <c r="B397" i="35"/>
  <c r="H395" i="35"/>
  <c r="C7" i="38"/>
  <c r="C15" i="38"/>
  <c r="C23" i="38"/>
  <c r="C31" i="38"/>
  <c r="C39" i="38"/>
  <c r="C47" i="38"/>
  <c r="C209" i="38"/>
  <c r="C220" i="38"/>
  <c r="C231" i="38"/>
  <c r="C241" i="38"/>
  <c r="C252" i="38"/>
  <c r="C263" i="38"/>
  <c r="C273" i="38"/>
  <c r="C281" i="38"/>
  <c r="C287" i="38"/>
  <c r="C295" i="38"/>
  <c r="C300" i="38"/>
  <c r="C305" i="38"/>
  <c r="C311" i="38"/>
  <c r="C315" i="38"/>
  <c r="C319" i="38"/>
  <c r="C323" i="38"/>
  <c r="C327" i="38"/>
  <c r="C331" i="38"/>
  <c r="C335" i="38"/>
  <c r="C339" i="38"/>
  <c r="C343" i="38"/>
  <c r="C347" i="38"/>
  <c r="C351" i="38"/>
  <c r="C355" i="38"/>
  <c r="C359" i="38"/>
  <c r="C363" i="38"/>
  <c r="C367" i="38"/>
  <c r="C371" i="38"/>
  <c r="C375" i="38"/>
  <c r="C379" i="38"/>
  <c r="C383" i="38"/>
  <c r="C387" i="38"/>
  <c r="C391" i="38"/>
  <c r="C395" i="38"/>
  <c r="C399" i="38"/>
  <c r="C403" i="38"/>
  <c r="C407" i="38"/>
  <c r="B34" i="37"/>
  <c r="B25" i="37"/>
  <c r="B29" i="37"/>
  <c r="B383" i="35"/>
  <c r="B399" i="35"/>
  <c r="H397" i="35"/>
  <c r="C411" i="38"/>
  <c r="C2" i="38"/>
  <c r="C10" i="38"/>
  <c r="C18" i="38"/>
  <c r="C26" i="38"/>
  <c r="C34" i="38"/>
  <c r="C42" i="38"/>
  <c r="C203" i="38"/>
  <c r="C213" i="38"/>
  <c r="C224" i="38"/>
  <c r="C235" i="38"/>
  <c r="C245" i="38"/>
  <c r="C256" i="38"/>
  <c r="C267" i="38"/>
  <c r="C277" i="38"/>
  <c r="C282" i="38"/>
  <c r="C290" i="38"/>
  <c r="C296" i="38"/>
  <c r="C301" i="38"/>
  <c r="C307" i="38"/>
  <c r="C312" i="38"/>
  <c r="C316" i="38"/>
  <c r="C320" i="38"/>
  <c r="C324" i="38"/>
  <c r="C328" i="38"/>
  <c r="C332" i="38"/>
  <c r="C336" i="38"/>
  <c r="C340" i="38"/>
  <c r="C344" i="38"/>
  <c r="C348" i="38"/>
  <c r="C352" i="38"/>
  <c r="C356" i="38"/>
  <c r="C360" i="38"/>
  <c r="C364" i="38"/>
  <c r="C368" i="38"/>
  <c r="C372" i="38"/>
  <c r="C376" i="38"/>
  <c r="C380" i="38"/>
  <c r="C384" i="38"/>
  <c r="C388" i="38"/>
  <c r="C392" i="38"/>
  <c r="C396" i="38"/>
  <c r="C400" i="38"/>
  <c r="C404" i="38"/>
  <c r="C408" i="38"/>
  <c r="B33" i="37"/>
  <c r="B32" i="37"/>
  <c r="B28" i="37"/>
  <c r="H69" i="35"/>
  <c r="B403" i="35"/>
  <c r="H389" i="35"/>
  <c r="C11" i="38"/>
  <c r="C27" i="38"/>
  <c r="C43" i="38"/>
  <c r="C204" i="38"/>
  <c r="C225" i="38"/>
  <c r="C247" i="38"/>
  <c r="C268" i="38"/>
  <c r="C285" i="38"/>
  <c r="C297" i="38"/>
  <c r="C308" i="38"/>
  <c r="C317" i="38"/>
  <c r="C325" i="38"/>
  <c r="C333" i="38"/>
  <c r="C341" i="38"/>
  <c r="C349" i="38"/>
  <c r="C357" i="38"/>
  <c r="C365" i="38"/>
  <c r="C373" i="38"/>
  <c r="C381" i="38"/>
  <c r="C389" i="38"/>
  <c r="C397" i="38"/>
  <c r="C405" i="38"/>
  <c r="B30" i="37"/>
  <c r="B69" i="35"/>
  <c r="B389" i="35"/>
  <c r="C14" i="38"/>
  <c r="C30" i="38"/>
  <c r="C46" i="38"/>
  <c r="C208" i="38"/>
  <c r="C229" i="38"/>
  <c r="C251" i="38"/>
  <c r="C272" i="38"/>
  <c r="C286" i="38"/>
  <c r="C299" i="38"/>
  <c r="C309" i="38"/>
  <c r="C318" i="38"/>
  <c r="C326" i="38"/>
  <c r="C334" i="38"/>
  <c r="C342" i="38"/>
  <c r="C350" i="38"/>
  <c r="C358" i="38"/>
  <c r="C366" i="38"/>
  <c r="C374" i="38"/>
  <c r="C382" i="38"/>
  <c r="C390" i="38"/>
  <c r="C398" i="38"/>
  <c r="C406" i="38"/>
  <c r="B27" i="37"/>
  <c r="H401" i="35"/>
  <c r="B391" i="35"/>
  <c r="C3" i="38"/>
  <c r="C19" i="38"/>
  <c r="C35" i="38"/>
  <c r="C215" i="38"/>
  <c r="C236" i="38"/>
  <c r="C257" i="38"/>
  <c r="C291" i="38"/>
  <c r="C313" i="38"/>
  <c r="C329" i="38"/>
  <c r="C345" i="38"/>
  <c r="C361" i="38"/>
  <c r="C377" i="38"/>
  <c r="C393" i="38"/>
  <c r="C409" i="38"/>
  <c r="B31" i="37"/>
  <c r="H403" i="35"/>
  <c r="C413" i="38"/>
  <c r="C6" i="38"/>
  <c r="C219" i="38"/>
  <c r="C293" i="38"/>
  <c r="C314" i="38"/>
  <c r="C330" i="38"/>
  <c r="C346" i="38"/>
  <c r="C362" i="38"/>
  <c r="C378" i="38"/>
  <c r="C394" i="38"/>
  <c r="E2" i="34"/>
  <c r="C21" i="1" s="1"/>
  <c r="C22" i="38"/>
  <c r="C240" i="38"/>
  <c r="C303" i="38"/>
  <c r="C321" i="38"/>
  <c r="C337" i="38"/>
  <c r="C353" i="38"/>
  <c r="C369" i="38"/>
  <c r="C385" i="38"/>
  <c r="C401" i="38"/>
  <c r="C338" i="38"/>
  <c r="C402" i="38"/>
  <c r="C386" i="38"/>
  <c r="C261" i="38"/>
  <c r="C354" i="38"/>
  <c r="C322" i="38"/>
  <c r="H387" i="35"/>
  <c r="C38" i="38"/>
  <c r="C304" i="38"/>
  <c r="C370" i="38"/>
  <c r="B26" i="37"/>
  <c r="H386" i="35"/>
  <c r="B388" i="35"/>
  <c r="H400" i="35"/>
  <c r="C284" i="38"/>
  <c r="C270" i="38"/>
  <c r="C254" i="38"/>
  <c r="C238" i="38"/>
  <c r="C222" i="38"/>
  <c r="C206" i="38"/>
  <c r="C410" i="38"/>
  <c r="H388" i="35"/>
  <c r="B390" i="35"/>
  <c r="H402" i="35"/>
  <c r="B386" i="35"/>
  <c r="B382" i="35"/>
  <c r="B392" i="35"/>
  <c r="C288" i="38"/>
  <c r="C226" i="38"/>
  <c r="C414" i="38"/>
  <c r="H406" i="35"/>
  <c r="C416" i="38"/>
  <c r="H398" i="35"/>
  <c r="H382" i="35"/>
  <c r="B384" i="35"/>
  <c r="B408" i="35"/>
  <c r="C280" i="38"/>
  <c r="C266" i="38"/>
  <c r="C250" i="38"/>
  <c r="C234" i="38"/>
  <c r="C218" i="38"/>
  <c r="C202" i="38"/>
  <c r="H384" i="35"/>
  <c r="B406" i="35"/>
  <c r="B398" i="35"/>
  <c r="H404" i="35"/>
  <c r="C258" i="38"/>
  <c r="C210" i="38"/>
  <c r="H392" i="35"/>
  <c r="C412" i="38"/>
  <c r="H394" i="35"/>
  <c r="B396" i="35"/>
  <c r="H408" i="35"/>
  <c r="B404" i="35"/>
  <c r="C292" i="38"/>
  <c r="C278" i="38"/>
  <c r="C262" i="38"/>
  <c r="C246" i="38"/>
  <c r="C230" i="38"/>
  <c r="C214" i="38"/>
  <c r="H396" i="35"/>
  <c r="B402" i="35"/>
  <c r="H390" i="35"/>
  <c r="B400" i="35"/>
  <c r="C274" i="38"/>
  <c r="C242" i="38"/>
  <c r="B394" i="35"/>
  <c r="E3" i="34"/>
  <c r="C22" i="1" s="1"/>
  <c r="D402" i="35"/>
  <c r="D406" i="35"/>
  <c r="D383" i="35"/>
  <c r="D387" i="35"/>
  <c r="D391" i="35"/>
  <c r="D395" i="35"/>
  <c r="D399" i="35"/>
  <c r="D386" i="35"/>
  <c r="D394" i="35"/>
  <c r="D403" i="35"/>
  <c r="D407" i="35"/>
  <c r="D384" i="35"/>
  <c r="D388" i="35"/>
  <c r="D392" i="35"/>
  <c r="D396" i="35"/>
  <c r="D405" i="35"/>
  <c r="D400" i="35"/>
  <c r="D404" i="35"/>
  <c r="D408" i="35"/>
  <c r="D385" i="35"/>
  <c r="D389" i="35"/>
  <c r="D393" i="35"/>
  <c r="D397" i="35"/>
  <c r="D401" i="35"/>
  <c r="D382" i="35"/>
  <c r="D390" i="35"/>
  <c r="D398" i="35"/>
  <c r="J441" i="34"/>
  <c r="C31" i="37"/>
  <c r="C27" i="37"/>
  <c r="C30" i="37"/>
  <c r="C26" i="37"/>
  <c r="C34" i="37"/>
  <c r="C25" i="37"/>
  <c r="C29" i="37"/>
  <c r="C32" i="37"/>
  <c r="C33" i="37"/>
  <c r="C28" i="37"/>
  <c r="D69" i="35"/>
  <c r="F429" i="34"/>
  <c r="D29" i="10" s="1"/>
  <c r="H453" i="34"/>
  <c r="G60" i="31"/>
  <c r="F57" i="31"/>
  <c r="F62" i="31"/>
  <c r="G62" i="31" s="1"/>
  <c r="D15" i="10" s="1"/>
  <c r="G61" i="31"/>
  <c r="C16" i="14" s="1"/>
  <c r="D57" i="31"/>
  <c r="H31" i="37"/>
  <c r="H27" i="37"/>
  <c r="H30" i="37"/>
  <c r="H26" i="37"/>
  <c r="G69" i="35"/>
  <c r="H34" i="37"/>
  <c r="H25" i="37"/>
  <c r="H29" i="37"/>
  <c r="H33" i="37"/>
  <c r="H32" i="37"/>
  <c r="H28" i="37"/>
  <c r="F437" i="34"/>
  <c r="Q33" i="10"/>
  <c r="C18" i="1"/>
  <c r="D18" i="8"/>
  <c r="D18" i="2"/>
  <c r="Q28" i="10"/>
  <c r="Q29" i="10" s="1"/>
  <c r="O29" i="10"/>
  <c r="N18" i="10"/>
  <c r="P17" i="10"/>
  <c r="K19" i="14"/>
  <c r="C18" i="8"/>
  <c r="L19" i="8"/>
  <c r="M55" i="10"/>
  <c r="I43" i="36"/>
  <c r="C8" i="36"/>
  <c r="C8" i="8"/>
  <c r="C8" i="14"/>
  <c r="C8" i="2"/>
  <c r="D8" i="10"/>
  <c r="C92" i="8"/>
  <c r="C96" i="14"/>
  <c r="D57" i="10"/>
  <c r="C45" i="36"/>
  <c r="D9" i="10"/>
  <c r="C9" i="14"/>
  <c r="C9" i="2"/>
  <c r="C9" i="36"/>
  <c r="C9" i="8"/>
  <c r="K8" i="14"/>
  <c r="L8" i="36"/>
  <c r="L8" i="2"/>
  <c r="Q8" i="10"/>
  <c r="L8" i="8"/>
  <c r="D149" i="35"/>
  <c r="L5" i="8"/>
  <c r="L5" i="36"/>
  <c r="O55" i="10"/>
  <c r="K43" i="36"/>
  <c r="N10" i="1"/>
  <c r="Q10" i="10"/>
  <c r="K10" i="8"/>
  <c r="K10" i="2"/>
  <c r="K10" i="14"/>
  <c r="K10" i="36"/>
  <c r="B40" i="32"/>
  <c r="D55" i="10"/>
  <c r="C94" i="14"/>
  <c r="C43" i="36"/>
  <c r="C90" i="8"/>
  <c r="G42" i="32"/>
  <c r="B45" i="32"/>
  <c r="F43" i="36"/>
  <c r="H55" i="10"/>
  <c r="C5" i="14"/>
  <c r="C5" i="8"/>
  <c r="C5" i="36"/>
  <c r="C5" i="1"/>
  <c r="Q6" i="10"/>
  <c r="L6" i="8"/>
  <c r="K6" i="14"/>
  <c r="L6" i="36"/>
  <c r="C148" i="2"/>
  <c r="P6" i="33" a="1"/>
  <c r="P6" i="33" s="1"/>
  <c r="I22" i="1"/>
  <c r="H330" i="35"/>
  <c r="H298" i="35"/>
  <c r="H268" i="35"/>
  <c r="H226" i="35"/>
  <c r="H179" i="35"/>
  <c r="H117" i="35"/>
  <c r="H337" i="35"/>
  <c r="H297" i="35"/>
  <c r="H237" i="35"/>
  <c r="H172" i="35"/>
  <c r="H116" i="35"/>
  <c r="H336" i="35"/>
  <c r="H296" i="35"/>
  <c r="H246" i="35"/>
  <c r="H362" i="35"/>
  <c r="H343" i="35"/>
  <c r="H326" i="35"/>
  <c r="H310" i="35"/>
  <c r="H294" i="35"/>
  <c r="H279" i="35"/>
  <c r="H264" i="35"/>
  <c r="H243" i="35"/>
  <c r="H222" i="35"/>
  <c r="H194" i="35"/>
  <c r="H175" i="35"/>
  <c r="H153" i="35"/>
  <c r="H134" i="35"/>
  <c r="H112" i="35"/>
  <c r="H90" i="35"/>
  <c r="H354" i="35"/>
  <c r="H333" i="35"/>
  <c r="H313" i="35"/>
  <c r="H286" i="35"/>
  <c r="H258" i="35"/>
  <c r="H232" i="35"/>
  <c r="H193" i="35"/>
  <c r="H167" i="35"/>
  <c r="H136" i="35"/>
  <c r="H105" i="35"/>
  <c r="H78" i="35"/>
  <c r="H353" i="35"/>
  <c r="H332" i="35"/>
  <c r="H312" i="35"/>
  <c r="H289" i="35"/>
  <c r="H270" i="35"/>
  <c r="H241" i="35"/>
  <c r="H202" i="35"/>
  <c r="H177" i="35"/>
  <c r="H151" i="35"/>
  <c r="H114" i="35"/>
  <c r="H88" i="35"/>
  <c r="H355" i="35"/>
  <c r="H323" i="35"/>
  <c r="H291" i="35"/>
  <c r="H261" i="35"/>
  <c r="H210" i="35"/>
  <c r="H170" i="35"/>
  <c r="H124" i="35"/>
  <c r="H81" i="35"/>
  <c r="H266" i="35"/>
  <c r="H230" i="35"/>
  <c r="H197" i="35"/>
  <c r="H154" i="35"/>
  <c r="H123" i="35"/>
  <c r="H91" i="35"/>
  <c r="B7" i="37"/>
  <c r="B17" i="37"/>
  <c r="B12" i="37"/>
  <c r="O5" i="33" a="1"/>
  <c r="O5" i="33" s="1"/>
  <c r="H351" i="35"/>
  <c r="H334" i="35"/>
  <c r="H318" i="35"/>
  <c r="H302" i="35"/>
  <c r="H287" i="35"/>
  <c r="H272" i="35"/>
  <c r="H255" i="35"/>
  <c r="H229" i="35"/>
  <c r="H209" i="35"/>
  <c r="H183" i="35"/>
  <c r="H164" i="35"/>
  <c r="H143" i="35"/>
  <c r="H122" i="35"/>
  <c r="H101" i="35"/>
  <c r="H74" i="35"/>
  <c r="H346" i="35"/>
  <c r="H321" i="35"/>
  <c r="H301" i="35"/>
  <c r="H271" i="35"/>
  <c r="H242" i="35"/>
  <c r="H208" i="35"/>
  <c r="H182" i="35"/>
  <c r="H147" i="35"/>
  <c r="H121" i="35"/>
  <c r="H94" i="35"/>
  <c r="H364" i="35"/>
  <c r="H345" i="35"/>
  <c r="H320" i="35"/>
  <c r="H300" i="35"/>
  <c r="H281" i="35"/>
  <c r="H253" i="35"/>
  <c r="H217" i="35"/>
  <c r="H191" i="35"/>
  <c r="H162" i="35"/>
  <c r="H131" i="35"/>
  <c r="H104" i="35"/>
  <c r="H72" i="35"/>
  <c r="H339" i="35"/>
  <c r="H307" i="35"/>
  <c r="H277" i="35"/>
  <c r="H234" i="35"/>
  <c r="H190" i="35"/>
  <c r="H149" i="35"/>
  <c r="H102" i="35"/>
  <c r="H244" i="35"/>
  <c r="H215" i="35"/>
  <c r="H174" i="35"/>
  <c r="H138" i="35"/>
  <c r="H107" i="35"/>
  <c r="H75" i="35"/>
  <c r="B6" i="37"/>
  <c r="B2" i="37"/>
  <c r="P7" i="33" a="1"/>
  <c r="P7" i="33" s="1"/>
  <c r="H347" i="35"/>
  <c r="H314" i="35"/>
  <c r="H283" i="35"/>
  <c r="H250" i="35"/>
  <c r="H200" i="35"/>
  <c r="H160" i="35"/>
  <c r="H137" i="35"/>
  <c r="H96" i="35"/>
  <c r="H361" i="35"/>
  <c r="H317" i="35"/>
  <c r="H263" i="35"/>
  <c r="H203" i="35"/>
  <c r="H141" i="35"/>
  <c r="H84" i="35"/>
  <c r="H360" i="35"/>
  <c r="H316" i="35"/>
  <c r="H275" i="35"/>
  <c r="H212" i="35"/>
  <c r="H181" i="35"/>
  <c r="H156" i="35"/>
  <c r="H125" i="35"/>
  <c r="H93" i="35"/>
  <c r="H359" i="35"/>
  <c r="H327" i="35"/>
  <c r="H295" i="35"/>
  <c r="H265" i="35"/>
  <c r="H216" i="35"/>
  <c r="H176" i="35"/>
  <c r="H129" i="35"/>
  <c r="H86" i="35"/>
  <c r="H233" i="35"/>
  <c r="H204" i="35"/>
  <c r="H158" i="35"/>
  <c r="H127" i="35"/>
  <c r="H95" i="35"/>
  <c r="B19" i="37"/>
  <c r="B16" i="37"/>
  <c r="O9" i="33" a="1"/>
  <c r="O9" i="33" s="1"/>
  <c r="O7" i="33" a="1"/>
  <c r="O7" i="33" s="1"/>
  <c r="B4" i="37"/>
  <c r="B20" i="37"/>
  <c r="B9" i="37"/>
  <c r="B18" i="37"/>
  <c r="H83" i="35"/>
  <c r="H99" i="35"/>
  <c r="H115" i="35"/>
  <c r="H132" i="35"/>
  <c r="H146" i="35"/>
  <c r="H163" i="35"/>
  <c r="H188" i="35"/>
  <c r="H207" i="35"/>
  <c r="H225" i="35"/>
  <c r="H236" i="35"/>
  <c r="H256" i="35"/>
  <c r="H70" i="35"/>
  <c r="H92" i="35"/>
  <c r="H113" i="35"/>
  <c r="H139" i="35"/>
  <c r="H161" i="35"/>
  <c r="H180" i="35"/>
  <c r="H201" i="35"/>
  <c r="H223" i="35"/>
  <c r="H245" i="35"/>
  <c r="H269" i="35"/>
  <c r="H284" i="35"/>
  <c r="H299" i="35"/>
  <c r="H315" i="35"/>
  <c r="H331" i="35"/>
  <c r="H348" i="35"/>
  <c r="H363" i="35"/>
  <c r="H77" i="35"/>
  <c r="H98" i="35"/>
  <c r="H120" i="35"/>
  <c r="H145" i="35"/>
  <c r="H166" i="35"/>
  <c r="H186" i="35"/>
  <c r="H206" i="35"/>
  <c r="H235" i="35"/>
  <c r="H257" i="35"/>
  <c r="H278" i="35"/>
  <c r="H292" i="35"/>
  <c r="H308" i="35"/>
  <c r="H324" i="35"/>
  <c r="H340" i="35"/>
  <c r="H356" i="35"/>
  <c r="H89" i="35"/>
  <c r="H110" i="35"/>
  <c r="H133" i="35"/>
  <c r="H152" i="35"/>
  <c r="H178" i="35"/>
  <c r="H199" i="35"/>
  <c r="H219" i="35"/>
  <c r="H247" i="35"/>
  <c r="H267" i="35"/>
  <c r="H293" i="35"/>
  <c r="H309" i="35"/>
  <c r="H325" i="35"/>
  <c r="H341" i="35"/>
  <c r="H357" i="35"/>
  <c r="H80" i="35"/>
  <c r="O6" i="33" a="1"/>
  <c r="O6" i="33" s="1"/>
  <c r="B8" i="37"/>
  <c r="B11" i="37"/>
  <c r="B13" i="37"/>
  <c r="B3" i="37"/>
  <c r="H71" i="35"/>
  <c r="H87" i="35"/>
  <c r="H103" i="35"/>
  <c r="H119" i="35"/>
  <c r="H135" i="35"/>
  <c r="H150" i="35"/>
  <c r="H169" i="35"/>
  <c r="H192" i="35"/>
  <c r="H211" i="35"/>
  <c r="H228" i="35"/>
  <c r="H240" i="35"/>
  <c r="H260" i="35"/>
  <c r="H76" i="35"/>
  <c r="H97" i="35"/>
  <c r="H118" i="35"/>
  <c r="H144" i="35"/>
  <c r="H165" i="35"/>
  <c r="H185" i="35"/>
  <c r="H205" i="35"/>
  <c r="H227" i="35"/>
  <c r="H252" i="35"/>
  <c r="H273" i="35"/>
  <c r="H288" i="35"/>
  <c r="H303" i="35"/>
  <c r="H319" i="35"/>
  <c r="H335" i="35"/>
  <c r="H352" i="35"/>
  <c r="P9" i="33" a="1"/>
  <c r="P9" i="33" s="1"/>
  <c r="AB52" i="32"/>
  <c r="AB10" i="32"/>
  <c r="W3" i="33"/>
  <c r="X3" i="33" s="1"/>
  <c r="AB43" i="32"/>
  <c r="D168" i="1" s="1"/>
  <c r="N8" i="1"/>
  <c r="K18" i="36"/>
  <c r="D18" i="1"/>
  <c r="C9" i="1"/>
  <c r="D89" i="1"/>
  <c r="D18" i="14"/>
  <c r="AA64" i="32"/>
  <c r="Y64" i="32" s="1"/>
  <c r="K18" i="2"/>
  <c r="I18" i="1"/>
  <c r="I89" i="1"/>
  <c r="F2" i="34"/>
  <c r="I21" i="1"/>
  <c r="D12" i="35"/>
  <c r="D17" i="35"/>
  <c r="D325" i="35"/>
  <c r="Y4" i="33"/>
  <c r="I441" i="34" s="1"/>
  <c r="I1" i="33"/>
  <c r="H35" i="37"/>
  <c r="H24" i="37"/>
  <c r="I18" i="14"/>
  <c r="D134" i="35"/>
  <c r="G17" i="10"/>
  <c r="C13" i="37"/>
  <c r="B24" i="37"/>
  <c r="B35" i="37"/>
  <c r="D332" i="35"/>
  <c r="C35" i="37"/>
  <c r="C24" i="37"/>
  <c r="AB22" i="32"/>
  <c r="B19" i="32"/>
  <c r="K19" i="36"/>
  <c r="N6" i="1"/>
  <c r="I18" i="36"/>
  <c r="I18" i="8"/>
  <c r="D268" i="35"/>
  <c r="K19" i="2"/>
  <c r="Y35" i="32"/>
  <c r="Q16" i="10"/>
  <c r="C146" i="2"/>
  <c r="C89" i="1"/>
  <c r="N18" i="1"/>
  <c r="B5" i="35"/>
  <c r="B9" i="35"/>
  <c r="B13" i="35"/>
  <c r="B17" i="35"/>
  <c r="B21" i="35"/>
  <c r="B25" i="35"/>
  <c r="B29" i="35"/>
  <c r="B33" i="35"/>
  <c r="B37" i="35"/>
  <c r="B41" i="35"/>
  <c r="B45" i="35"/>
  <c r="B49" i="35"/>
  <c r="B53" i="35"/>
  <c r="B57" i="35"/>
  <c r="B61" i="35"/>
  <c r="B65" i="35"/>
  <c r="B71" i="35"/>
  <c r="B75" i="35"/>
  <c r="B79" i="35"/>
  <c r="B83" i="35"/>
  <c r="B87" i="35"/>
  <c r="B91" i="35"/>
  <c r="B95" i="35"/>
  <c r="B99" i="35"/>
  <c r="B103" i="35"/>
  <c r="B107" i="35"/>
  <c r="B111" i="35"/>
  <c r="B115" i="35"/>
  <c r="B119" i="35"/>
  <c r="B123" i="35"/>
  <c r="B127" i="35"/>
  <c r="B131" i="35"/>
  <c r="B135" i="35"/>
  <c r="B139" i="35"/>
  <c r="B143" i="35"/>
  <c r="B147" i="35"/>
  <c r="B151" i="35"/>
  <c r="B155" i="35"/>
  <c r="B159" i="35"/>
  <c r="B163" i="35"/>
  <c r="B167" i="35"/>
  <c r="B171" i="35"/>
  <c r="B175" i="35"/>
  <c r="B179" i="35"/>
  <c r="B183" i="35"/>
  <c r="B187" i="35"/>
  <c r="B191" i="35"/>
  <c r="B195" i="35"/>
  <c r="B199" i="35"/>
  <c r="B203" i="35"/>
  <c r="B207" i="35"/>
  <c r="B211" i="35"/>
  <c r="B215" i="35"/>
  <c r="B219" i="35"/>
  <c r="B223" i="35"/>
  <c r="B227" i="35"/>
  <c r="B231" i="35"/>
  <c r="B235" i="35"/>
  <c r="B239" i="35"/>
  <c r="B243" i="35"/>
  <c r="B247" i="35"/>
  <c r="B251" i="35"/>
  <c r="B255" i="35"/>
  <c r="B259" i="35"/>
  <c r="B263" i="35"/>
  <c r="B267" i="35"/>
  <c r="B271" i="35"/>
  <c r="B275" i="35"/>
  <c r="B279" i="35"/>
  <c r="B283" i="35"/>
  <c r="B287" i="35"/>
  <c r="B291" i="35"/>
  <c r="B295" i="35"/>
  <c r="B299" i="35"/>
  <c r="B303" i="35"/>
  <c r="B307" i="35"/>
  <c r="B311" i="35"/>
  <c r="B315" i="35"/>
  <c r="B319" i="35"/>
  <c r="B323" i="35"/>
  <c r="B327" i="35"/>
  <c r="B331" i="35"/>
  <c r="B335" i="35"/>
  <c r="B339" i="35"/>
  <c r="B2" i="35"/>
  <c r="B6" i="35"/>
  <c r="B10" i="35"/>
  <c r="B14" i="35"/>
  <c r="B18" i="35"/>
  <c r="B22" i="35"/>
  <c r="B26" i="35"/>
  <c r="B30" i="35"/>
  <c r="B34" i="35"/>
  <c r="B38" i="35"/>
  <c r="B42" i="35"/>
  <c r="B46" i="35"/>
  <c r="B50" i="35"/>
  <c r="B54" i="35"/>
  <c r="B58" i="35"/>
  <c r="B62" i="35"/>
  <c r="B66" i="35"/>
  <c r="B72" i="35"/>
  <c r="B76" i="35"/>
  <c r="B80" i="35"/>
  <c r="B84" i="35"/>
  <c r="B88" i="35"/>
  <c r="B92" i="35"/>
  <c r="B96" i="35"/>
  <c r="B100" i="35"/>
  <c r="B104" i="35"/>
  <c r="B108" i="35"/>
  <c r="B112" i="35"/>
  <c r="B116" i="35"/>
  <c r="B120" i="35"/>
  <c r="B124" i="35"/>
  <c r="B128" i="35"/>
  <c r="B132" i="35"/>
  <c r="B136" i="35"/>
  <c r="B140" i="35"/>
  <c r="B144" i="35"/>
  <c r="B148" i="35"/>
  <c r="B152" i="35"/>
  <c r="B156" i="35"/>
  <c r="B160" i="35"/>
  <c r="B164" i="35"/>
  <c r="B168" i="35"/>
  <c r="B172" i="35"/>
  <c r="B176" i="35"/>
  <c r="B180" i="35"/>
  <c r="B184" i="35"/>
  <c r="B188" i="35"/>
  <c r="B192" i="35"/>
  <c r="B196" i="35"/>
  <c r="B200" i="35"/>
  <c r="B204" i="35"/>
  <c r="B208" i="35"/>
  <c r="B212" i="35"/>
  <c r="B216" i="35"/>
  <c r="B220" i="35"/>
  <c r="B224" i="35"/>
  <c r="B228" i="35"/>
  <c r="B232" i="35"/>
  <c r="B236" i="35"/>
  <c r="B240" i="35"/>
  <c r="B244" i="35"/>
  <c r="B248" i="35"/>
  <c r="B252" i="35"/>
  <c r="B256" i="35"/>
  <c r="B260" i="35"/>
  <c r="B264" i="35"/>
  <c r="B268" i="35"/>
  <c r="B272" i="35"/>
  <c r="B276" i="35"/>
  <c r="B280" i="35"/>
  <c r="B284" i="35"/>
  <c r="B288" i="35"/>
  <c r="B292" i="35"/>
  <c r="B296" i="35"/>
  <c r="B300" i="35"/>
  <c r="B304" i="35"/>
  <c r="B308" i="35"/>
  <c r="B312" i="35"/>
  <c r="B3" i="35"/>
  <c r="B7" i="35"/>
  <c r="B11" i="35"/>
  <c r="B15" i="35"/>
  <c r="B19" i="35"/>
  <c r="B23" i="35"/>
  <c r="B27" i="35"/>
  <c r="B31" i="35"/>
  <c r="B35" i="35"/>
  <c r="B39" i="35"/>
  <c r="B43" i="35"/>
  <c r="B47" i="35"/>
  <c r="B51" i="35"/>
  <c r="B55" i="35"/>
  <c r="B59" i="35"/>
  <c r="B63" i="35"/>
  <c r="B68" i="35"/>
  <c r="B73" i="35"/>
  <c r="B77" i="35"/>
  <c r="B81" i="35"/>
  <c r="B85" i="35"/>
  <c r="B89" i="35"/>
  <c r="B93" i="35"/>
  <c r="B97" i="35"/>
  <c r="B101" i="35"/>
  <c r="B105" i="35"/>
  <c r="B109" i="35"/>
  <c r="B113" i="35"/>
  <c r="B117" i="35"/>
  <c r="B121" i="35"/>
  <c r="B125" i="35"/>
  <c r="B129" i="35"/>
  <c r="B133" i="35"/>
  <c r="B137" i="35"/>
  <c r="B141" i="35"/>
  <c r="B145" i="35"/>
  <c r="B149" i="35"/>
  <c r="B153" i="35"/>
  <c r="B157" i="35"/>
  <c r="B161" i="35"/>
  <c r="B165" i="35"/>
  <c r="B169" i="35"/>
  <c r="B173" i="35"/>
  <c r="B177" i="35"/>
  <c r="B181" i="35"/>
  <c r="B185" i="35"/>
  <c r="B189" i="35"/>
  <c r="B193" i="35"/>
  <c r="B197" i="35"/>
  <c r="B201" i="35"/>
  <c r="B205" i="35"/>
  <c r="B209" i="35"/>
  <c r="B213" i="35"/>
  <c r="B217" i="35"/>
  <c r="B221" i="35"/>
  <c r="B225" i="35"/>
  <c r="B229" i="35"/>
  <c r="B233" i="35"/>
  <c r="B237" i="35"/>
  <c r="B241" i="35"/>
  <c r="B245" i="35"/>
  <c r="B249" i="35"/>
  <c r="B253" i="35"/>
  <c r="B257" i="35"/>
  <c r="B261" i="35"/>
  <c r="B265" i="35"/>
  <c r="B269" i="35"/>
  <c r="B273" i="35"/>
  <c r="B277" i="35"/>
  <c r="B281" i="35"/>
  <c r="B285" i="35"/>
  <c r="B289" i="35"/>
  <c r="B293" i="35"/>
  <c r="B297" i="35"/>
  <c r="B301" i="35"/>
  <c r="B305" i="35"/>
  <c r="B309" i="35"/>
  <c r="B313" i="35"/>
  <c r="B317" i="35"/>
  <c r="B321" i="35"/>
  <c r="B325" i="35"/>
  <c r="B329" i="35"/>
  <c r="B333" i="35"/>
  <c r="B337" i="35"/>
  <c r="B341" i="35"/>
  <c r="B4" i="35"/>
  <c r="B8" i="35"/>
  <c r="B12" i="35"/>
  <c r="B16" i="35"/>
  <c r="B20" i="35"/>
  <c r="B24" i="35"/>
  <c r="B28" i="35"/>
  <c r="B32" i="35"/>
  <c r="B36" i="35"/>
  <c r="B40" i="35"/>
  <c r="B44" i="35"/>
  <c r="B48" i="35"/>
  <c r="B52" i="35"/>
  <c r="B56" i="35"/>
  <c r="B60" i="35"/>
  <c r="B64" i="35"/>
  <c r="B70" i="35"/>
  <c r="B74" i="35"/>
  <c r="B78" i="35"/>
  <c r="B82" i="35"/>
  <c r="B86" i="35"/>
  <c r="B90" i="35"/>
  <c r="B94" i="35"/>
  <c r="B98" i="35"/>
  <c r="B102" i="35"/>
  <c r="B106" i="35"/>
  <c r="B110" i="35"/>
  <c r="B114" i="35"/>
  <c r="B118" i="35"/>
  <c r="B122" i="35"/>
  <c r="B126" i="35"/>
  <c r="B130" i="35"/>
  <c r="B134" i="35"/>
  <c r="B138" i="35"/>
  <c r="B142" i="35"/>
  <c r="B146" i="35"/>
  <c r="B150" i="35"/>
  <c r="B154" i="35"/>
  <c r="B158" i="35"/>
  <c r="B162" i="35"/>
  <c r="B166" i="35"/>
  <c r="B170" i="35"/>
  <c r="B174" i="35"/>
  <c r="B178" i="35"/>
  <c r="B182" i="35"/>
  <c r="B186" i="35"/>
  <c r="B190" i="35"/>
  <c r="B194" i="35"/>
  <c r="B198" i="35"/>
  <c r="B202" i="35"/>
  <c r="B206" i="35"/>
  <c r="B210" i="35"/>
  <c r="B214" i="35"/>
  <c r="B218" i="35"/>
  <c r="B222" i="35"/>
  <c r="B226" i="35"/>
  <c r="B230" i="35"/>
  <c r="B234" i="35"/>
  <c r="B238" i="35"/>
  <c r="B242" i="35"/>
  <c r="B246" i="35"/>
  <c r="B250" i="35"/>
  <c r="B254" i="35"/>
  <c r="B258" i="35"/>
  <c r="B262" i="35"/>
  <c r="B266" i="35"/>
  <c r="B270" i="35"/>
  <c r="B274" i="35"/>
  <c r="B278" i="35"/>
  <c r="B282" i="35"/>
  <c r="B298" i="35"/>
  <c r="B314" i="35"/>
  <c r="B322" i="35"/>
  <c r="B330" i="35"/>
  <c r="B338" i="35"/>
  <c r="B344" i="35"/>
  <c r="B348" i="35"/>
  <c r="B352" i="35"/>
  <c r="B356" i="35"/>
  <c r="B360" i="35"/>
  <c r="B364" i="35"/>
  <c r="B368" i="35"/>
  <c r="B372" i="35"/>
  <c r="B376" i="35"/>
  <c r="B380" i="35"/>
  <c r="B286" i="35"/>
  <c r="B302" i="35"/>
  <c r="B316" i="35"/>
  <c r="B324" i="35"/>
  <c r="B332" i="35"/>
  <c r="B340" i="35"/>
  <c r="B345" i="35"/>
  <c r="B349" i="35"/>
  <c r="B353" i="35"/>
  <c r="B357" i="35"/>
  <c r="B361" i="35"/>
  <c r="B365" i="35"/>
  <c r="B369" i="35"/>
  <c r="B373" i="35"/>
  <c r="B377" i="35"/>
  <c r="B381" i="35"/>
  <c r="B290" i="35"/>
  <c r="B306" i="35"/>
  <c r="B318" i="35"/>
  <c r="B326" i="35"/>
  <c r="B334" i="35"/>
  <c r="B342" i="35"/>
  <c r="B346" i="35"/>
  <c r="B350" i="35"/>
  <c r="B354" i="35"/>
  <c r="B358" i="35"/>
  <c r="B362" i="35"/>
  <c r="B366" i="35"/>
  <c r="B370" i="35"/>
  <c r="B374" i="35"/>
  <c r="B378" i="35"/>
  <c r="P4" i="33" a="1"/>
  <c r="P4" i="33" s="1"/>
  <c r="B294" i="35"/>
  <c r="B310" i="35"/>
  <c r="B320" i="35"/>
  <c r="B328" i="35"/>
  <c r="B336" i="35"/>
  <c r="B343" i="35"/>
  <c r="B347" i="35"/>
  <c r="B351" i="35"/>
  <c r="B355" i="35"/>
  <c r="B359" i="35"/>
  <c r="B363" i="35"/>
  <c r="B367" i="35"/>
  <c r="B371" i="35"/>
  <c r="B375" i="35"/>
  <c r="B379" i="35"/>
  <c r="O4" i="33" a="1"/>
  <c r="O4" i="33" s="1"/>
  <c r="H379" i="35"/>
  <c r="H365" i="35"/>
  <c r="H369" i="35"/>
  <c r="H373" i="35"/>
  <c r="H377" i="35"/>
  <c r="B21" i="37"/>
  <c r="H380" i="35"/>
  <c r="H366" i="35"/>
  <c r="H370" i="35"/>
  <c r="H374" i="35"/>
  <c r="H378" i="35"/>
  <c r="B23" i="37"/>
  <c r="H372" i="35"/>
  <c r="B22" i="37"/>
  <c r="H381" i="35"/>
  <c r="H367" i="35"/>
  <c r="H371" i="35"/>
  <c r="H375" i="35"/>
  <c r="H368" i="35"/>
  <c r="H376" i="35"/>
  <c r="F3" i="34"/>
  <c r="L17" i="2"/>
  <c r="Z35" i="32"/>
  <c r="B22" i="32"/>
  <c r="D177" i="35"/>
  <c r="D40" i="35"/>
  <c r="D189" i="35"/>
  <c r="D267" i="35"/>
  <c r="D64" i="35"/>
  <c r="D330" i="35"/>
  <c r="D167" i="35"/>
  <c r="D327" i="35"/>
  <c r="D13" i="35"/>
  <c r="D157" i="35"/>
  <c r="D19" i="35"/>
  <c r="D255" i="35"/>
  <c r="D45" i="35"/>
  <c r="D347" i="35"/>
  <c r="D158" i="35"/>
  <c r="C8" i="37"/>
  <c r="D132" i="35"/>
  <c r="D8" i="35"/>
  <c r="D143" i="35"/>
  <c r="D162" i="35"/>
  <c r="D54" i="35"/>
  <c r="D230" i="35"/>
  <c r="D109" i="35"/>
  <c r="D220" i="35"/>
  <c r="D129" i="35"/>
  <c r="D311" i="35"/>
  <c r="D320" i="35"/>
  <c r="D94" i="35"/>
  <c r="D165" i="35"/>
  <c r="D170" i="35"/>
  <c r="D359" i="35"/>
  <c r="D160" i="35"/>
  <c r="D236" i="35"/>
  <c r="D308" i="35"/>
  <c r="D113" i="35"/>
  <c r="D176" i="35"/>
  <c r="D314" i="35"/>
  <c r="D34" i="35"/>
  <c r="D206" i="35"/>
  <c r="D122" i="35"/>
  <c r="D266" i="35"/>
  <c r="D306" i="35"/>
  <c r="D287" i="35"/>
  <c r="D43" i="35"/>
  <c r="C16" i="37"/>
  <c r="D91" i="35"/>
  <c r="D322" i="35"/>
  <c r="D90" i="35"/>
  <c r="D166" i="35"/>
  <c r="D101" i="35"/>
  <c r="D23" i="35"/>
  <c r="D24" i="35"/>
  <c r="D272" i="35"/>
  <c r="D335" i="35"/>
  <c r="D85" i="35"/>
  <c r="D284" i="35"/>
  <c r="D222" i="35"/>
  <c r="D215" i="35"/>
  <c r="D282" i="35"/>
  <c r="D211" i="35"/>
  <c r="D216" i="35"/>
  <c r="D235" i="35"/>
  <c r="D110" i="35"/>
  <c r="D138" i="35"/>
  <c r="D169" i="35"/>
  <c r="D136" i="35"/>
  <c r="D25" i="35"/>
  <c r="D228" i="35"/>
  <c r="D353" i="35"/>
  <c r="D73" i="35"/>
  <c r="D232" i="35"/>
  <c r="D276" i="35"/>
  <c r="D185" i="35"/>
  <c r="C14" i="37"/>
  <c r="D285" i="35"/>
  <c r="D116" i="35"/>
  <c r="D289" i="35"/>
  <c r="C4" i="37"/>
  <c r="D112" i="35"/>
  <c r="D115" i="35"/>
  <c r="D260" i="35"/>
  <c r="D53" i="35"/>
  <c r="D144" i="35"/>
  <c r="D33" i="35"/>
  <c r="D264" i="35"/>
  <c r="D175" i="35"/>
  <c r="D141" i="35"/>
  <c r="D172" i="35"/>
  <c r="D288" i="35"/>
  <c r="D184" i="35"/>
  <c r="D246" i="35"/>
  <c r="D279" i="35"/>
  <c r="C17" i="37"/>
  <c r="D131" i="35"/>
  <c r="D354" i="35"/>
  <c r="D312" i="35"/>
  <c r="D319" i="35"/>
  <c r="D163" i="35"/>
  <c r="D154" i="35"/>
  <c r="C5" i="37"/>
  <c r="D261" i="35"/>
  <c r="D51" i="35"/>
  <c r="D55" i="35"/>
  <c r="D252" i="35"/>
  <c r="D346" i="35"/>
  <c r="D291" i="35"/>
  <c r="D121" i="35"/>
  <c r="D83" i="35"/>
  <c r="D16" i="35"/>
  <c r="D253" i="35"/>
  <c r="D48" i="35"/>
  <c r="C10" i="37"/>
  <c r="D271" i="35"/>
  <c r="D150" i="35"/>
  <c r="D106" i="35"/>
  <c r="D104" i="35"/>
  <c r="D324" i="35"/>
  <c r="D194" i="35"/>
  <c r="D344" i="35"/>
  <c r="D201" i="35"/>
  <c r="D304" i="35"/>
  <c r="D71" i="35"/>
  <c r="D192" i="35"/>
  <c r="D237" i="35"/>
  <c r="D95" i="35"/>
  <c r="D114" i="35"/>
  <c r="D262" i="35"/>
  <c r="D212" i="35"/>
  <c r="D358" i="35"/>
  <c r="Z74" i="32"/>
  <c r="AB74" i="32" s="1"/>
  <c r="M89" i="1"/>
  <c r="K17" i="8"/>
  <c r="I146" i="2"/>
  <c r="C18" i="2"/>
  <c r="N17" i="1"/>
  <c r="C8" i="1"/>
  <c r="D36" i="35"/>
  <c r="L17" i="36"/>
  <c r="D202" i="35"/>
  <c r="D98" i="35"/>
  <c r="D210" i="35"/>
  <c r="D156" i="35"/>
  <c r="D281" i="35"/>
  <c r="D183" i="35"/>
  <c r="D242" i="35"/>
  <c r="D59" i="35"/>
  <c r="D32" i="35"/>
  <c r="D119" i="35"/>
  <c r="D294" i="35"/>
  <c r="D14" i="35"/>
  <c r="D133" i="35"/>
  <c r="D147" i="35"/>
  <c r="D334" i="35"/>
  <c r="D357" i="35"/>
  <c r="D213" i="35"/>
  <c r="D303" i="35"/>
  <c r="D226" i="35"/>
  <c r="D75" i="35"/>
  <c r="D135" i="35"/>
  <c r="D292" i="35"/>
  <c r="D153" i="35"/>
  <c r="D5" i="35"/>
  <c r="D338" i="35"/>
  <c r="D352" i="35"/>
  <c r="C12" i="37"/>
  <c r="D47" i="35"/>
  <c r="G380" i="35"/>
  <c r="H21" i="37"/>
  <c r="G381" i="35"/>
  <c r="G366" i="35"/>
  <c r="G370" i="35"/>
  <c r="G374" i="35"/>
  <c r="G378" i="35"/>
  <c r="H22" i="37"/>
  <c r="G367" i="35"/>
  <c r="G371" i="35"/>
  <c r="G375" i="35"/>
  <c r="H23" i="37"/>
  <c r="G379" i="35"/>
  <c r="G368" i="35"/>
  <c r="G372" i="35"/>
  <c r="G376" i="35"/>
  <c r="G365" i="35"/>
  <c r="G369" i="35"/>
  <c r="G373" i="35"/>
  <c r="G377" i="35"/>
  <c r="D139" i="35"/>
  <c r="C21" i="37"/>
  <c r="D381" i="35"/>
  <c r="D365" i="35"/>
  <c r="D377" i="35"/>
  <c r="C22" i="37"/>
  <c r="D366" i="35"/>
  <c r="D370" i="35"/>
  <c r="D374" i="35"/>
  <c r="D378" i="35"/>
  <c r="C23" i="37"/>
  <c r="D379" i="35"/>
  <c r="D367" i="35"/>
  <c r="D371" i="35"/>
  <c r="D375" i="35"/>
  <c r="D380" i="35"/>
  <c r="D368" i="35"/>
  <c r="D372" i="35"/>
  <c r="D376" i="35"/>
  <c r="D369" i="35"/>
  <c r="D373" i="35"/>
  <c r="D70" i="35"/>
  <c r="D186" i="35"/>
  <c r="D18" i="35"/>
  <c r="D117" i="35"/>
  <c r="D68" i="35"/>
  <c r="C11" i="37"/>
  <c r="D231" i="35"/>
  <c r="D100" i="35"/>
  <c r="D21" i="35"/>
  <c r="D88" i="35"/>
  <c r="D151" i="35"/>
  <c r="D339" i="35"/>
  <c r="D127" i="35"/>
  <c r="D2" i="35"/>
  <c r="D123" i="35"/>
  <c r="D11" i="35"/>
  <c r="D31" i="35"/>
  <c r="D259" i="35"/>
  <c r="D38" i="35"/>
  <c r="C20" i="37"/>
  <c r="D188" i="35"/>
  <c r="D7" i="35"/>
  <c r="D174" i="35"/>
  <c r="D92" i="35"/>
  <c r="D301" i="35"/>
  <c r="D93" i="35"/>
  <c r="D111" i="35"/>
  <c r="D77" i="35"/>
  <c r="D362" i="35"/>
  <c r="D293" i="35"/>
  <c r="C2" i="37"/>
  <c r="D257" i="35"/>
  <c r="D233" i="35"/>
  <c r="B24" i="32"/>
  <c r="L19" i="2"/>
  <c r="D207" i="35"/>
  <c r="D305" i="35"/>
  <c r="D193" i="35"/>
  <c r="D198" i="35"/>
  <c r="D84" i="35"/>
  <c r="D57" i="35"/>
  <c r="D361" i="35"/>
  <c r="D258" i="35"/>
  <c r="D60" i="35"/>
  <c r="D42" i="32"/>
  <c r="D28" i="35"/>
  <c r="D9" i="35"/>
  <c r="D203" i="35"/>
  <c r="D82" i="35"/>
  <c r="D340" i="35"/>
  <c r="D290" i="35"/>
  <c r="AB17" i="32"/>
  <c r="L7" i="2" s="1"/>
  <c r="AB47" i="32"/>
  <c r="D323" i="35"/>
  <c r="D204" i="35"/>
  <c r="D102" i="35"/>
  <c r="D190" i="35"/>
  <c r="D6" i="35"/>
  <c r="D197" i="35"/>
  <c r="D234" i="35"/>
  <c r="D345" i="35"/>
  <c r="AB56" i="32"/>
  <c r="AB40" i="32"/>
  <c r="D166" i="1" s="1"/>
  <c r="D273" i="35"/>
  <c r="C3" i="37"/>
  <c r="D124" i="35"/>
  <c r="D12" i="32"/>
  <c r="AB12" i="32" s="1"/>
  <c r="D239" i="35"/>
  <c r="D245" i="35"/>
  <c r="D283" i="35"/>
  <c r="D42" i="35"/>
  <c r="D343" i="35"/>
  <c r="Z27" i="32"/>
  <c r="AB27" i="32" s="1"/>
  <c r="Z24" i="32"/>
  <c r="AB24" i="32" s="1"/>
  <c r="E67" i="35" s="1"/>
  <c r="D309" i="35"/>
  <c r="D148" i="35"/>
  <c r="D76" i="35"/>
  <c r="D297" i="35"/>
  <c r="D313" i="35"/>
  <c r="D209" i="35"/>
  <c r="D223" i="35"/>
  <c r="D22" i="35"/>
  <c r="D182" i="35"/>
  <c r="D39" i="35"/>
  <c r="Y33" i="32"/>
  <c r="D20" i="35"/>
  <c r="D105" i="35"/>
  <c r="D280" i="35"/>
  <c r="D191" i="35"/>
  <c r="D26" i="35"/>
  <c r="D355" i="35"/>
  <c r="D270" i="35"/>
  <c r="D329" i="35"/>
  <c r="D29" i="35"/>
  <c r="D363" i="35"/>
  <c r="D108" i="35"/>
  <c r="D265" i="35"/>
  <c r="N5" i="1"/>
  <c r="D348" i="35"/>
  <c r="C6" i="37"/>
  <c r="D238" i="35"/>
  <c r="D299" i="35"/>
  <c r="D217" i="35"/>
  <c r="D278" i="35"/>
  <c r="D349" i="35"/>
  <c r="D44" i="35"/>
  <c r="D227" i="35"/>
  <c r="D178" i="35"/>
  <c r="D81" i="35"/>
  <c r="D107" i="35"/>
  <c r="D78" i="35"/>
  <c r="D35" i="35"/>
  <c r="D317" i="35"/>
  <c r="D62" i="35"/>
  <c r="D214" i="35"/>
  <c r="D79" i="35"/>
  <c r="D310" i="35"/>
  <c r="D337" i="35"/>
  <c r="D137" i="35"/>
  <c r="D256" i="35"/>
  <c r="D350" i="35"/>
  <c r="D89" i="35"/>
  <c r="D316" i="35"/>
  <c r="D152" i="35"/>
  <c r="C42" i="14"/>
  <c r="C38" i="14"/>
  <c r="C34" i="14"/>
  <c r="C30" i="14"/>
  <c r="C26" i="14"/>
  <c r="C22" i="14"/>
  <c r="C87" i="14"/>
  <c r="C74" i="14"/>
  <c r="C70" i="14"/>
  <c r="C66" i="14"/>
  <c r="C61" i="14"/>
  <c r="C57" i="14"/>
  <c r="C53" i="14"/>
  <c r="C49" i="14"/>
  <c r="C63" i="14"/>
  <c r="C86" i="14"/>
  <c r="C82" i="14"/>
  <c r="C25" i="14"/>
  <c r="C77" i="14"/>
  <c r="C73" i="14"/>
  <c r="C69" i="14"/>
  <c r="C65" i="14"/>
  <c r="C60" i="14"/>
  <c r="C56" i="14"/>
  <c r="C52" i="14"/>
  <c r="C48" i="14"/>
  <c r="C85" i="14"/>
  <c r="C81" i="14"/>
  <c r="C44" i="14"/>
  <c r="C40" i="14"/>
  <c r="C36" i="14"/>
  <c r="C32" i="14"/>
  <c r="C28" i="14"/>
  <c r="C24" i="14"/>
  <c r="C76" i="14"/>
  <c r="C72" i="14"/>
  <c r="C68" i="14"/>
  <c r="C64" i="14"/>
  <c r="C59" i="14"/>
  <c r="C55" i="14"/>
  <c r="D55" i="14"/>
  <c r="C51" i="14"/>
  <c r="C47" i="14"/>
  <c r="C84" i="14"/>
  <c r="C80" i="14"/>
  <c r="H274" i="35"/>
  <c r="H251" i="35"/>
  <c r="H248" i="35"/>
  <c r="H224" i="35"/>
  <c r="H221" i="35"/>
  <c r="H218" i="35"/>
  <c r="H196" i="35"/>
  <c r="H173" i="35"/>
  <c r="H159" i="35"/>
  <c r="H130" i="35"/>
  <c r="C43" i="14"/>
  <c r="D39" i="14"/>
  <c r="C39" i="14"/>
  <c r="C31" i="14"/>
  <c r="C27" i="14"/>
  <c r="C75" i="14"/>
  <c r="C71" i="14"/>
  <c r="C67" i="14"/>
  <c r="C62" i="14"/>
  <c r="C58" i="14"/>
  <c r="C54" i="14"/>
  <c r="C50" i="14"/>
  <c r="C46" i="14"/>
  <c r="C83" i="14"/>
  <c r="C79" i="14"/>
  <c r="D336" i="35"/>
  <c r="H342" i="35"/>
  <c r="C14" i="1"/>
  <c r="D248" i="35"/>
  <c r="D224" i="35"/>
  <c r="D196" i="35"/>
  <c r="D159" i="35"/>
  <c r="D130" i="35"/>
  <c r="D342" i="35"/>
  <c r="D274" i="35"/>
  <c r="D251" i="35"/>
  <c r="D221" i="35"/>
  <c r="D218" i="35"/>
  <c r="D173" i="35"/>
  <c r="D66" i="35"/>
  <c r="D295" i="35"/>
  <c r="AB49" i="32"/>
  <c r="K44" i="36" s="1"/>
  <c r="AB20" i="32"/>
  <c r="C7" i="36" s="1"/>
  <c r="G359" i="35"/>
  <c r="G342" i="35"/>
  <c r="G274" i="35"/>
  <c r="G251" i="35"/>
  <c r="G248" i="35"/>
  <c r="G224" i="35"/>
  <c r="G221" i="35"/>
  <c r="G218" i="35"/>
  <c r="G196" i="35"/>
  <c r="G173" i="35"/>
  <c r="G159" i="35"/>
  <c r="G130" i="35"/>
  <c r="G66" i="35"/>
  <c r="D41" i="35"/>
  <c r="D140" i="35"/>
  <c r="D56" i="35"/>
  <c r="D181" i="35"/>
  <c r="D243" i="35"/>
  <c r="D331" i="35"/>
  <c r="D298" i="35"/>
  <c r="D205" i="35"/>
  <c r="D126" i="35"/>
  <c r="C18" i="37"/>
  <c r="D328" i="35"/>
  <c r="D128" i="35"/>
  <c r="D263" i="35"/>
  <c r="D87" i="35"/>
  <c r="D15" i="35"/>
  <c r="D307" i="35"/>
  <c r="D269" i="35"/>
  <c r="D333" i="35"/>
  <c r="D171" i="35"/>
  <c r="D46" i="35"/>
  <c r="D240" i="35"/>
  <c r="D27" i="35"/>
  <c r="D168" i="35"/>
  <c r="D180" i="35"/>
  <c r="D58" i="35"/>
  <c r="D4" i="35"/>
  <c r="D296" i="35"/>
  <c r="D300" i="35"/>
  <c r="D315" i="35"/>
  <c r="D30" i="35"/>
  <c r="D37" i="35"/>
  <c r="D341" i="35"/>
  <c r="D80" i="35"/>
  <c r="D142" i="35"/>
  <c r="D65" i="35"/>
  <c r="D244" i="35"/>
  <c r="D321" i="35"/>
  <c r="D155" i="35"/>
  <c r="D61" i="35"/>
  <c r="D208" i="35"/>
  <c r="D318" i="35"/>
  <c r="D200" i="35"/>
  <c r="D125" i="35"/>
  <c r="D3" i="35"/>
  <c r="D277" i="35"/>
  <c r="D254" i="35"/>
  <c r="D250" i="35"/>
  <c r="D219" i="35"/>
  <c r="D50" i="35"/>
  <c r="D286" i="35"/>
  <c r="D97" i="35"/>
  <c r="D49" i="35"/>
  <c r="D351" i="35"/>
  <c r="D161" i="35"/>
  <c r="D187" i="35"/>
  <c r="C7" i="37"/>
  <c r="D356" i="35"/>
  <c r="D164" i="35"/>
  <c r="D63" i="35"/>
  <c r="C19" i="37"/>
  <c r="D118" i="35"/>
  <c r="C15" i="37"/>
  <c r="D145" i="35"/>
  <c r="D249" i="35"/>
  <c r="D241" i="35"/>
  <c r="C9" i="37"/>
  <c r="D195" i="35"/>
  <c r="D229" i="35"/>
  <c r="D86" i="35"/>
  <c r="D146" i="35"/>
  <c r="D103" i="35"/>
  <c r="D120" i="35"/>
  <c r="D10" i="35"/>
  <c r="D360" i="35"/>
  <c r="D74" i="35"/>
  <c r="D199" i="35"/>
  <c r="D247" i="35"/>
  <c r="D275" i="35"/>
  <c r="D302" i="35"/>
  <c r="D99" i="35"/>
  <c r="D179" i="35"/>
  <c r="D72" i="35"/>
  <c r="D326" i="35"/>
  <c r="D52" i="35"/>
  <c r="D96" i="35"/>
  <c r="D364" i="35"/>
  <c r="D225" i="35"/>
  <c r="AB8" i="32"/>
  <c r="G348" i="38"/>
  <c r="G306" i="38"/>
  <c r="G283" i="38"/>
  <c r="G297" i="38"/>
  <c r="G313" i="38"/>
  <c r="G270" i="38"/>
  <c r="G315" i="38"/>
  <c r="G268" i="38"/>
  <c r="G335" i="38"/>
  <c r="G299" i="38"/>
  <c r="G275" i="38"/>
  <c r="G330" i="38"/>
  <c r="G301" i="38"/>
  <c r="G307" i="38"/>
  <c r="G287" i="38"/>
  <c r="G295" i="38"/>
  <c r="G274" i="38"/>
  <c r="G308" i="38"/>
  <c r="G310" i="38"/>
  <c r="G345" i="38"/>
  <c r="G273" i="38"/>
  <c r="G339" i="38"/>
  <c r="G311" i="38"/>
  <c r="G302" i="38"/>
  <c r="G305" i="38"/>
  <c r="G319" i="38"/>
  <c r="G324" i="38"/>
  <c r="G317" i="38"/>
  <c r="G285" i="38"/>
  <c r="G326" i="38"/>
  <c r="G267" i="38"/>
  <c r="G298" i="38"/>
  <c r="G347" i="38"/>
  <c r="G321" i="38"/>
  <c r="G291" i="38"/>
  <c r="G323" i="38"/>
  <c r="G342" i="38"/>
  <c r="G312" i="38"/>
  <c r="G341" i="38"/>
  <c r="G334" i="38"/>
  <c r="G333" i="38"/>
  <c r="G318" i="38"/>
  <c r="G290" i="38"/>
  <c r="G340" i="38"/>
  <c r="G288" i="38"/>
  <c r="G296" i="38"/>
  <c r="G331" i="38"/>
  <c r="G260" i="38"/>
  <c r="G338" i="38"/>
  <c r="G272" i="38"/>
  <c r="G327" i="38"/>
  <c r="G292" i="38"/>
  <c r="G289" i="38"/>
  <c r="G332" i="38"/>
  <c r="G346" i="38"/>
  <c r="G278" i="38"/>
  <c r="G328" i="38"/>
  <c r="G337" i="38"/>
  <c r="G320" i="38"/>
  <c r="G266" i="38"/>
  <c r="G314" i="38"/>
  <c r="G286" i="38"/>
  <c r="G269" i="38"/>
  <c r="G300" i="38"/>
  <c r="G343" i="38"/>
  <c r="G264" i="38"/>
  <c r="G304" i="38"/>
  <c r="G309" i="38"/>
  <c r="G284" i="38"/>
  <c r="G293" i="38"/>
  <c r="G276" i="38"/>
  <c r="G280" i="38"/>
  <c r="G282" i="38"/>
  <c r="G303" i="38"/>
  <c r="G262" i="38"/>
  <c r="G265" i="38"/>
  <c r="G277" i="38"/>
  <c r="G271" i="38"/>
  <c r="G349" i="38"/>
  <c r="G294" i="38"/>
  <c r="G316" i="38"/>
  <c r="G336" i="38"/>
  <c r="G325" i="38"/>
  <c r="G344" i="38"/>
  <c r="G322" i="38"/>
  <c r="G329" i="38"/>
  <c r="G261" i="38"/>
  <c r="D27" i="38"/>
  <c r="E334" i="38"/>
  <c r="E315" i="38"/>
  <c r="E376" i="38"/>
  <c r="F205" i="38"/>
  <c r="F249" i="38"/>
  <c r="F265" i="38"/>
  <c r="F201" i="38"/>
  <c r="D123" i="38"/>
  <c r="F293" i="38"/>
  <c r="D21" i="38"/>
  <c r="D121" i="38"/>
  <c r="D63" i="38"/>
  <c r="E397" i="38"/>
  <c r="D133" i="38"/>
  <c r="D34" i="38"/>
  <c r="E333" i="38"/>
  <c r="E380" i="38"/>
  <c r="E303" i="38"/>
  <c r="D67" i="38"/>
  <c r="E387" i="38"/>
  <c r="F272" i="38"/>
  <c r="D59" i="38"/>
  <c r="E309" i="38"/>
  <c r="E400" i="38"/>
  <c r="F202" i="38"/>
  <c r="E364" i="38"/>
  <c r="D125" i="38"/>
  <c r="D110" i="38"/>
  <c r="E332" i="38"/>
  <c r="D36" i="38"/>
  <c r="D38" i="38"/>
  <c r="F227" i="38"/>
  <c r="F282" i="38"/>
  <c r="F222" i="38"/>
  <c r="E379" i="38"/>
  <c r="E306" i="38"/>
  <c r="E356" i="38"/>
  <c r="D44" i="38"/>
  <c r="F269" i="38"/>
  <c r="F262" i="38"/>
  <c r="E374" i="38"/>
  <c r="F223" i="38"/>
  <c r="E366" i="38"/>
  <c r="F276" i="38"/>
  <c r="F277" i="38"/>
  <c r="F299" i="38"/>
  <c r="E325" i="38"/>
  <c r="E355" i="38"/>
  <c r="E327" i="38"/>
  <c r="F238" i="38"/>
  <c r="D53" i="38"/>
  <c r="F287" i="38"/>
  <c r="F220" i="38"/>
  <c r="E305" i="38"/>
  <c r="F291" i="38"/>
  <c r="D33" i="38"/>
  <c r="F241" i="38"/>
  <c r="E375" i="38"/>
  <c r="E361" i="38"/>
  <c r="D104" i="38"/>
  <c r="E348" i="38"/>
  <c r="D61" i="38"/>
  <c r="E360" i="38"/>
  <c r="D54" i="38"/>
  <c r="D64" i="38"/>
  <c r="D114" i="38"/>
  <c r="E367" i="38"/>
  <c r="D111" i="38"/>
  <c r="D48" i="38"/>
  <c r="E335" i="38"/>
  <c r="E398" i="38"/>
  <c r="E394" i="38"/>
  <c r="E369" i="38"/>
  <c r="D23" i="38"/>
  <c r="E314" i="38"/>
  <c r="D40" i="38"/>
  <c r="D119" i="38"/>
  <c r="E329" i="38"/>
  <c r="E395" i="38"/>
  <c r="F224" i="38"/>
  <c r="F235" i="38"/>
  <c r="E390" i="38"/>
  <c r="E313" i="38"/>
  <c r="D116" i="38"/>
  <c r="D127" i="38"/>
  <c r="E391" i="38"/>
  <c r="D52" i="38"/>
  <c r="D60" i="38"/>
  <c r="E359" i="38"/>
  <c r="F214" i="38"/>
  <c r="F206" i="38"/>
  <c r="E342" i="38"/>
  <c r="E385" i="38"/>
  <c r="D126" i="38"/>
  <c r="E317" i="38"/>
  <c r="E346" i="38"/>
  <c r="F279" i="38"/>
  <c r="E378" i="38"/>
  <c r="E344" i="38"/>
  <c r="E328" i="38"/>
  <c r="D31" i="38"/>
  <c r="E312" i="38"/>
  <c r="F242" i="38"/>
  <c r="F261" i="38"/>
  <c r="F297" i="38"/>
  <c r="F219" i="38"/>
  <c r="F210" i="38"/>
  <c r="D35" i="38"/>
  <c r="F237" i="38"/>
  <c r="F217" i="38"/>
  <c r="E350" i="38"/>
  <c r="D108" i="38"/>
  <c r="D103" i="38"/>
  <c r="D118" i="38"/>
  <c r="D30" i="38"/>
  <c r="D134" i="38"/>
  <c r="D128" i="38"/>
  <c r="E349" i="38"/>
  <c r="F260" i="38"/>
  <c r="F264" i="38"/>
  <c r="E384" i="38"/>
  <c r="F216" i="38"/>
  <c r="E300" i="38"/>
  <c r="E354" i="38"/>
  <c r="D28" i="38"/>
  <c r="D45" i="38"/>
  <c r="E389" i="38"/>
  <c r="E377" i="38"/>
  <c r="E311" i="38"/>
  <c r="E352" i="38"/>
  <c r="F215" i="38"/>
  <c r="F207" i="38"/>
  <c r="E358" i="38"/>
  <c r="D122" i="38"/>
  <c r="E316" i="38"/>
  <c r="F286" i="38"/>
  <c r="E321" i="38"/>
  <c r="D39" i="38"/>
  <c r="D138" i="38"/>
  <c r="F218" i="38"/>
  <c r="E357" i="38"/>
  <c r="F258" i="38"/>
  <c r="F267" i="38"/>
  <c r="F285" i="38"/>
  <c r="F213" i="38"/>
  <c r="E310" i="38"/>
  <c r="D58" i="38"/>
  <c r="F247" i="38"/>
  <c r="D129" i="38"/>
  <c r="D68" i="38"/>
  <c r="D120" i="38"/>
  <c r="F229" i="38"/>
  <c r="D135" i="38"/>
  <c r="D66" i="38"/>
  <c r="E345" i="38"/>
  <c r="F271" i="38"/>
  <c r="E353" i="38"/>
  <c r="E382" i="38"/>
  <c r="E339" i="38"/>
  <c r="F295" i="38"/>
  <c r="F252" i="38"/>
  <c r="F209" i="38"/>
  <c r="F257" i="38"/>
  <c r="D55" i="38"/>
  <c r="E302" i="38"/>
  <c r="E396" i="38"/>
  <c r="E307" i="38"/>
  <c r="E338" i="38"/>
  <c r="F275" i="38"/>
  <c r="F232" i="38"/>
  <c r="D46" i="38"/>
  <c r="F230" i="38"/>
  <c r="E337" i="38"/>
  <c r="D43" i="38"/>
  <c r="F204" i="38"/>
  <c r="E362" i="38"/>
  <c r="D112" i="38"/>
  <c r="E371" i="38"/>
  <c r="F228" i="38"/>
  <c r="F300" i="38"/>
  <c r="D109" i="38"/>
  <c r="F233" i="38"/>
  <c r="F273" i="38"/>
  <c r="D106" i="38"/>
  <c r="E386" i="38"/>
  <c r="F250" i="38"/>
  <c r="D102" i="38"/>
  <c r="F251" i="38"/>
  <c r="D29" i="38"/>
  <c r="D25" i="38"/>
  <c r="D37" i="38"/>
  <c r="F236" i="38"/>
  <c r="F292" i="38"/>
  <c r="E341" i="38"/>
  <c r="E340" i="38"/>
  <c r="D132" i="38"/>
  <c r="D65" i="38"/>
  <c r="F266" i="38"/>
  <c r="D47" i="38"/>
  <c r="F263" i="38"/>
  <c r="E370" i="38"/>
  <c r="F254" i="38"/>
  <c r="D24" i="38"/>
  <c r="D107" i="38"/>
  <c r="F244" i="38"/>
  <c r="F221" i="38"/>
  <c r="E336" i="38"/>
  <c r="E301" i="38"/>
  <c r="F274" i="38"/>
  <c r="F278" i="38"/>
  <c r="F234" i="38"/>
  <c r="F268" i="38"/>
  <c r="F245" i="38"/>
  <c r="D101" i="38"/>
  <c r="F283" i="38"/>
  <c r="E399" i="38"/>
  <c r="D105" i="38"/>
  <c r="E347" i="38"/>
  <c r="D130" i="38"/>
  <c r="E308" i="38"/>
  <c r="E363" i="38"/>
  <c r="F208" i="38"/>
  <c r="E392" i="38"/>
  <c r="E331" i="38"/>
  <c r="D124" i="38"/>
  <c r="D136" i="38"/>
  <c r="D51" i="38"/>
  <c r="E323" i="38"/>
  <c r="E320" i="38"/>
  <c r="F243" i="38"/>
  <c r="F284" i="38"/>
  <c r="F226" i="38"/>
  <c r="F231" i="38"/>
  <c r="E351" i="38"/>
  <c r="E304" i="38"/>
  <c r="D57" i="38"/>
  <c r="F296" i="38"/>
  <c r="D117" i="38"/>
  <c r="F256" i="38"/>
  <c r="F281" i="38"/>
  <c r="F248" i="38"/>
  <c r="D26" i="38"/>
  <c r="E393" i="38"/>
  <c r="D115" i="38"/>
  <c r="F212" i="38"/>
  <c r="F289" i="38"/>
  <c r="E330" i="38"/>
  <c r="D50" i="38"/>
  <c r="D32" i="38"/>
  <c r="D42" i="38"/>
  <c r="E322" i="38"/>
  <c r="F255" i="38"/>
  <c r="E319" i="38"/>
  <c r="E373" i="38"/>
  <c r="F270" i="38"/>
  <c r="F225" i="38"/>
  <c r="D62" i="38"/>
  <c r="E343" i="38"/>
  <c r="E372" i="38"/>
  <c r="F203" i="38"/>
  <c r="F290" i="38"/>
  <c r="F298" i="38"/>
  <c r="E324" i="38"/>
  <c r="F280" i="38"/>
  <c r="F259" i="38"/>
  <c r="E388" i="38"/>
  <c r="F253" i="38"/>
  <c r="D113" i="38"/>
  <c r="F288" i="38"/>
  <c r="F211" i="38"/>
  <c r="D137" i="38"/>
  <c r="D22" i="38"/>
  <c r="D56" i="38"/>
  <c r="F294" i="38"/>
  <c r="F239" i="38"/>
  <c r="E383" i="38"/>
  <c r="E326" i="38"/>
  <c r="D49" i="38"/>
  <c r="F246" i="38"/>
  <c r="E368" i="38"/>
  <c r="E318" i="38"/>
  <c r="D41" i="38"/>
  <c r="E381" i="38"/>
  <c r="E365" i="38"/>
  <c r="D131" i="38"/>
  <c r="F240" i="38"/>
  <c r="M21" i="1" l="1"/>
  <c r="C11" i="1"/>
  <c r="C11" i="2"/>
  <c r="C11" i="8"/>
  <c r="C11" i="14"/>
  <c r="C11" i="36"/>
  <c r="M161" i="1"/>
  <c r="C51" i="11"/>
  <c r="G95" i="14"/>
  <c r="K57" i="10"/>
  <c r="G44" i="36"/>
  <c r="G91" i="8"/>
  <c r="D51" i="11"/>
  <c r="D50" i="11"/>
  <c r="D49" i="11"/>
  <c r="L167" i="1"/>
  <c r="K148" i="2"/>
  <c r="H167" i="1"/>
  <c r="G148" i="2"/>
  <c r="E55" i="10"/>
  <c r="D94" i="14"/>
  <c r="C12" i="2"/>
  <c r="C13" i="1"/>
  <c r="D13" i="10"/>
  <c r="C13" i="8"/>
  <c r="C13" i="14"/>
  <c r="C13" i="2"/>
  <c r="Y5" i="32"/>
  <c r="C13" i="36"/>
  <c r="F453" i="34"/>
  <c r="G58" i="31"/>
  <c r="G59" i="31"/>
  <c r="C16" i="8" s="1"/>
  <c r="C12" i="1"/>
  <c r="C12" i="36"/>
  <c r="C12" i="8"/>
  <c r="C12" i="14"/>
  <c r="J95" i="14"/>
  <c r="K91" i="8"/>
  <c r="G57" i="31"/>
  <c r="C16" i="1" s="1"/>
  <c r="I437" i="34"/>
  <c r="AB64" i="32"/>
  <c r="E401" i="35"/>
  <c r="E405" i="35"/>
  <c r="E385" i="35"/>
  <c r="E389" i="35"/>
  <c r="E393" i="35"/>
  <c r="E397" i="35"/>
  <c r="E400" i="35"/>
  <c r="E408" i="35"/>
  <c r="E384" i="35"/>
  <c r="E392" i="35"/>
  <c r="E402" i="35"/>
  <c r="E406" i="35"/>
  <c r="E382" i="35"/>
  <c r="E386" i="35"/>
  <c r="E390" i="35"/>
  <c r="E394" i="35"/>
  <c r="E398" i="35"/>
  <c r="E403" i="35"/>
  <c r="E407" i="35"/>
  <c r="E383" i="35"/>
  <c r="E387" i="35"/>
  <c r="E391" i="35"/>
  <c r="E395" i="35"/>
  <c r="E399" i="35"/>
  <c r="E404" i="35"/>
  <c r="E388" i="35"/>
  <c r="E396" i="35"/>
  <c r="Y3" i="33"/>
  <c r="I453" i="34" s="1"/>
  <c r="D33" i="37"/>
  <c r="D32" i="37"/>
  <c r="D28" i="37"/>
  <c r="D31" i="37"/>
  <c r="D27" i="37"/>
  <c r="E69" i="35"/>
  <c r="D29" i="37"/>
  <c r="D34" i="37"/>
  <c r="D25" i="37"/>
  <c r="D30" i="37"/>
  <c r="D26" i="37"/>
  <c r="D48" i="11"/>
  <c r="D22" i="1"/>
  <c r="D21" i="1"/>
  <c r="J1" i="33"/>
  <c r="C7" i="14"/>
  <c r="C7" i="2"/>
  <c r="D7" i="10"/>
  <c r="C7" i="8"/>
  <c r="D148" i="2"/>
  <c r="D92" i="8"/>
  <c r="E57" i="10"/>
  <c r="D96" i="14"/>
  <c r="D45" i="36"/>
  <c r="P7" i="10"/>
  <c r="L7" i="8"/>
  <c r="K7" i="14"/>
  <c r="L7" i="36"/>
  <c r="L9" i="2"/>
  <c r="Q9" i="10"/>
  <c r="L9" i="8"/>
  <c r="K9" i="14"/>
  <c r="L9" i="36"/>
  <c r="O56" i="10"/>
  <c r="C10" i="14"/>
  <c r="C10" i="2"/>
  <c r="C10" i="36"/>
  <c r="C10" i="8"/>
  <c r="D10" i="10"/>
  <c r="D146" i="2"/>
  <c r="D43" i="36"/>
  <c r="D90" i="8"/>
  <c r="D8" i="8"/>
  <c r="D8" i="36"/>
  <c r="E8" i="10"/>
  <c r="D8" i="14"/>
  <c r="D8" i="2"/>
  <c r="E249" i="35"/>
  <c r="E218" i="35"/>
  <c r="E160" i="35"/>
  <c r="Z5" i="32"/>
  <c r="F425" i="34"/>
  <c r="D25" i="10" s="1"/>
  <c r="F421" i="34"/>
  <c r="E225" i="35"/>
  <c r="D35" i="37"/>
  <c r="D24" i="37"/>
  <c r="D8" i="1"/>
  <c r="E42" i="35"/>
  <c r="E138" i="35"/>
  <c r="E28" i="35"/>
  <c r="E126" i="35"/>
  <c r="E229" i="35"/>
  <c r="D17" i="37"/>
  <c r="E301" i="35"/>
  <c r="D6" i="37"/>
  <c r="M83" i="1"/>
  <c r="E216" i="35"/>
  <c r="E342" i="35"/>
  <c r="E45" i="35"/>
  <c r="E167" i="35"/>
  <c r="E94" i="35"/>
  <c r="E70" i="35"/>
  <c r="E155" i="35"/>
  <c r="E66" i="35"/>
  <c r="E50" i="35"/>
  <c r="E257" i="35"/>
  <c r="E187" i="35"/>
  <c r="E23" i="35"/>
  <c r="E188" i="35"/>
  <c r="E238" i="35"/>
  <c r="E196" i="35"/>
  <c r="E324" i="35"/>
  <c r="E209" i="35"/>
  <c r="E305" i="35"/>
  <c r="E17" i="35"/>
  <c r="E260" i="35"/>
  <c r="E234" i="35"/>
  <c r="E91" i="35"/>
  <c r="E110" i="35"/>
  <c r="E299" i="35"/>
  <c r="E248" i="35"/>
  <c r="E337" i="35"/>
  <c r="E206" i="35"/>
  <c r="E100" i="35"/>
  <c r="E325" i="35"/>
  <c r="L9" i="1"/>
  <c r="E19" i="35"/>
  <c r="E236" i="35"/>
  <c r="E99" i="35"/>
  <c r="E83" i="35"/>
  <c r="E183" i="35"/>
  <c r="E351" i="35"/>
  <c r="E226" i="35"/>
  <c r="D13" i="37"/>
  <c r="E22" i="35"/>
  <c r="E356" i="35"/>
  <c r="E272" i="35"/>
  <c r="E284" i="35"/>
  <c r="E173" i="35"/>
  <c r="E251" i="35"/>
  <c r="E269" i="35"/>
  <c r="E333" i="35"/>
  <c r="E108" i="35"/>
  <c r="E58" i="35"/>
  <c r="E129" i="35"/>
  <c r="E11" i="35"/>
  <c r="E16" i="35"/>
  <c r="E244" i="35"/>
  <c r="E43" i="35"/>
  <c r="E174" i="35"/>
  <c r="E115" i="35"/>
  <c r="E344" i="35"/>
  <c r="E315" i="35"/>
  <c r="E283" i="35"/>
  <c r="D12" i="37"/>
  <c r="E131" i="35"/>
  <c r="E348" i="35"/>
  <c r="E240" i="35"/>
  <c r="E77" i="35"/>
  <c r="E82" i="35"/>
  <c r="E329" i="35"/>
  <c r="E294" i="35"/>
  <c r="D8" i="37"/>
  <c r="E243" i="35"/>
  <c r="E304" i="35"/>
  <c r="E199" i="35"/>
  <c r="E247" i="35"/>
  <c r="E137" i="35"/>
  <c r="E275" i="35"/>
  <c r="E130" i="35"/>
  <c r="E224" i="35"/>
  <c r="E331" i="35"/>
  <c r="D5" i="37"/>
  <c r="E273" i="35"/>
  <c r="E316" i="35"/>
  <c r="E345" i="35"/>
  <c r="E217" i="35"/>
  <c r="E289" i="35"/>
  <c r="E186" i="35"/>
  <c r="E168" i="35"/>
  <c r="E31" i="35"/>
  <c r="E180" i="35"/>
  <c r="E189" i="35"/>
  <c r="E25" i="35"/>
  <c r="E59" i="35"/>
  <c r="D20" i="37"/>
  <c r="E8" i="35"/>
  <c r="E145" i="35"/>
  <c r="E254" i="35"/>
  <c r="E5" i="35"/>
  <c r="E24" i="35"/>
  <c r="E205" i="35"/>
  <c r="E49" i="35"/>
  <c r="E118" i="35"/>
  <c r="E93" i="35"/>
  <c r="E111" i="35"/>
  <c r="E327" i="35"/>
  <c r="E159" i="35"/>
  <c r="E221" i="35"/>
  <c r="E274" i="35"/>
  <c r="D9" i="37"/>
  <c r="E81" i="35"/>
  <c r="E121" i="35"/>
  <c r="E156" i="35"/>
  <c r="E200" i="35"/>
  <c r="D7" i="37"/>
  <c r="E197" i="35"/>
  <c r="E227" i="35"/>
  <c r="D14" i="37"/>
  <c r="E293" i="35"/>
  <c r="E193" i="35"/>
  <c r="E147" i="35"/>
  <c r="E125" i="35"/>
  <c r="E201" i="35"/>
  <c r="E73" i="35"/>
  <c r="E194" i="35"/>
  <c r="E271" i="35"/>
  <c r="E119" i="35"/>
  <c r="E61" i="35"/>
  <c r="E128" i="35"/>
  <c r="D4" i="37"/>
  <c r="E363" i="35"/>
  <c r="E56" i="35"/>
  <c r="E74" i="35"/>
  <c r="E102" i="35"/>
  <c r="F435" i="34"/>
  <c r="F441" i="34"/>
  <c r="D44" i="10" s="1"/>
  <c r="E87" i="35"/>
  <c r="E135" i="35"/>
  <c r="E63" i="35"/>
  <c r="E277" i="35"/>
  <c r="E120" i="35"/>
  <c r="E169" i="35"/>
  <c r="E266" i="35"/>
  <c r="E207" i="35"/>
  <c r="E314" i="35"/>
  <c r="E104" i="35"/>
  <c r="E335" i="35"/>
  <c r="E307" i="35"/>
  <c r="D21" i="37"/>
  <c r="E371" i="35"/>
  <c r="D22" i="37"/>
  <c r="E379" i="35"/>
  <c r="E368" i="35"/>
  <c r="E372" i="35"/>
  <c r="E376" i="35"/>
  <c r="D23" i="37"/>
  <c r="E380" i="35"/>
  <c r="E365" i="35"/>
  <c r="E369" i="35"/>
  <c r="E373" i="35"/>
  <c r="E377" i="35"/>
  <c r="E381" i="35"/>
  <c r="E366" i="35"/>
  <c r="E370" i="35"/>
  <c r="E374" i="35"/>
  <c r="E378" i="35"/>
  <c r="E367" i="35"/>
  <c r="E375" i="35"/>
  <c r="E235" i="35"/>
  <c r="N7" i="1"/>
  <c r="E141" i="35"/>
  <c r="E292" i="35"/>
  <c r="E192" i="35"/>
  <c r="E276" i="35"/>
  <c r="E338" i="35"/>
  <c r="E85" i="35"/>
  <c r="E246" i="35"/>
  <c r="E309" i="35"/>
  <c r="E144" i="35"/>
  <c r="E54" i="35"/>
  <c r="E97" i="35"/>
  <c r="E98" i="35"/>
  <c r="E4" i="35"/>
  <c r="D18" i="37"/>
  <c r="E242" i="35"/>
  <c r="E355" i="35"/>
  <c r="E267" i="35"/>
  <c r="E279" i="35"/>
  <c r="E150" i="35"/>
  <c r="E328" i="35"/>
  <c r="E68" i="35"/>
  <c r="E72" i="35"/>
  <c r="E231" i="35"/>
  <c r="E171" i="35"/>
  <c r="E75" i="35"/>
  <c r="E302" i="35"/>
  <c r="E184" i="35"/>
  <c r="E79" i="35"/>
  <c r="E164" i="35"/>
  <c r="E291" i="35"/>
  <c r="E195" i="35"/>
  <c r="E170" i="35"/>
  <c r="E14" i="35"/>
  <c r="E256" i="35"/>
  <c r="E114" i="35"/>
  <c r="E65" i="35"/>
  <c r="E152" i="35"/>
  <c r="E124" i="35"/>
  <c r="E352" i="35"/>
  <c r="E44" i="35"/>
  <c r="E312" i="35"/>
  <c r="E172" i="35"/>
  <c r="D2" i="37"/>
  <c r="E47" i="35"/>
  <c r="E332" i="35"/>
  <c r="E163" i="35"/>
  <c r="E354" i="35"/>
  <c r="D16" i="37"/>
  <c r="E185" i="35"/>
  <c r="E52" i="35"/>
  <c r="E32" i="35"/>
  <c r="E90" i="35"/>
  <c r="E78" i="35"/>
  <c r="E346" i="35"/>
  <c r="D10" i="37"/>
  <c r="E359" i="35"/>
  <c r="E349" i="35"/>
  <c r="E84" i="35"/>
  <c r="E353" i="35"/>
  <c r="E29" i="35"/>
  <c r="E347" i="35"/>
  <c r="E290" i="35"/>
  <c r="E36" i="35"/>
  <c r="E268" i="35"/>
  <c r="E317" i="35"/>
  <c r="E263" i="35"/>
  <c r="E122" i="35"/>
  <c r="E296" i="35"/>
  <c r="E286" i="35"/>
  <c r="E261" i="35"/>
  <c r="E64" i="35"/>
  <c r="E241" i="35"/>
  <c r="E178" i="35"/>
  <c r="E33" i="35"/>
  <c r="E107" i="35"/>
  <c r="E176" i="35"/>
  <c r="E161" i="35"/>
  <c r="E278" i="35"/>
  <c r="D3" i="37"/>
  <c r="E95" i="35"/>
  <c r="E334" i="35"/>
  <c r="E280" i="35"/>
  <c r="E320" i="35"/>
  <c r="E336" i="35"/>
  <c r="E41" i="35"/>
  <c r="E360" i="35"/>
  <c r="E281" i="35"/>
  <c r="E323" i="35"/>
  <c r="E258" i="35"/>
  <c r="E358" i="35"/>
  <c r="E51" i="35"/>
  <c r="E123" i="35"/>
  <c r="E46" i="35"/>
  <c r="E92" i="35"/>
  <c r="E311" i="35"/>
  <c r="E39" i="35"/>
  <c r="E2" i="35"/>
  <c r="E103" i="35"/>
  <c r="E48" i="35"/>
  <c r="E157" i="35"/>
  <c r="D11" i="37"/>
  <c r="E146" i="35"/>
  <c r="E175" i="35"/>
  <c r="E34" i="35"/>
  <c r="E211" i="35"/>
  <c r="E297" i="35"/>
  <c r="E339" i="35"/>
  <c r="E37" i="35"/>
  <c r="E288" i="35"/>
  <c r="E40" i="35"/>
  <c r="E282" i="35"/>
  <c r="E287" i="35"/>
  <c r="E142" i="35"/>
  <c r="E357" i="35"/>
  <c r="E27" i="35"/>
  <c r="E214" i="35"/>
  <c r="E106" i="35"/>
  <c r="E153" i="35"/>
  <c r="E177" i="35"/>
  <c r="E139" i="35"/>
  <c r="E318" i="35"/>
  <c r="E250" i="35"/>
  <c r="E215" i="35"/>
  <c r="D15" i="37"/>
  <c r="E62" i="35"/>
  <c r="E21" i="35"/>
  <c r="E18" i="35"/>
  <c r="E208" i="35"/>
  <c r="E105" i="35"/>
  <c r="E265" i="35"/>
  <c r="E35" i="35"/>
  <c r="E53" i="35"/>
  <c r="E362" i="35"/>
  <c r="E112" i="35"/>
  <c r="E232" i="35"/>
  <c r="E117" i="35"/>
  <c r="E20" i="35"/>
  <c r="E101" i="35"/>
  <c r="E262" i="35"/>
  <c r="E3" i="35"/>
  <c r="E230" i="35"/>
  <c r="E321" i="35"/>
  <c r="E330" i="35"/>
  <c r="E166" i="35"/>
  <c r="E222" i="35"/>
  <c r="E190" i="35"/>
  <c r="E306" i="35"/>
  <c r="E162" i="35"/>
  <c r="E7" i="35"/>
  <c r="E303" i="35"/>
  <c r="E326" i="35"/>
  <c r="E264" i="35"/>
  <c r="E182" i="35"/>
  <c r="E26" i="35"/>
  <c r="E38" i="35"/>
  <c r="E13" i="35"/>
  <c r="E308" i="35"/>
  <c r="E319" i="35"/>
  <c r="D19" i="37"/>
  <c r="E364" i="35"/>
  <c r="E361" i="35"/>
  <c r="E223" i="35"/>
  <c r="E86" i="35"/>
  <c r="E132" i="35"/>
  <c r="E204" i="35"/>
  <c r="E76" i="35"/>
  <c r="E10" i="35"/>
  <c r="E245" i="35"/>
  <c r="E181" i="35"/>
  <c r="E149" i="35"/>
  <c r="E259" i="35"/>
  <c r="E133" i="35"/>
  <c r="E136" i="35"/>
  <c r="E298" i="35"/>
  <c r="E55" i="35"/>
  <c r="E9" i="35"/>
  <c r="E191" i="35"/>
  <c r="E350" i="35"/>
  <c r="E212" i="35"/>
  <c r="E80" i="35"/>
  <c r="E270" i="35"/>
  <c r="E285" i="35"/>
  <c r="E96" i="35"/>
  <c r="E60" i="35"/>
  <c r="E198" i="35"/>
  <c r="E158" i="35"/>
  <c r="E295" i="35"/>
  <c r="E300" i="35"/>
  <c r="E313" i="35"/>
  <c r="E322" i="35"/>
  <c r="E213" i="35"/>
  <c r="E228" i="35"/>
  <c r="E127" i="35"/>
  <c r="E148" i="35"/>
  <c r="E341" i="35"/>
  <c r="E134" i="35"/>
  <c r="E57" i="35"/>
  <c r="E88" i="35"/>
  <c r="E220" i="35"/>
  <c r="E179" i="35"/>
  <c r="E116" i="35"/>
  <c r="E109" i="35"/>
  <c r="E253" i="35"/>
  <c r="E252" i="35"/>
  <c r="E154" i="35"/>
  <c r="E30" i="35"/>
  <c r="E15" i="35"/>
  <c r="E203" i="35"/>
  <c r="E71" i="35"/>
  <c r="E89" i="35"/>
  <c r="E202" i="35"/>
  <c r="E113" i="35"/>
  <c r="E140" i="35"/>
  <c r="E237" i="35"/>
  <c r="E12" i="35"/>
  <c r="E219" i="35"/>
  <c r="E233" i="35"/>
  <c r="E255" i="35"/>
  <c r="E151" i="35"/>
  <c r="E210" i="35"/>
  <c r="E6" i="35"/>
  <c r="E340" i="35"/>
  <c r="E239" i="35"/>
  <c r="E143" i="35"/>
  <c r="E165" i="35"/>
  <c r="E310" i="35"/>
  <c r="E343" i="35"/>
  <c r="C10" i="1"/>
  <c r="D27" i="10"/>
  <c r="C7" i="1"/>
  <c r="M85" i="1"/>
  <c r="C16" i="36" l="1"/>
  <c r="C16" i="2"/>
  <c r="D50" i="10"/>
  <c r="D51" i="10"/>
  <c r="D53" i="10"/>
  <c r="D52" i="10"/>
  <c r="D42" i="10"/>
  <c r="D43" i="10"/>
  <c r="N21" i="1"/>
  <c r="N86" i="1" s="1"/>
  <c r="D47" i="11" s="1"/>
  <c r="M86" i="1"/>
  <c r="D30" i="10"/>
  <c r="D37" i="10"/>
  <c r="D21" i="10"/>
  <c r="D26" i="10"/>
  <c r="D40" i="10"/>
  <c r="D22" i="10"/>
  <c r="D35" i="10"/>
  <c r="D28" i="10"/>
  <c r="D38" i="10"/>
  <c r="D39" i="10"/>
  <c r="D33" i="10"/>
  <c r="D41" i="10"/>
  <c r="D34" i="10"/>
  <c r="D36" i="10"/>
  <c r="D31" i="10"/>
  <c r="D32" i="10"/>
  <c r="M87" i="1"/>
  <c r="C48" i="11" s="1"/>
  <c r="C47" i="11" l="1"/>
  <c r="O31" i="10" l="1"/>
  <c r="O34" i="10" l="1"/>
  <c r="Q31" i="10"/>
  <c r="O37" i="10" l="1"/>
  <c r="D52" i="11" s="1"/>
  <c r="Q34" i="10"/>
  <c r="Q37" i="10" l="1"/>
  <c r="Q41" i="10" s="1"/>
  <c r="O41" i="10"/>
  <c r="O53" i="10" s="1"/>
  <c r="C53" i="11" s="1"/>
  <c r="Q53" i="10" l="1"/>
  <c r="C49" i="11" l="1"/>
  <c r="C50" i="11"/>
  <c r="K21" i="36"/>
  <c r="K38" i="36" l="1"/>
  <c r="G204" i="38"/>
  <c r="G135" i="38"/>
  <c r="G234" i="38"/>
  <c r="I35" i="38"/>
  <c r="G247" i="38"/>
  <c r="I25" i="38"/>
  <c r="G206" i="38"/>
  <c r="G166" i="38"/>
  <c r="G224" i="38"/>
  <c r="G210" i="38"/>
  <c r="G107" i="38"/>
  <c r="G223" i="38"/>
  <c r="G103" i="38"/>
  <c r="G186" i="38"/>
  <c r="G199" i="38"/>
  <c r="G128" i="38"/>
  <c r="G133" i="38"/>
  <c r="G259" i="38"/>
  <c r="G181" i="38"/>
  <c r="G236" i="38"/>
  <c r="I28" i="38"/>
  <c r="G182" i="38"/>
  <c r="G146" i="38"/>
  <c r="G124" i="38"/>
  <c r="G137" i="38"/>
  <c r="G222" i="38"/>
  <c r="G235" i="38"/>
  <c r="G227" i="38"/>
  <c r="G138" i="38"/>
  <c r="I47" i="38"/>
  <c r="G200" i="38"/>
  <c r="G132" i="38"/>
  <c r="G219" i="38"/>
  <c r="G139" i="38"/>
  <c r="G150" i="38"/>
  <c r="G88" i="38"/>
  <c r="G169" i="38"/>
  <c r="G131" i="38"/>
  <c r="G151" i="38"/>
  <c r="I54" i="38"/>
  <c r="G229" i="38"/>
  <c r="G81" i="38"/>
  <c r="G155" i="38"/>
  <c r="G233" i="38"/>
  <c r="G142" i="38"/>
  <c r="G228" i="38"/>
  <c r="G116" i="38"/>
  <c r="I5" i="38"/>
  <c r="G78" i="38"/>
  <c r="G96" i="38"/>
  <c r="G213" i="38"/>
  <c r="I4" i="38"/>
  <c r="G140" i="38"/>
  <c r="G160" i="38"/>
  <c r="G202" i="38"/>
  <c r="I45" i="38"/>
  <c r="G83" i="38"/>
  <c r="I19" i="38"/>
  <c r="G167" i="38"/>
  <c r="G177" i="38"/>
  <c r="G125" i="38"/>
  <c r="G189" i="38"/>
  <c r="G112" i="38"/>
  <c r="G117" i="38"/>
  <c r="G94" i="38"/>
  <c r="G218" i="38"/>
  <c r="G251" i="38"/>
  <c r="I55" i="38"/>
  <c r="G91" i="38"/>
  <c r="I31" i="38"/>
  <c r="I52" i="38"/>
  <c r="I27" i="38"/>
  <c r="G147" i="38"/>
  <c r="G180" i="38"/>
  <c r="G216" i="38"/>
  <c r="I37" i="38"/>
  <c r="G158" i="38"/>
  <c r="I2" i="38"/>
  <c r="G184" i="38"/>
  <c r="I3" i="38"/>
  <c r="G176" i="38"/>
  <c r="G197" i="38"/>
  <c r="G198" i="38"/>
  <c r="I12" i="38"/>
  <c r="G165" i="38"/>
  <c r="I11" i="38"/>
  <c r="G187" i="38"/>
  <c r="G196" i="38"/>
  <c r="G71" i="38"/>
  <c r="I61" i="38"/>
  <c r="I15" i="38"/>
  <c r="G134" i="38"/>
  <c r="G145" i="38"/>
  <c r="G144" i="38"/>
  <c r="G244" i="38"/>
  <c r="G118" i="38"/>
  <c r="G209" i="38"/>
  <c r="G237" i="38"/>
  <c r="I48" i="38"/>
  <c r="G104" i="38"/>
  <c r="G161" i="38"/>
  <c r="I41" i="38"/>
  <c r="G188" i="38"/>
  <c r="G111" i="38"/>
  <c r="G109" i="38"/>
  <c r="G141" i="38"/>
  <c r="G126" i="38"/>
  <c r="G130" i="38"/>
  <c r="G98" i="38"/>
  <c r="G101" i="38"/>
  <c r="G190" i="38"/>
  <c r="G76" i="38"/>
  <c r="G136" i="38"/>
  <c r="G201" i="38"/>
  <c r="G194" i="38"/>
  <c r="G185" i="38"/>
  <c r="I10" i="38"/>
  <c r="I7" i="38"/>
  <c r="G99" i="38"/>
  <c r="G152" i="38"/>
  <c r="I59" i="38"/>
  <c r="G97" i="38"/>
  <c r="G85" i="38"/>
  <c r="G82" i="38"/>
  <c r="G95" i="38"/>
  <c r="G122" i="38"/>
  <c r="G212" i="38"/>
  <c r="G214" i="38"/>
  <c r="G258" i="38"/>
  <c r="I53" i="38"/>
  <c r="G156" i="38"/>
  <c r="G90" i="38"/>
  <c r="G110" i="38"/>
  <c r="G207" i="38"/>
  <c r="I17" i="38"/>
  <c r="I22" i="38"/>
  <c r="I33" i="38"/>
  <c r="I20" i="38"/>
  <c r="G172" i="38"/>
  <c r="I21" i="38"/>
  <c r="I18" i="38"/>
  <c r="G256" i="38"/>
  <c r="G191" i="38"/>
  <c r="G92" i="38"/>
  <c r="G113" i="38"/>
  <c r="I30" i="38"/>
  <c r="G215" i="38"/>
  <c r="G120" i="38"/>
  <c r="G248" i="38"/>
  <c r="G231" i="38"/>
  <c r="G245" i="38"/>
  <c r="I40" i="38"/>
  <c r="G121" i="38"/>
  <c r="I46" i="38"/>
  <c r="G86" i="38"/>
  <c r="G246" i="38"/>
  <c r="I57" i="38"/>
  <c r="I9" i="38"/>
  <c r="G230" i="38"/>
  <c r="I68" i="38"/>
  <c r="I67" i="38"/>
  <c r="G205" i="38"/>
  <c r="G148" i="38"/>
  <c r="G114" i="38"/>
  <c r="G174" i="38"/>
  <c r="G87" i="38"/>
  <c r="G123" i="38"/>
  <c r="G149" i="38"/>
  <c r="G171" i="38"/>
  <c r="G93" i="38"/>
  <c r="G221" i="38"/>
  <c r="G105" i="38"/>
  <c r="I43" i="38"/>
  <c r="G226" i="38"/>
  <c r="G170" i="38"/>
  <c r="G72" i="38"/>
  <c r="I29" i="38"/>
  <c r="G154" i="38"/>
  <c r="G159" i="38"/>
  <c r="G195" i="38"/>
  <c r="G240" i="38"/>
  <c r="G220" i="38"/>
  <c r="G74" i="38"/>
  <c r="G119" i="38"/>
  <c r="I14" i="38"/>
  <c r="G84" i="38"/>
  <c r="G175" i="38"/>
  <c r="I26" i="38"/>
  <c r="G79" i="38"/>
  <c r="G127" i="38"/>
  <c r="G179" i="38"/>
  <c r="G89" i="38"/>
  <c r="G77" i="38"/>
  <c r="I39" i="38"/>
  <c r="G115" i="38"/>
  <c r="I62" i="38"/>
  <c r="G239" i="38"/>
  <c r="G225" i="38"/>
  <c r="G106" i="38"/>
  <c r="G255" i="38"/>
  <c r="G100" i="38"/>
  <c r="G173" i="38"/>
  <c r="G232" i="38"/>
  <c r="G102" i="38"/>
  <c r="G252" i="38"/>
  <c r="I36" i="38"/>
  <c r="G168" i="38"/>
  <c r="I38" i="38"/>
  <c r="G243" i="38"/>
  <c r="I60" i="38"/>
  <c r="G250" i="38"/>
  <c r="I8" i="38"/>
  <c r="G257" i="38"/>
  <c r="G211" i="38"/>
  <c r="G70" i="38"/>
  <c r="I44" i="38"/>
  <c r="I63" i="38"/>
  <c r="G249" i="38"/>
  <c r="G192" i="38"/>
  <c r="I49" i="38"/>
  <c r="G253" i="38"/>
  <c r="G75" i="38"/>
  <c r="G178" i="38"/>
  <c r="G129" i="38"/>
  <c r="G238" i="38"/>
  <c r="I56" i="38"/>
  <c r="G162" i="38"/>
  <c r="G80" i="38"/>
  <c r="G143" i="38"/>
  <c r="I34" i="38"/>
  <c r="G263" i="38"/>
  <c r="G108" i="38"/>
  <c r="G163" i="38"/>
  <c r="G157" i="38"/>
  <c r="G183" i="38"/>
  <c r="G279" i="38"/>
  <c r="G217" i="38"/>
  <c r="I23" i="38"/>
  <c r="I13" i="38"/>
  <c r="G153" i="38"/>
  <c r="G208" i="38"/>
  <c r="I64" i="38"/>
  <c r="I6" i="38"/>
  <c r="G164" i="38"/>
  <c r="I16" i="38"/>
  <c r="I50" i="38"/>
  <c r="G241" i="38"/>
  <c r="G73" i="38"/>
  <c r="G281" i="38"/>
  <c r="I32" i="38"/>
  <c r="I58" i="38"/>
  <c r="G203" i="38"/>
  <c r="G193" i="38"/>
  <c r="G254" i="38"/>
  <c r="I66" i="38"/>
  <c r="I51" i="38"/>
  <c r="G242" i="38"/>
  <c r="I42" i="38"/>
  <c r="I65" i="38"/>
  <c r="I24" i="38"/>
  <c r="E440" i="38"/>
  <c r="D2" i="38"/>
  <c r="N265" i="35"/>
  <c r="N168" i="35"/>
  <c r="E98" i="38"/>
  <c r="K423" i="38"/>
  <c r="J58" i="35"/>
  <c r="M242" i="35"/>
  <c r="L421" i="38"/>
  <c r="F127" i="38"/>
  <c r="F375" i="38"/>
  <c r="M102" i="35"/>
  <c r="F419" i="38"/>
  <c r="N257" i="35"/>
  <c r="E277" i="38"/>
  <c r="J230" i="35"/>
  <c r="N172" i="35"/>
  <c r="N389" i="35"/>
  <c r="J239" i="35"/>
  <c r="M141" i="35"/>
  <c r="I428" i="38"/>
  <c r="J241" i="35"/>
  <c r="N397" i="35"/>
  <c r="N432" i="38"/>
  <c r="J285" i="35"/>
  <c r="E236" i="38"/>
  <c r="N25" i="35"/>
  <c r="M149" i="35"/>
  <c r="F36" i="38"/>
  <c r="E250" i="38"/>
  <c r="M251" i="35"/>
  <c r="J112" i="35"/>
  <c r="L27" i="35"/>
  <c r="N193" i="35"/>
  <c r="N112" i="35"/>
  <c r="M83" i="35"/>
  <c r="K5" i="35"/>
  <c r="D144" i="38"/>
  <c r="M172" i="35"/>
  <c r="J99" i="35"/>
  <c r="F150" i="38"/>
  <c r="D296" i="38"/>
  <c r="N185" i="35"/>
  <c r="N286" i="35"/>
  <c r="M305" i="35"/>
  <c r="M51" i="35"/>
  <c r="M229" i="35"/>
  <c r="M107" i="35"/>
  <c r="F429" i="38"/>
  <c r="L440" i="38"/>
  <c r="J108" i="35"/>
  <c r="M309" i="35"/>
  <c r="F198" i="38"/>
  <c r="M227" i="35"/>
  <c r="M373" i="35"/>
  <c r="L4" i="35"/>
  <c r="M28" i="35"/>
  <c r="E179" i="38"/>
  <c r="D187" i="38"/>
  <c r="J116" i="35"/>
  <c r="N89" i="35"/>
  <c r="M182" i="35"/>
  <c r="E224" i="38"/>
  <c r="S23" i="37"/>
  <c r="J437" i="38"/>
  <c r="F402" i="38"/>
  <c r="N13" i="35"/>
  <c r="N208" i="35"/>
  <c r="F91" i="38"/>
  <c r="E241" i="38"/>
  <c r="M364" i="35"/>
  <c r="G45" i="38"/>
  <c r="F304" i="38"/>
  <c r="K52" i="35"/>
  <c r="J91" i="35"/>
  <c r="N324" i="35"/>
  <c r="J337" i="35"/>
  <c r="D200" i="38"/>
  <c r="D257" i="38"/>
  <c r="N384" i="35"/>
  <c r="J327" i="35"/>
  <c r="H15" i="38"/>
  <c r="J235" i="35"/>
  <c r="N117" i="35"/>
  <c r="M89" i="35"/>
  <c r="N337" i="35"/>
  <c r="M385" i="35"/>
  <c r="N419" i="38"/>
  <c r="D331" i="38"/>
  <c r="M261" i="35"/>
  <c r="M15" i="37"/>
  <c r="D347" i="38"/>
  <c r="H20" i="38"/>
  <c r="N315" i="35"/>
  <c r="D204" i="38"/>
  <c r="N356" i="35"/>
  <c r="G417" i="38"/>
  <c r="M99" i="35"/>
  <c r="M421" i="38"/>
  <c r="M18" i="35"/>
  <c r="L68" i="35"/>
  <c r="D157" i="38"/>
  <c r="M8" i="35"/>
  <c r="M420" i="38"/>
  <c r="F104" i="38"/>
  <c r="E8" i="38"/>
  <c r="M265" i="35"/>
  <c r="N391" i="35"/>
  <c r="L120" i="35"/>
  <c r="H38" i="38"/>
  <c r="F162" i="38"/>
  <c r="M166" i="35"/>
  <c r="N141" i="35"/>
  <c r="E33" i="38"/>
  <c r="J26" i="37"/>
  <c r="D11" i="38"/>
  <c r="E57" i="38"/>
  <c r="E254" i="38"/>
  <c r="E246" i="38"/>
  <c r="J5" i="37"/>
  <c r="E253" i="38"/>
  <c r="F107" i="38"/>
  <c r="J96" i="35"/>
  <c r="M307" i="35"/>
  <c r="M260" i="35"/>
  <c r="N401" i="35"/>
  <c r="N421" i="38"/>
  <c r="N35" i="35"/>
  <c r="N317" i="35"/>
  <c r="F137" i="38"/>
  <c r="M226" i="35"/>
  <c r="F359" i="38"/>
  <c r="N359" i="35"/>
  <c r="N402" i="35"/>
  <c r="D253" i="38"/>
  <c r="N279" i="35"/>
  <c r="J184" i="35"/>
  <c r="J168" i="35"/>
  <c r="N180" i="35"/>
  <c r="M160" i="35"/>
  <c r="E140" i="38"/>
  <c r="D226" i="38"/>
  <c r="L45" i="35"/>
  <c r="N212" i="35"/>
  <c r="E47" i="38"/>
  <c r="J223" i="35"/>
  <c r="N229" i="35"/>
  <c r="N331" i="35"/>
  <c r="N7" i="35"/>
  <c r="J70" i="35"/>
  <c r="D249" i="38"/>
  <c r="N344" i="35"/>
  <c r="J174" i="35"/>
  <c r="J330" i="35"/>
  <c r="N188" i="35"/>
  <c r="M38" i="35"/>
  <c r="D265" i="38"/>
  <c r="L35" i="35"/>
  <c r="D300" i="38"/>
  <c r="F4" i="38"/>
  <c r="J291" i="35"/>
  <c r="H11" i="38"/>
  <c r="M337" i="35"/>
  <c r="D147" i="38"/>
  <c r="N288" i="35"/>
  <c r="H30" i="38"/>
  <c r="P6" i="37"/>
  <c r="M258" i="35"/>
  <c r="N232" i="35"/>
  <c r="E198" i="38"/>
  <c r="M123" i="35"/>
  <c r="L19" i="35"/>
  <c r="M88" i="35"/>
  <c r="P35" i="37"/>
  <c r="F84" i="38"/>
  <c r="E233" i="38"/>
  <c r="J28" i="37"/>
  <c r="N143" i="35"/>
  <c r="N75" i="35"/>
  <c r="N71" i="35"/>
  <c r="M143" i="35"/>
  <c r="F55" i="38"/>
  <c r="G17" i="38"/>
  <c r="D326" i="38"/>
  <c r="E272" i="38"/>
  <c r="K68" i="35"/>
  <c r="J255" i="35"/>
  <c r="M314" i="35"/>
  <c r="J175" i="35"/>
  <c r="J270" i="35"/>
  <c r="M164" i="35"/>
  <c r="J221" i="35"/>
  <c r="N101" i="35"/>
  <c r="J109" i="35"/>
  <c r="O13" i="37"/>
  <c r="J106" i="35"/>
  <c r="N422" i="38"/>
  <c r="N246" i="35"/>
  <c r="M108" i="35"/>
  <c r="N267" i="35"/>
  <c r="M219" i="35"/>
  <c r="F418" i="38"/>
  <c r="N230" i="35"/>
  <c r="F342" i="38"/>
  <c r="D18" i="38"/>
  <c r="J133" i="35"/>
  <c r="Q13" i="37"/>
  <c r="E418" i="38"/>
  <c r="L37" i="35"/>
  <c r="M142" i="35"/>
  <c r="M244" i="35"/>
  <c r="M276" i="35"/>
  <c r="M17" i="37"/>
  <c r="J248" i="35"/>
  <c r="N215" i="35"/>
  <c r="E227" i="38"/>
  <c r="M225" i="35"/>
  <c r="F399" i="38"/>
  <c r="M299" i="35"/>
  <c r="D241" i="38"/>
  <c r="M40" i="35"/>
  <c r="E176" i="38"/>
  <c r="D312" i="38"/>
  <c r="K3" i="37"/>
  <c r="D234" i="38"/>
  <c r="J122" i="35"/>
  <c r="J419" i="38"/>
  <c r="F82" i="38"/>
  <c r="N427" i="38"/>
  <c r="F86" i="38"/>
  <c r="M59" i="35"/>
  <c r="D281" i="38"/>
  <c r="M24" i="35"/>
  <c r="J33" i="35"/>
  <c r="H429" i="38"/>
  <c r="J333" i="35"/>
  <c r="N272" i="35"/>
  <c r="D178" i="38"/>
  <c r="N399" i="35"/>
  <c r="N88" i="35"/>
  <c r="K11" i="35"/>
  <c r="N32" i="35"/>
  <c r="M371" i="35"/>
  <c r="E103" i="38"/>
  <c r="J219" i="35"/>
  <c r="K4" i="35"/>
  <c r="M334" i="35"/>
  <c r="L53" i="35"/>
  <c r="M69" i="35"/>
  <c r="R17" i="37"/>
  <c r="M131" i="35"/>
  <c r="H51" i="38"/>
  <c r="J265" i="35"/>
  <c r="F400" i="38"/>
  <c r="G51" i="38"/>
  <c r="N4" i="35"/>
  <c r="N243" i="35"/>
  <c r="M435" i="38"/>
  <c r="F441" i="38"/>
  <c r="D151" i="38"/>
  <c r="J143" i="35"/>
  <c r="P10" i="37"/>
  <c r="N23" i="35"/>
  <c r="E29" i="38"/>
  <c r="E164" i="38"/>
  <c r="D141" i="38"/>
  <c r="E220" i="38"/>
  <c r="M128" i="35"/>
  <c r="N79" i="35"/>
  <c r="F185" i="38"/>
  <c r="E42" i="38"/>
  <c r="M72" i="35"/>
  <c r="N51" i="35"/>
  <c r="N276" i="35"/>
  <c r="D295" i="38"/>
  <c r="M384" i="35"/>
  <c r="M389" i="35"/>
  <c r="E168" i="38"/>
  <c r="F428" i="38"/>
  <c r="L135" i="35"/>
  <c r="J284" i="35"/>
  <c r="F440" i="38"/>
  <c r="N35" i="37"/>
  <c r="L55" i="35"/>
  <c r="M368" i="35"/>
  <c r="H36" i="38"/>
  <c r="D236" i="38"/>
  <c r="L48" i="35"/>
  <c r="N251" i="35"/>
  <c r="N314" i="35"/>
  <c r="N21" i="35"/>
  <c r="J142" i="35"/>
  <c r="D186" i="38"/>
  <c r="N105" i="35"/>
  <c r="J271" i="35"/>
  <c r="J100" i="35"/>
  <c r="F433" i="38"/>
  <c r="F143" i="38"/>
  <c r="D245" i="38"/>
  <c r="M66" i="35"/>
  <c r="M119" i="35"/>
  <c r="E409" i="38"/>
  <c r="L64" i="35"/>
  <c r="M19" i="35"/>
  <c r="J313" i="35"/>
  <c r="F26" i="38"/>
  <c r="F373" i="38"/>
  <c r="L47" i="35"/>
  <c r="E274" i="38"/>
  <c r="G57" i="38"/>
  <c r="N347" i="35"/>
  <c r="N321" i="35"/>
  <c r="D317" i="38"/>
  <c r="L115" i="35"/>
  <c r="F73" i="38"/>
  <c r="K56" i="35"/>
  <c r="K23" i="37"/>
  <c r="N309" i="35"/>
  <c r="N37" i="35"/>
  <c r="N363" i="35"/>
  <c r="S3" i="37"/>
  <c r="N440" i="38"/>
  <c r="J181" i="35"/>
  <c r="J261" i="35"/>
  <c r="J7" i="35"/>
  <c r="N281" i="35"/>
  <c r="M365" i="35"/>
  <c r="F371" i="38"/>
  <c r="N138" i="35"/>
  <c r="I431" i="38"/>
  <c r="D10" i="38"/>
  <c r="E230" i="38"/>
  <c r="M340" i="35"/>
  <c r="M154" i="35"/>
  <c r="M343" i="35"/>
  <c r="I424" i="38"/>
  <c r="N426" i="38"/>
  <c r="N226" i="35"/>
  <c r="J46" i="35"/>
  <c r="N145" i="35"/>
  <c r="M85" i="35"/>
  <c r="L424" i="38"/>
  <c r="M150" i="35"/>
  <c r="D217" i="38"/>
  <c r="N83" i="35"/>
  <c r="N380" i="35"/>
  <c r="M65" i="35"/>
  <c r="J40" i="35"/>
  <c r="N31" i="35"/>
  <c r="E34" i="38"/>
  <c r="D6" i="38"/>
  <c r="N342" i="35"/>
  <c r="E184" i="38"/>
  <c r="J273" i="35"/>
  <c r="J317" i="35"/>
  <c r="S14" i="37"/>
  <c r="E59" i="38"/>
  <c r="N5" i="35"/>
  <c r="J11" i="35"/>
  <c r="N43" i="35"/>
  <c r="N119" i="35"/>
  <c r="J208" i="35"/>
  <c r="E27" i="38"/>
  <c r="N304" i="35"/>
  <c r="N306" i="35"/>
  <c r="N395" i="35"/>
  <c r="J288" i="35"/>
  <c r="F109" i="38"/>
  <c r="K14" i="37"/>
  <c r="N361" i="35"/>
  <c r="G10" i="38"/>
  <c r="D201" i="38"/>
  <c r="E291" i="38"/>
  <c r="N283" i="35"/>
  <c r="N136" i="35"/>
  <c r="J242" i="35"/>
  <c r="F398" i="38"/>
  <c r="E190" i="38"/>
  <c r="L112" i="35"/>
  <c r="K40" i="35"/>
  <c r="N196" i="35"/>
  <c r="E263" i="38"/>
  <c r="F186" i="38"/>
  <c r="N258" i="35"/>
  <c r="N430" i="38"/>
  <c r="M5" i="35"/>
  <c r="G54" i="38"/>
  <c r="N436" i="38"/>
  <c r="D321" i="38"/>
  <c r="F196" i="38"/>
  <c r="M324" i="35"/>
  <c r="J157" i="35"/>
  <c r="J164" i="35"/>
  <c r="J131" i="35"/>
  <c r="F64" i="38"/>
  <c r="J334" i="35"/>
  <c r="D308" i="38"/>
  <c r="J77" i="35"/>
  <c r="N97" i="35"/>
  <c r="F47" i="38"/>
  <c r="M162" i="35"/>
  <c r="E35" i="38"/>
  <c r="M348" i="35"/>
  <c r="N177" i="35"/>
  <c r="N318" i="35"/>
  <c r="M48" i="35"/>
  <c r="N114" i="35"/>
  <c r="J307" i="35"/>
  <c r="F407" i="38"/>
  <c r="M313" i="35"/>
  <c r="N311" i="35"/>
  <c r="Q6" i="37"/>
  <c r="K55" i="35"/>
  <c r="J31" i="37"/>
  <c r="J86" i="35"/>
  <c r="E275" i="38"/>
  <c r="E150" i="38"/>
  <c r="E71" i="38"/>
  <c r="F68" i="38"/>
  <c r="M6" i="37"/>
  <c r="E290" i="38"/>
  <c r="E206" i="38"/>
  <c r="F172" i="38"/>
  <c r="E429" i="38"/>
  <c r="D348" i="38"/>
  <c r="D305" i="38"/>
  <c r="N270" i="35"/>
  <c r="F112" i="38"/>
  <c r="N142" i="35"/>
  <c r="N90" i="35"/>
  <c r="N312" i="35"/>
  <c r="M360" i="35"/>
  <c r="E122" i="38"/>
  <c r="M215" i="35"/>
  <c r="D163" i="38"/>
  <c r="M185" i="35"/>
  <c r="K60" i="35"/>
  <c r="E38" i="38"/>
  <c r="M194" i="35"/>
  <c r="D269" i="38"/>
  <c r="M145" i="35"/>
  <c r="N186" i="35"/>
  <c r="N103" i="35"/>
  <c r="M47" i="35"/>
  <c r="M292" i="35"/>
  <c r="E91" i="38"/>
  <c r="M438" i="38"/>
  <c r="M433" i="38"/>
  <c r="J278" i="35"/>
  <c r="D179" i="38"/>
  <c r="G56" i="38"/>
  <c r="H438" i="38"/>
  <c r="N183" i="35"/>
  <c r="E87" i="38"/>
  <c r="K23" i="35"/>
  <c r="M223" i="35"/>
  <c r="M346" i="35"/>
  <c r="M71" i="35"/>
  <c r="M139" i="35"/>
  <c r="E215" i="38"/>
  <c r="F432" i="38"/>
  <c r="G8" i="38"/>
  <c r="J250" i="35"/>
  <c r="M77" i="35"/>
  <c r="F383" i="38"/>
  <c r="J189" i="35"/>
  <c r="G24" i="38"/>
  <c r="N201" i="35"/>
  <c r="D14" i="38"/>
  <c r="F316" i="38"/>
  <c r="E89" i="38"/>
  <c r="J2" i="35"/>
  <c r="L42" i="35"/>
  <c r="N262" i="35"/>
  <c r="F384" i="38"/>
  <c r="M425" i="38"/>
  <c r="E189" i="38"/>
  <c r="J332" i="35"/>
  <c r="L21" i="35"/>
  <c r="N379" i="35"/>
  <c r="M297" i="35"/>
  <c r="J162" i="35"/>
  <c r="M144" i="35"/>
  <c r="N170" i="35"/>
  <c r="N174" i="35"/>
  <c r="J113" i="35"/>
  <c r="M146" i="35"/>
  <c r="E281" i="38"/>
  <c r="L34" i="35"/>
  <c r="N428" i="38"/>
  <c r="N140" i="35"/>
  <c r="M153" i="35"/>
  <c r="N38" i="35"/>
  <c r="E283" i="38"/>
  <c r="N366" i="35"/>
  <c r="K34" i="35"/>
  <c r="L69" i="35"/>
  <c r="M342" i="35"/>
  <c r="J227" i="35"/>
  <c r="M73" i="35"/>
  <c r="J88" i="35"/>
  <c r="L51" i="35"/>
  <c r="G65" i="38"/>
  <c r="D237" i="38"/>
  <c r="M282" i="35"/>
  <c r="J71" i="35"/>
  <c r="N323" i="35"/>
  <c r="H8" i="38"/>
  <c r="E196" i="38"/>
  <c r="N57" i="35"/>
  <c r="M129" i="35"/>
  <c r="E166" i="38"/>
  <c r="N150" i="35"/>
  <c r="L95" i="35"/>
  <c r="F360" i="38"/>
  <c r="M10" i="37"/>
  <c r="J196" i="35"/>
  <c r="H5" i="38"/>
  <c r="M351" i="35"/>
  <c r="J167" i="35"/>
  <c r="D194" i="38"/>
  <c r="J211" i="35"/>
  <c r="L431" i="38"/>
  <c r="J220" i="35"/>
  <c r="D158" i="38"/>
  <c r="G4" i="38"/>
  <c r="D227" i="38"/>
  <c r="E248" i="38"/>
  <c r="F188" i="38"/>
  <c r="G26" i="38"/>
  <c r="M167" i="35"/>
  <c r="D173" i="38"/>
  <c r="R6" i="37"/>
  <c r="L124" i="35"/>
  <c r="M405" i="35"/>
  <c r="F111" i="38"/>
  <c r="D349" i="38"/>
  <c r="K29" i="35"/>
  <c r="D189" i="38"/>
  <c r="M254" i="35"/>
  <c r="J103" i="35"/>
  <c r="N34" i="35"/>
  <c r="J289" i="35"/>
  <c r="J6" i="35"/>
  <c r="H57" i="38"/>
  <c r="J124" i="35"/>
  <c r="F170" i="38"/>
  <c r="L119" i="35"/>
  <c r="D209" i="38"/>
  <c r="M152" i="35"/>
  <c r="M279" i="35"/>
  <c r="M105" i="35"/>
  <c r="N326" i="35"/>
  <c r="F93" i="38"/>
  <c r="L52" i="35"/>
  <c r="D303" i="38"/>
  <c r="N16" i="37"/>
  <c r="D315" i="38"/>
  <c r="N33" i="35"/>
  <c r="G14" i="38"/>
  <c r="F424" i="38"/>
  <c r="S9" i="37"/>
  <c r="K58" i="35"/>
  <c r="F176" i="38"/>
  <c r="D145" i="38"/>
  <c r="O17" i="37"/>
  <c r="J190" i="35"/>
  <c r="D319" i="38"/>
  <c r="M274" i="35"/>
  <c r="J79" i="35"/>
  <c r="G55" i="38"/>
  <c r="M262" i="35"/>
  <c r="K3" i="35"/>
  <c r="F327" i="38"/>
  <c r="M165" i="35"/>
  <c r="N93" i="35"/>
  <c r="N292" i="35"/>
  <c r="Q9" i="37"/>
  <c r="D197" i="38"/>
  <c r="J68" i="35"/>
  <c r="H24" i="38"/>
  <c r="L105" i="35"/>
  <c r="M80" i="35"/>
  <c r="F37" i="38"/>
  <c r="J432" i="38"/>
  <c r="L102" i="35"/>
  <c r="R10" i="37"/>
  <c r="E405" i="38"/>
  <c r="N434" i="38"/>
  <c r="J89" i="35"/>
  <c r="I427" i="38"/>
  <c r="K425" i="38"/>
  <c r="M148" i="35"/>
  <c r="K31" i="35"/>
  <c r="J50" i="35"/>
  <c r="D238" i="38"/>
  <c r="E194" i="38"/>
  <c r="D15" i="38"/>
  <c r="N5" i="37"/>
  <c r="N87" i="35"/>
  <c r="M243" i="35"/>
  <c r="D311" i="38"/>
  <c r="D274" i="38"/>
  <c r="E123" i="38"/>
  <c r="D264" i="38"/>
  <c r="F347" i="38"/>
  <c r="F434" i="38"/>
  <c r="F346" i="38"/>
  <c r="E222" i="38"/>
  <c r="N111" i="35"/>
  <c r="E430" i="38"/>
  <c r="F378" i="38"/>
  <c r="N19" i="35"/>
  <c r="M402" i="35"/>
  <c r="F345" i="38"/>
  <c r="E16" i="38"/>
  <c r="M98" i="35"/>
  <c r="J101" i="35"/>
  <c r="N280" i="35"/>
  <c r="L93" i="35"/>
  <c r="D168" i="38"/>
  <c r="K419" i="38"/>
  <c r="E97" i="38"/>
  <c r="L98" i="35"/>
  <c r="M330" i="35"/>
  <c r="L132" i="35"/>
  <c r="J251" i="35"/>
  <c r="J426" i="38"/>
  <c r="M192" i="35"/>
  <c r="J275" i="35"/>
  <c r="N364" i="35"/>
  <c r="M13" i="35"/>
  <c r="D323" i="38"/>
  <c r="N16" i="35"/>
  <c r="E232" i="38"/>
  <c r="M84" i="35"/>
  <c r="D235" i="38"/>
  <c r="F74" i="38"/>
  <c r="D20" i="38"/>
  <c r="N104" i="35"/>
  <c r="F129" i="38"/>
  <c r="D343" i="38"/>
  <c r="K17" i="35"/>
  <c r="J61" i="35"/>
  <c r="L100" i="35"/>
  <c r="J434" i="38"/>
  <c r="D208" i="38"/>
  <c r="G28" i="38"/>
  <c r="F22" i="38"/>
  <c r="N330" i="35"/>
  <c r="M383" i="35"/>
  <c r="J169" i="35"/>
  <c r="E153" i="38"/>
  <c r="S19" i="37"/>
  <c r="F78" i="38"/>
  <c r="M256" i="35"/>
  <c r="E265" i="38"/>
  <c r="I426" i="38"/>
  <c r="J128" i="35"/>
  <c r="F99" i="38"/>
  <c r="N387" i="35"/>
  <c r="K430" i="38"/>
  <c r="D160" i="38"/>
  <c r="J335" i="35"/>
  <c r="D240" i="38"/>
  <c r="N343" i="35"/>
  <c r="F369" i="38"/>
  <c r="E207" i="38"/>
  <c r="M52" i="35"/>
  <c r="M325" i="35"/>
  <c r="E256" i="38"/>
  <c r="N334" i="35"/>
  <c r="E32" i="38"/>
  <c r="J325" i="35"/>
  <c r="K439" i="38"/>
  <c r="N263" i="35"/>
  <c r="M222" i="35"/>
  <c r="G6" i="38"/>
  <c r="D152" i="38"/>
  <c r="N332" i="35"/>
  <c r="I432" i="38"/>
  <c r="J194" i="35"/>
  <c r="E284" i="38"/>
  <c r="F307" i="38"/>
  <c r="G36" i="38"/>
  <c r="J120" i="35"/>
  <c r="K5" i="37"/>
  <c r="K46" i="35"/>
  <c r="J95" i="35"/>
  <c r="J144" i="35"/>
  <c r="L96" i="35"/>
  <c r="E53" i="38"/>
  <c r="G21" i="38"/>
  <c r="L19" i="37"/>
  <c r="N153" i="35"/>
  <c r="K8" i="35"/>
  <c r="F391" i="38"/>
  <c r="N394" i="35"/>
  <c r="R11" i="37"/>
  <c r="L14" i="35"/>
  <c r="E210" i="38"/>
  <c r="N36" i="35"/>
  <c r="J195" i="35"/>
  <c r="F159" i="38"/>
  <c r="J420" i="38"/>
  <c r="J267" i="35"/>
  <c r="G40" i="38"/>
  <c r="D3" i="38"/>
  <c r="F56" i="38"/>
  <c r="M329" i="35"/>
  <c r="D202" i="38"/>
  <c r="E199" i="38"/>
  <c r="E80" i="38"/>
  <c r="N346" i="35"/>
  <c r="E431" i="38"/>
  <c r="M193" i="35"/>
  <c r="M238" i="35"/>
  <c r="J81" i="35"/>
  <c r="N158" i="35"/>
  <c r="J336" i="35"/>
  <c r="J425" i="38"/>
  <c r="N407" i="35"/>
  <c r="M56" i="35"/>
  <c r="E154" i="38"/>
  <c r="J201" i="35"/>
  <c r="D328" i="38"/>
  <c r="L17" i="35"/>
  <c r="D284" i="38"/>
  <c r="L436" i="38"/>
  <c r="F108" i="38"/>
  <c r="D322" i="38"/>
  <c r="D162" i="38"/>
  <c r="J427" i="38"/>
  <c r="F197" i="38"/>
  <c r="F95" i="38"/>
  <c r="F401" i="38"/>
  <c r="F423" i="38"/>
  <c r="N241" i="35"/>
  <c r="N396" i="35"/>
  <c r="F382" i="38"/>
  <c r="J14" i="35"/>
  <c r="F69" i="38"/>
  <c r="J154" i="35"/>
  <c r="N218" i="35"/>
  <c r="F3" i="38"/>
  <c r="N124" i="35"/>
  <c r="M248" i="35"/>
  <c r="E158" i="38"/>
  <c r="F325" i="38"/>
  <c r="M362" i="35"/>
  <c r="E441" i="38"/>
  <c r="J102" i="35"/>
  <c r="D222" i="38"/>
  <c r="J318" i="35"/>
  <c r="K25" i="35"/>
  <c r="M22" i="35"/>
  <c r="N78" i="35"/>
  <c r="M75" i="35"/>
  <c r="F381" i="38"/>
  <c r="F135" i="38"/>
  <c r="E15" i="38"/>
  <c r="F25" i="38"/>
  <c r="D314" i="38"/>
  <c r="N400" i="35"/>
  <c r="E108" i="38"/>
  <c r="F422" i="38"/>
  <c r="N370" i="35"/>
  <c r="F39" i="38"/>
  <c r="F435" i="38"/>
  <c r="M155" i="35"/>
  <c r="J282" i="35"/>
  <c r="E422" i="38"/>
  <c r="E136" i="38"/>
  <c r="K61" i="35"/>
  <c r="D5" i="38"/>
  <c r="D224" i="38"/>
  <c r="J240" i="35"/>
  <c r="E159" i="38"/>
  <c r="N80" i="35"/>
  <c r="M12" i="35"/>
  <c r="N340" i="35"/>
  <c r="M33" i="35"/>
  <c r="J433" i="38"/>
  <c r="N137" i="35"/>
  <c r="K66" i="35"/>
  <c r="D13" i="38"/>
  <c r="N393" i="35"/>
  <c r="E439" i="38"/>
  <c r="F177" i="38"/>
  <c r="M393" i="35"/>
  <c r="N236" i="35"/>
  <c r="E7" i="38"/>
  <c r="N296" i="35"/>
  <c r="N244" i="35"/>
  <c r="M161" i="35"/>
  <c r="N357" i="35"/>
  <c r="E135" i="38"/>
  <c r="G433" i="38"/>
  <c r="F24" i="38"/>
  <c r="J28" i="35"/>
  <c r="J176" i="35"/>
  <c r="N238" i="35"/>
  <c r="J137" i="35"/>
  <c r="N11" i="35"/>
  <c r="N179" i="35"/>
  <c r="M197" i="35"/>
  <c r="J290" i="35"/>
  <c r="F199" i="38"/>
  <c r="E81" i="38"/>
  <c r="H66" i="38"/>
  <c r="G66" i="38"/>
  <c r="F380" i="38"/>
  <c r="D196" i="38"/>
  <c r="K12" i="35"/>
  <c r="J126" i="35"/>
  <c r="E175" i="38"/>
  <c r="E214" i="38"/>
  <c r="M236" i="35"/>
  <c r="J98" i="35"/>
  <c r="F385" i="38"/>
  <c r="M35" i="37"/>
  <c r="N6" i="35"/>
  <c r="M431" i="38"/>
  <c r="E218" i="38"/>
  <c r="F317" i="38"/>
  <c r="N231" i="35"/>
  <c r="M253" i="35"/>
  <c r="J191" i="35"/>
  <c r="N167" i="35"/>
  <c r="N302" i="35"/>
  <c r="M92" i="35"/>
  <c r="G11" i="38"/>
  <c r="E12" i="38"/>
  <c r="F48" i="38"/>
  <c r="G31" i="38"/>
  <c r="G419" i="38"/>
  <c r="F414" i="38"/>
  <c r="N266" i="35"/>
  <c r="F103" i="38"/>
  <c r="M228" i="35"/>
  <c r="M14" i="35"/>
  <c r="M126" i="35"/>
  <c r="N219" i="35"/>
  <c r="F386" i="38"/>
  <c r="M333" i="35"/>
  <c r="M369" i="35"/>
  <c r="J257" i="35"/>
  <c r="F32" i="38"/>
  <c r="J21" i="37"/>
  <c r="N438" i="38"/>
  <c r="F313" i="38"/>
  <c r="K49" i="35"/>
  <c r="K11" i="37"/>
  <c r="M357" i="35"/>
  <c r="N423" i="38"/>
  <c r="J118" i="35"/>
  <c r="E37" i="38"/>
  <c r="N381" i="35"/>
  <c r="F65" i="38"/>
  <c r="N169" i="35"/>
  <c r="N349" i="35"/>
  <c r="J21" i="35"/>
  <c r="N207" i="35"/>
  <c r="L111" i="35"/>
  <c r="M401" i="35"/>
  <c r="N234" i="35"/>
  <c r="F179" i="38"/>
  <c r="E167" i="38"/>
  <c r="J266" i="35"/>
  <c r="F301" i="38"/>
  <c r="M247" i="35"/>
  <c r="J147" i="35"/>
  <c r="F430" i="38"/>
  <c r="J9" i="35"/>
  <c r="N7" i="37"/>
  <c r="Q3" i="37"/>
  <c r="N187" i="35"/>
  <c r="M116" i="35"/>
  <c r="M26" i="35"/>
  <c r="D205" i="38"/>
  <c r="J281" i="35"/>
  <c r="M233" i="35"/>
  <c r="D270" i="38"/>
  <c r="N99" i="35"/>
  <c r="D233" i="38"/>
  <c r="M42" i="35"/>
  <c r="F305" i="38"/>
  <c r="M441" i="38"/>
  <c r="M168" i="35"/>
  <c r="F7" i="38"/>
  <c r="F340" i="38"/>
  <c r="J339" i="35"/>
  <c r="M181" i="35"/>
  <c r="M290" i="35"/>
  <c r="N316" i="35"/>
  <c r="J430" i="38"/>
  <c r="M15" i="35"/>
  <c r="F431" i="38"/>
  <c r="M87" i="35"/>
  <c r="M201" i="35"/>
  <c r="E192" i="38"/>
  <c r="M417" i="38"/>
  <c r="N274" i="35"/>
  <c r="D12" i="38"/>
  <c r="E10" i="38"/>
  <c r="E130" i="38"/>
  <c r="J55" i="35"/>
  <c r="L429" i="38"/>
  <c r="K43" i="35"/>
  <c r="E147" i="38"/>
  <c r="G20" i="38"/>
  <c r="M16" i="37"/>
  <c r="E294" i="38"/>
  <c r="D149" i="38"/>
  <c r="E113" i="38"/>
  <c r="H33" i="38"/>
  <c r="D180" i="38"/>
  <c r="E297" i="38"/>
  <c r="E289" i="38"/>
  <c r="M94" i="35"/>
  <c r="J259" i="35"/>
  <c r="M322" i="35"/>
  <c r="F122" i="38"/>
  <c r="E69" i="38"/>
  <c r="K63" i="35"/>
  <c r="J13" i="35"/>
  <c r="J117" i="35"/>
  <c r="N338" i="35"/>
  <c r="D259" i="38"/>
  <c r="N217" i="35"/>
  <c r="M308" i="35"/>
  <c r="D337" i="38"/>
  <c r="N162" i="35"/>
  <c r="L71" i="35"/>
  <c r="J150" i="35"/>
  <c r="F139" i="38"/>
  <c r="N268" i="35"/>
  <c r="D203" i="38"/>
  <c r="F352" i="38"/>
  <c r="L116" i="35"/>
  <c r="N353" i="35"/>
  <c r="K35" i="37"/>
  <c r="N86" i="35"/>
  <c r="L17" i="37"/>
  <c r="F318" i="38"/>
  <c r="M109" i="35"/>
  <c r="N372" i="35"/>
  <c r="F134" i="38"/>
  <c r="L59" i="35"/>
  <c r="N96" i="35"/>
  <c r="N146" i="35"/>
  <c r="N249" i="35"/>
  <c r="M281" i="35"/>
  <c r="E271" i="38"/>
  <c r="M114" i="35"/>
  <c r="M36" i="35"/>
  <c r="J111" i="35"/>
  <c r="D307" i="38"/>
  <c r="J72" i="35"/>
  <c r="N64" i="35"/>
  <c r="M440" i="38"/>
  <c r="D198" i="38"/>
  <c r="N135" i="35"/>
  <c r="D275" i="38"/>
  <c r="K17" i="37"/>
  <c r="J25" i="35"/>
  <c r="D344" i="38"/>
  <c r="G423" i="38"/>
  <c r="L13" i="37"/>
  <c r="N297" i="35"/>
  <c r="S11" i="37"/>
  <c r="J134" i="35"/>
  <c r="M341" i="35"/>
  <c r="D256" i="38"/>
  <c r="N433" i="38"/>
  <c r="H39" i="38"/>
  <c r="L74" i="35"/>
  <c r="M5" i="37"/>
  <c r="J74" i="35"/>
  <c r="D292" i="38"/>
  <c r="E83" i="38"/>
  <c r="D159" i="38"/>
  <c r="N39" i="35"/>
  <c r="M163" i="35"/>
  <c r="N184" i="35"/>
  <c r="G60" i="38"/>
  <c r="L130" i="35"/>
  <c r="M372" i="35"/>
  <c r="E223" i="38"/>
  <c r="J326" i="35"/>
  <c r="E51" i="38"/>
  <c r="E276" i="38"/>
  <c r="M317" i="35"/>
  <c r="L63" i="35"/>
  <c r="F77" i="38"/>
  <c r="J94" i="35"/>
  <c r="G32" i="38"/>
  <c r="F146" i="38"/>
  <c r="E285" i="38"/>
  <c r="J114" i="35"/>
  <c r="K57" i="35"/>
  <c r="F85" i="38"/>
  <c r="D229" i="38"/>
  <c r="H431" i="38"/>
  <c r="K35" i="35"/>
  <c r="F396" i="38"/>
  <c r="N408" i="35"/>
  <c r="E240" i="38"/>
  <c r="L13" i="35"/>
  <c r="N106" i="35"/>
  <c r="D298" i="38"/>
  <c r="F100" i="38"/>
  <c r="J294" i="35"/>
  <c r="G439" i="38"/>
  <c r="M296" i="35"/>
  <c r="M199" i="35"/>
  <c r="J105" i="35"/>
  <c r="D342" i="38"/>
  <c r="D219" i="38"/>
  <c r="I438" i="38"/>
  <c r="F102" i="38"/>
  <c r="N328" i="35"/>
  <c r="J53" i="35"/>
  <c r="M326" i="35"/>
  <c r="L5" i="37"/>
  <c r="N27" i="35"/>
  <c r="G35" i="38"/>
  <c r="L87" i="35"/>
  <c r="E46" i="38"/>
  <c r="D175" i="38"/>
  <c r="M111" i="35"/>
  <c r="M270" i="35"/>
  <c r="E417" i="38"/>
  <c r="N164" i="35"/>
  <c r="M288" i="35"/>
  <c r="H422" i="38"/>
  <c r="J234" i="35"/>
  <c r="E11" i="38"/>
  <c r="H434" i="38"/>
  <c r="L2" i="35"/>
  <c r="N181" i="35"/>
  <c r="M53" i="35"/>
  <c r="M230" i="35"/>
  <c r="N375" i="35"/>
  <c r="N383" i="35"/>
  <c r="D294" i="38"/>
  <c r="M37" i="35"/>
  <c r="D334" i="38"/>
  <c r="Q17" i="37"/>
  <c r="M151" i="35"/>
  <c r="E197" i="38"/>
  <c r="N13" i="37"/>
  <c r="F57" i="38"/>
  <c r="H19" i="38"/>
  <c r="F96" i="38"/>
  <c r="F416" i="38"/>
  <c r="E119" i="38"/>
  <c r="S10" i="37"/>
  <c r="G30" i="38"/>
  <c r="J27" i="37"/>
  <c r="N224" i="35"/>
  <c r="J296" i="35"/>
  <c r="N163" i="35"/>
  <c r="E141" i="38"/>
  <c r="M122" i="35"/>
  <c r="F370" i="38"/>
  <c r="J97" i="35"/>
  <c r="N123" i="35"/>
  <c r="L18" i="35"/>
  <c r="D232" i="38"/>
  <c r="J41" i="35"/>
  <c r="J210" i="35"/>
  <c r="G437" i="38"/>
  <c r="P9" i="37"/>
  <c r="M335" i="35"/>
  <c r="H7" i="38"/>
  <c r="F92" i="38"/>
  <c r="F376" i="38"/>
  <c r="M356" i="35"/>
  <c r="F410" i="38"/>
  <c r="D309" i="38"/>
  <c r="E93" i="38"/>
  <c r="D143" i="38"/>
  <c r="J323" i="35"/>
  <c r="N355" i="35"/>
  <c r="D285" i="38"/>
  <c r="N161" i="35"/>
  <c r="J293" i="35"/>
  <c r="M54" i="35"/>
  <c r="L83" i="35"/>
  <c r="F353" i="38"/>
  <c r="J57" i="35"/>
  <c r="J145" i="35"/>
  <c r="G44" i="38"/>
  <c r="D16" i="38"/>
  <c r="M138" i="35"/>
  <c r="N228" i="35"/>
  <c r="N248" i="35"/>
  <c r="E174" i="38"/>
  <c r="G420" i="38"/>
  <c r="E82" i="38"/>
  <c r="N77" i="35"/>
  <c r="E44" i="38"/>
  <c r="D242" i="38"/>
  <c r="L66" i="35"/>
  <c r="E76" i="38"/>
  <c r="J197" i="35"/>
  <c r="M130" i="35"/>
  <c r="N129" i="35"/>
  <c r="D248" i="38"/>
  <c r="F149" i="38"/>
  <c r="D19" i="38"/>
  <c r="M218" i="35"/>
  <c r="H63" i="38"/>
  <c r="F67" i="38"/>
  <c r="N10" i="37"/>
  <c r="M264" i="35"/>
  <c r="N293" i="35"/>
  <c r="M21" i="35"/>
  <c r="M298" i="35"/>
  <c r="M370" i="35"/>
  <c r="J244" i="35"/>
  <c r="J306" i="35"/>
  <c r="J315" i="35"/>
  <c r="F155" i="38"/>
  <c r="E63" i="38"/>
  <c r="F97" i="38"/>
  <c r="N245" i="35"/>
  <c r="N98" i="35"/>
  <c r="L5" i="35"/>
  <c r="J247" i="35"/>
  <c r="D266" i="38"/>
  <c r="L67" i="35"/>
  <c r="M25" i="35"/>
  <c r="E419" i="38"/>
  <c r="I420" i="38"/>
  <c r="L438" i="38"/>
  <c r="E292" i="38"/>
  <c r="N19" i="37"/>
  <c r="D289" i="38"/>
  <c r="M32" i="35"/>
  <c r="D333" i="38"/>
  <c r="K42" i="35"/>
  <c r="D297" i="38"/>
  <c r="N253" i="35"/>
  <c r="J205" i="35"/>
  <c r="E156" i="38"/>
  <c r="D169" i="38"/>
  <c r="L65" i="35"/>
  <c r="N131" i="35"/>
  <c r="K64" i="35"/>
  <c r="J15" i="37"/>
  <c r="N204" i="35"/>
  <c r="N284" i="35"/>
  <c r="J226" i="35"/>
  <c r="K19" i="35"/>
  <c r="F183" i="38"/>
  <c r="I436" i="38"/>
  <c r="F321" i="38"/>
  <c r="E434" i="38"/>
  <c r="G418" i="38"/>
  <c r="L7" i="37"/>
  <c r="J135" i="35"/>
  <c r="J5" i="35"/>
  <c r="L103" i="35"/>
  <c r="J431" i="38"/>
  <c r="N377" i="35"/>
  <c r="H45" i="38"/>
  <c r="Q16" i="37"/>
  <c r="J237" i="35"/>
  <c r="F31" i="38"/>
  <c r="N115" i="35"/>
  <c r="J165" i="35"/>
  <c r="N429" i="38"/>
  <c r="E66" i="38"/>
  <c r="M158" i="35"/>
  <c r="M240" i="35"/>
  <c r="E200" i="38"/>
  <c r="F121" i="38"/>
  <c r="K422" i="38"/>
  <c r="J19" i="35"/>
  <c r="J8" i="35"/>
  <c r="M396" i="35"/>
  <c r="N126" i="35"/>
  <c r="M283" i="35"/>
  <c r="K435" i="38"/>
  <c r="N194" i="35"/>
  <c r="F314" i="38"/>
  <c r="D288" i="38"/>
  <c r="N291" i="35"/>
  <c r="R9" i="37"/>
  <c r="F350" i="38"/>
  <c r="J110" i="35"/>
  <c r="E172" i="38"/>
  <c r="M379" i="35"/>
  <c r="F29" i="38"/>
  <c r="H68" i="38"/>
  <c r="N295" i="35"/>
  <c r="E182" i="38"/>
  <c r="M259" i="35"/>
  <c r="E427" i="38"/>
  <c r="N192" i="35"/>
  <c r="M61" i="35"/>
  <c r="N255" i="35"/>
  <c r="N335" i="35"/>
  <c r="K37" i="35"/>
  <c r="N307" i="35"/>
  <c r="E28" i="38"/>
  <c r="M7" i="37"/>
  <c r="M173" i="35"/>
  <c r="E424" i="38"/>
  <c r="N303" i="35"/>
  <c r="L426" i="38"/>
  <c r="J258" i="35"/>
  <c r="N9" i="35"/>
  <c r="J73" i="35"/>
  <c r="M95" i="35"/>
  <c r="E77" i="38"/>
  <c r="D166" i="38"/>
  <c r="F123" i="38"/>
  <c r="F344" i="38"/>
  <c r="J252" i="35"/>
  <c r="E212" i="38"/>
  <c r="F333" i="38"/>
  <c r="E134" i="38"/>
  <c r="S35" i="37"/>
  <c r="F190" i="38"/>
  <c r="J60" i="35"/>
  <c r="L57" i="35"/>
  <c r="N166" i="35"/>
  <c r="F52" i="38"/>
  <c r="M205" i="35"/>
  <c r="M394" i="35"/>
  <c r="D277" i="38"/>
  <c r="K7" i="37"/>
  <c r="L23" i="37"/>
  <c r="J243" i="35"/>
  <c r="D167" i="38"/>
  <c r="F339" i="38"/>
  <c r="E145" i="38"/>
  <c r="N102" i="35"/>
  <c r="N365" i="35"/>
  <c r="J23" i="35"/>
  <c r="J228" i="35"/>
  <c r="K441" i="38"/>
  <c r="G15" i="38"/>
  <c r="N301" i="35"/>
  <c r="M287" i="35"/>
  <c r="J222" i="35"/>
  <c r="E26" i="38"/>
  <c r="M204" i="35"/>
  <c r="E61" i="38"/>
  <c r="N157" i="35"/>
  <c r="M315" i="35"/>
  <c r="H42" i="38"/>
  <c r="M306" i="35"/>
  <c r="J182" i="35"/>
  <c r="D286" i="38"/>
  <c r="F306" i="38"/>
  <c r="J249" i="35"/>
  <c r="F9" i="38"/>
  <c r="K9" i="37"/>
  <c r="D211" i="38"/>
  <c r="P13" i="37"/>
  <c r="F438" i="38"/>
  <c r="M291" i="35"/>
  <c r="H3" i="38"/>
  <c r="L36" i="35"/>
  <c r="N23" i="37"/>
  <c r="M255" i="35"/>
  <c r="E132" i="38"/>
  <c r="J312" i="35"/>
  <c r="F335" i="38"/>
  <c r="F28" i="38"/>
  <c r="J139" i="35"/>
  <c r="L423" i="38"/>
  <c r="N122" i="35"/>
  <c r="J213" i="35"/>
  <c r="M267" i="35"/>
  <c r="M345" i="35"/>
  <c r="J92" i="35"/>
  <c r="F45" i="38"/>
  <c r="I423" i="38"/>
  <c r="J298" i="35"/>
  <c r="F329" i="38"/>
  <c r="G41" i="38"/>
  <c r="E121" i="38"/>
  <c r="M271" i="35"/>
  <c r="J292" i="35"/>
  <c r="N350" i="35"/>
  <c r="N14" i="37"/>
  <c r="E247" i="38"/>
  <c r="J9" i="37"/>
  <c r="J301" i="35"/>
  <c r="M117" i="35"/>
  <c r="M366" i="35"/>
  <c r="O11" i="37"/>
  <c r="N341" i="35"/>
  <c r="M23" i="35"/>
  <c r="E99" i="38"/>
  <c r="M398" i="35"/>
  <c r="H21" i="38"/>
  <c r="F330" i="38"/>
  <c r="E144" i="38"/>
  <c r="J436" i="38"/>
  <c r="N176" i="35"/>
  <c r="M186" i="35"/>
  <c r="K428" i="38"/>
  <c r="D339" i="38"/>
  <c r="D17" i="38"/>
  <c r="M159" i="35"/>
  <c r="J16" i="35"/>
  <c r="J87" i="35"/>
  <c r="M321" i="35"/>
  <c r="N233" i="35"/>
  <c r="N287" i="35"/>
  <c r="E237" i="38"/>
  <c r="E279" i="38"/>
  <c r="G441" i="38"/>
  <c r="N195" i="35"/>
  <c r="S5" i="37"/>
  <c r="F106" i="38"/>
  <c r="J304" i="35"/>
  <c r="I437" i="38"/>
  <c r="F83" i="38"/>
  <c r="D262" i="38"/>
  <c r="E70" i="38"/>
  <c r="L14" i="37"/>
  <c r="E225" i="38"/>
  <c r="M428" i="38"/>
  <c r="F71" i="38"/>
  <c r="E428" i="38"/>
  <c r="N66" i="35"/>
  <c r="F165" i="38"/>
  <c r="E414" i="38"/>
  <c r="E55" i="38"/>
  <c r="D316" i="38"/>
  <c r="D320" i="38"/>
  <c r="F337" i="38"/>
  <c r="N325" i="35"/>
  <c r="I425" i="38"/>
  <c r="M184" i="35"/>
  <c r="N371" i="35"/>
  <c r="D283" i="38"/>
  <c r="J39" i="35"/>
  <c r="E188" i="38"/>
  <c r="N148" i="35"/>
  <c r="E162" i="38"/>
  <c r="N285" i="35"/>
  <c r="N62" i="35"/>
  <c r="N94" i="35"/>
  <c r="F89" i="38"/>
  <c r="D260" i="38"/>
  <c r="N239" i="35"/>
  <c r="N190" i="35"/>
  <c r="J93" i="35"/>
  <c r="D329" i="38"/>
  <c r="P14" i="37"/>
  <c r="F120" i="38"/>
  <c r="E6" i="38"/>
  <c r="J33" i="37"/>
  <c r="E111" i="38"/>
  <c r="M323" i="35"/>
  <c r="J141" i="35"/>
  <c r="F40" i="38"/>
  <c r="P7" i="37"/>
  <c r="J295" i="35"/>
  <c r="J42" i="35"/>
  <c r="F42" i="38"/>
  <c r="E90" i="38"/>
  <c r="D4" i="38"/>
  <c r="K30" i="35"/>
  <c r="E201" i="38"/>
  <c r="N198" i="35"/>
  <c r="P19" i="37"/>
  <c r="N358" i="35"/>
  <c r="M427" i="38"/>
  <c r="N28" i="35"/>
  <c r="L20" i="35"/>
  <c r="M310" i="35"/>
  <c r="J146" i="35"/>
  <c r="K44" i="35"/>
  <c r="M41" i="35"/>
  <c r="M35" i="35"/>
  <c r="F387" i="38"/>
  <c r="N369" i="35"/>
  <c r="E261" i="38"/>
  <c r="N109" i="35"/>
  <c r="E221" i="38"/>
  <c r="K431" i="38"/>
  <c r="E203" i="38"/>
  <c r="D172" i="38"/>
  <c r="N437" i="38"/>
  <c r="K440" i="38"/>
  <c r="N110" i="35"/>
  <c r="M206" i="35"/>
  <c r="M86" i="35"/>
  <c r="D231" i="38"/>
  <c r="N354" i="35"/>
  <c r="M180" i="35"/>
  <c r="N8" i="35"/>
  <c r="L9" i="35"/>
  <c r="E195" i="38"/>
  <c r="J320" i="35"/>
  <c r="H10" i="38"/>
  <c r="J140" i="35"/>
  <c r="O3" i="37"/>
  <c r="N17" i="37"/>
  <c r="L134" i="35"/>
  <c r="F421" i="38"/>
  <c r="F35" i="38"/>
  <c r="G425" i="38"/>
  <c r="J115" i="35"/>
  <c r="J136" i="35"/>
  <c r="N289" i="35"/>
  <c r="J232" i="35"/>
  <c r="M134" i="35"/>
  <c r="H17" i="38"/>
  <c r="N202" i="35"/>
  <c r="J178" i="35"/>
  <c r="G428" i="38"/>
  <c r="M234" i="35"/>
  <c r="F310" i="38"/>
  <c r="O9" i="37"/>
  <c r="M208" i="35"/>
  <c r="E92" i="38"/>
  <c r="N76" i="35"/>
  <c r="L439" i="38"/>
  <c r="N310" i="35"/>
  <c r="M64" i="35"/>
  <c r="M273" i="35"/>
  <c r="K33" i="35"/>
  <c r="J63" i="35"/>
  <c r="N264" i="35"/>
  <c r="D228" i="38"/>
  <c r="K16" i="35"/>
  <c r="F406" i="38"/>
  <c r="J264" i="35"/>
  <c r="J269" i="35"/>
  <c r="N156" i="35"/>
  <c r="J37" i="35"/>
  <c r="J331" i="35"/>
  <c r="H25" i="38"/>
  <c r="E280" i="38"/>
  <c r="J27" i="35"/>
  <c r="M231" i="35"/>
  <c r="M382" i="35"/>
  <c r="D210" i="38"/>
  <c r="K45" i="35"/>
  <c r="E157" i="38"/>
  <c r="J15" i="35"/>
  <c r="L78" i="35"/>
  <c r="F379" i="38"/>
  <c r="N382" i="35"/>
  <c r="E155" i="38"/>
  <c r="N116" i="35"/>
  <c r="N108" i="35"/>
  <c r="M137" i="35"/>
  <c r="J69" i="35"/>
  <c r="H47" i="38"/>
  <c r="N398" i="35"/>
  <c r="N271" i="35"/>
  <c r="F181" i="38"/>
  <c r="M132" i="35"/>
  <c r="F191" i="38"/>
  <c r="E217" i="38"/>
  <c r="D193" i="38"/>
  <c r="N439" i="38"/>
  <c r="J303" i="35"/>
  <c r="E193" i="38"/>
  <c r="N203" i="35"/>
  <c r="M191" i="35"/>
  <c r="D214" i="38"/>
  <c r="K434" i="38"/>
  <c r="L441" i="38"/>
  <c r="E73" i="38"/>
  <c r="E433" i="38"/>
  <c r="E25" i="38"/>
  <c r="J56" i="35"/>
  <c r="J322" i="35"/>
  <c r="N81" i="35"/>
  <c r="J438" i="38"/>
  <c r="M57" i="35"/>
  <c r="N290" i="35"/>
  <c r="N240" i="35"/>
  <c r="L60" i="35"/>
  <c r="G427" i="38"/>
  <c r="D216" i="38"/>
  <c r="G422" i="38"/>
  <c r="E228" i="38"/>
  <c r="J297" i="35"/>
  <c r="D181" i="38"/>
  <c r="J215" i="35"/>
  <c r="E437" i="38"/>
  <c r="J148" i="35"/>
  <c r="J274" i="35"/>
  <c r="N54" i="35"/>
  <c r="I441" i="38"/>
  <c r="D327" i="38"/>
  <c r="L21" i="37"/>
  <c r="L420" i="38"/>
  <c r="N313" i="35"/>
  <c r="N20" i="35"/>
  <c r="G67" i="38"/>
  <c r="J18" i="35"/>
  <c r="E39" i="38"/>
  <c r="K426" i="38"/>
  <c r="J34" i="35"/>
  <c r="J283" i="35"/>
  <c r="G426" i="38"/>
  <c r="M9" i="35"/>
  <c r="J171" i="35"/>
  <c r="F51" i="38"/>
  <c r="N221" i="35"/>
  <c r="F411" i="38"/>
  <c r="J272" i="35"/>
  <c r="K38" i="35"/>
  <c r="N182" i="35"/>
  <c r="M354" i="35"/>
  <c r="H61" i="38"/>
  <c r="L89" i="35"/>
  <c r="N225" i="35"/>
  <c r="E52" i="38"/>
  <c r="N227" i="35"/>
  <c r="N256" i="35"/>
  <c r="E118" i="38"/>
  <c r="F124" i="38"/>
  <c r="M7" i="35"/>
  <c r="K424" i="38"/>
  <c r="F30" i="38"/>
  <c r="D252" i="38"/>
  <c r="J418" i="38"/>
  <c r="E48" i="38"/>
  <c r="D195" i="38"/>
  <c r="M295" i="35"/>
  <c r="K6" i="37"/>
  <c r="D325" i="38"/>
  <c r="J279" i="35"/>
  <c r="G63" i="38"/>
  <c r="L24" i="35"/>
  <c r="E151" i="38"/>
  <c r="G61" i="38"/>
  <c r="J36" i="35"/>
  <c r="F115" i="38"/>
  <c r="G62" i="38"/>
  <c r="D280" i="38"/>
  <c r="L32" i="35"/>
  <c r="O5" i="37"/>
  <c r="J65" i="35"/>
  <c r="M188" i="35"/>
  <c r="G27" i="38"/>
  <c r="J158" i="35"/>
  <c r="N237" i="35"/>
  <c r="E149" i="38"/>
  <c r="K417" i="38"/>
  <c r="K13" i="35"/>
  <c r="L110" i="35"/>
  <c r="J125" i="35"/>
  <c r="N329" i="35"/>
  <c r="F34" i="38"/>
  <c r="F175" i="38"/>
  <c r="M70" i="35"/>
  <c r="J185" i="35"/>
  <c r="N12" i="35"/>
  <c r="L107" i="35"/>
  <c r="N275" i="35"/>
  <c r="D206" i="38"/>
  <c r="M424" i="38"/>
  <c r="E60" i="38"/>
  <c r="N252" i="35"/>
  <c r="O15" i="37"/>
  <c r="E287" i="38"/>
  <c r="E21" i="38"/>
  <c r="N134" i="35"/>
  <c r="L56" i="35"/>
  <c r="L419" i="38"/>
  <c r="N85" i="35"/>
  <c r="J149" i="35"/>
  <c r="K36" i="35"/>
  <c r="D230" i="38"/>
  <c r="N59" i="35"/>
  <c r="M58" i="35"/>
  <c r="D261" i="38"/>
  <c r="N133" i="35"/>
  <c r="D338" i="38"/>
  <c r="J308" i="35"/>
  <c r="M268" i="35"/>
  <c r="E72" i="38"/>
  <c r="D153" i="38"/>
  <c r="F167" i="38"/>
  <c r="E299" i="38"/>
  <c r="M198" i="35"/>
  <c r="R21" i="37"/>
  <c r="E296" i="38"/>
  <c r="J253" i="35"/>
  <c r="M140" i="35"/>
  <c r="F12" i="38"/>
  <c r="H28" i="38"/>
  <c r="M60" i="35"/>
  <c r="M391" i="35"/>
  <c r="F324" i="38"/>
  <c r="S15" i="37"/>
  <c r="N178" i="35"/>
  <c r="E413" i="38"/>
  <c r="F368" i="38"/>
  <c r="L114" i="35"/>
  <c r="J300" i="35"/>
  <c r="E252" i="38"/>
  <c r="M338" i="35"/>
  <c r="G440" i="38"/>
  <c r="M44" i="35"/>
  <c r="J64" i="35"/>
  <c r="K39" i="35"/>
  <c r="M176" i="35"/>
  <c r="H421" i="38"/>
  <c r="N220" i="35"/>
  <c r="K432" i="38"/>
  <c r="G22" i="38"/>
  <c r="M388" i="35"/>
  <c r="M339" i="35"/>
  <c r="F62" i="38"/>
  <c r="K54" i="35"/>
  <c r="N200" i="35"/>
  <c r="P11" i="37"/>
  <c r="N132" i="35"/>
  <c r="N26" i="35"/>
  <c r="F105" i="38"/>
  <c r="L25" i="35"/>
  <c r="M124" i="35"/>
  <c r="E260" i="38"/>
  <c r="D273" i="38"/>
  <c r="N56" i="35"/>
  <c r="L86" i="35"/>
  <c r="F164" i="38"/>
  <c r="F27" i="38"/>
  <c r="E234" i="38"/>
  <c r="F312" i="38"/>
  <c r="M294" i="35"/>
  <c r="L90" i="35"/>
  <c r="G25" i="38"/>
  <c r="E160" i="38"/>
  <c r="K10" i="37"/>
  <c r="M386" i="35"/>
  <c r="N52" i="35"/>
  <c r="M318" i="35"/>
  <c r="Q10" i="37"/>
  <c r="M20" i="35"/>
  <c r="K65" i="35"/>
  <c r="F173" i="38"/>
  <c r="F182" i="38"/>
  <c r="J236" i="35"/>
  <c r="K438" i="38"/>
  <c r="L428" i="38"/>
  <c r="E152" i="38"/>
  <c r="J214" i="35"/>
  <c r="I430" i="38"/>
  <c r="F98" i="38"/>
  <c r="P16" i="37"/>
  <c r="D155" i="38"/>
  <c r="K429" i="38"/>
  <c r="F392" i="38"/>
  <c r="E245" i="38"/>
  <c r="J314" i="35"/>
  <c r="E148" i="38"/>
  <c r="F90" i="38"/>
  <c r="H432" i="38"/>
  <c r="M293" i="35"/>
  <c r="H55" i="38"/>
  <c r="E269" i="38"/>
  <c r="H49" i="38"/>
  <c r="E146" i="38"/>
  <c r="M78" i="35"/>
  <c r="I421" i="38"/>
  <c r="M97" i="35"/>
  <c r="L91" i="35"/>
  <c r="J166" i="35"/>
  <c r="M112" i="35"/>
  <c r="G434" i="38"/>
  <c r="H23" i="38"/>
  <c r="N189" i="35"/>
  <c r="H52" i="38"/>
  <c r="D330" i="38"/>
  <c r="F356" i="38"/>
  <c r="J6" i="37"/>
  <c r="J199" i="35"/>
  <c r="J80" i="35"/>
  <c r="E208" i="38"/>
  <c r="N405" i="35"/>
  <c r="F2" i="38"/>
  <c r="E286" i="38"/>
  <c r="N74" i="35"/>
  <c r="N18" i="35"/>
  <c r="D313" i="38"/>
  <c r="E129" i="38"/>
  <c r="D302" i="38"/>
  <c r="E100" i="38"/>
  <c r="J29" i="35"/>
  <c r="K21" i="35"/>
  <c r="M418" i="38"/>
  <c r="H426" i="38"/>
  <c r="N376" i="35"/>
  <c r="J276" i="35"/>
  <c r="M46" i="35"/>
  <c r="D191" i="38"/>
  <c r="J262" i="35"/>
  <c r="K2" i="35"/>
  <c r="K9" i="35"/>
  <c r="M397" i="35"/>
  <c r="F388" i="38"/>
  <c r="N120" i="35"/>
  <c r="D161" i="38"/>
  <c r="G23" i="38"/>
  <c r="M400" i="35"/>
  <c r="N367" i="35"/>
  <c r="J170" i="35"/>
  <c r="J13" i="37"/>
  <c r="H435" i="38"/>
  <c r="N435" i="38"/>
  <c r="N3" i="37"/>
  <c r="E114" i="38"/>
  <c r="H439" i="38"/>
  <c r="M377" i="35"/>
  <c r="D247" i="38"/>
  <c r="I419" i="38"/>
  <c r="E219" i="38"/>
  <c r="F366" i="38"/>
  <c r="N345" i="35"/>
  <c r="J75" i="35"/>
  <c r="O21" i="37"/>
  <c r="F46" i="38"/>
  <c r="M285" i="35"/>
  <c r="N171" i="35"/>
  <c r="N69" i="35"/>
  <c r="F397" i="38"/>
  <c r="N151" i="35"/>
  <c r="M34" i="35"/>
  <c r="E298" i="38"/>
  <c r="D148" i="38"/>
  <c r="E110" i="38"/>
  <c r="M74" i="35"/>
  <c r="J59" i="35"/>
  <c r="E36" i="38"/>
  <c r="P21" i="37"/>
  <c r="K51" i="35"/>
  <c r="F114" i="38"/>
  <c r="D190" i="38"/>
  <c r="D182" i="38"/>
  <c r="J66" i="35"/>
  <c r="M55" i="35"/>
  <c r="E295" i="38"/>
  <c r="M239" i="35"/>
  <c r="D272" i="38"/>
  <c r="J206" i="35"/>
  <c r="D192" i="38"/>
  <c r="M79" i="35"/>
  <c r="G64" i="38"/>
  <c r="D276" i="38"/>
  <c r="E116" i="38"/>
  <c r="H54" i="38"/>
  <c r="J82" i="35"/>
  <c r="E202" i="38"/>
  <c r="E107" i="38"/>
  <c r="N420" i="38"/>
  <c r="N40" i="35"/>
  <c r="Q35" i="37"/>
  <c r="N385" i="35"/>
  <c r="D146" i="38"/>
  <c r="M13" i="37"/>
  <c r="J256" i="35"/>
  <c r="R16" i="37"/>
  <c r="L106" i="35"/>
  <c r="L3" i="35"/>
  <c r="M183" i="35"/>
  <c r="F184" i="38"/>
  <c r="E127" i="38"/>
  <c r="F54" i="38"/>
  <c r="R35" i="37"/>
  <c r="M157" i="35"/>
  <c r="M169" i="35"/>
  <c r="H58" i="38"/>
  <c r="H427" i="38"/>
  <c r="K50" i="35"/>
  <c r="L9" i="37"/>
  <c r="H67" i="38"/>
  <c r="G48" i="38"/>
  <c r="J338" i="35"/>
  <c r="N61" i="35"/>
  <c r="J245" i="35"/>
  <c r="F145" i="38"/>
  <c r="J329" i="35"/>
  <c r="L76" i="35"/>
  <c r="D221" i="38"/>
  <c r="L62" i="35"/>
  <c r="F76" i="38"/>
  <c r="J26" i="35"/>
  <c r="E187" i="38"/>
  <c r="J233" i="35"/>
  <c r="M3" i="37"/>
  <c r="J44" i="35"/>
  <c r="E425" i="38"/>
  <c r="N404" i="35"/>
  <c r="F16" i="38"/>
  <c r="J14" i="37"/>
  <c r="F302" i="38"/>
  <c r="H62" i="38"/>
  <c r="E126" i="38"/>
  <c r="M367" i="35"/>
  <c r="G53" i="38"/>
  <c r="F21" i="38"/>
  <c r="N30" i="35"/>
  <c r="J316" i="35"/>
  <c r="J207" i="35"/>
  <c r="E115" i="38"/>
  <c r="F187" i="38"/>
  <c r="M327" i="35"/>
  <c r="M3" i="35"/>
  <c r="M224" i="35"/>
  <c r="L418" i="38"/>
  <c r="M21" i="37"/>
  <c r="J424" i="38"/>
  <c r="G50" i="38"/>
  <c r="J29" i="37"/>
  <c r="N191" i="35"/>
  <c r="G430" i="38"/>
  <c r="F389" i="38"/>
  <c r="E133" i="38"/>
  <c r="E4" i="38"/>
  <c r="E235" i="38"/>
  <c r="N55" i="35"/>
  <c r="F44" i="38"/>
  <c r="J20" i="35"/>
  <c r="M245" i="35"/>
  <c r="M395" i="35"/>
  <c r="J309" i="35"/>
  <c r="M376" i="35"/>
  <c r="E239" i="38"/>
  <c r="L46" i="35"/>
  <c r="J212" i="35"/>
  <c r="N250" i="35"/>
  <c r="M363" i="35"/>
  <c r="H44" i="38"/>
  <c r="F374" i="38"/>
  <c r="F152" i="38"/>
  <c r="N209" i="35"/>
  <c r="N10" i="35"/>
  <c r="L12" i="35"/>
  <c r="N348" i="35"/>
  <c r="E420" i="38"/>
  <c r="G429" i="38"/>
  <c r="G438" i="38"/>
  <c r="L61" i="35"/>
  <c r="K53" i="35"/>
  <c r="F43" i="38"/>
  <c r="N68" i="35"/>
  <c r="J188" i="35"/>
  <c r="N319" i="35"/>
  <c r="F365" i="38"/>
  <c r="J25" i="37"/>
  <c r="Q11" i="37"/>
  <c r="E64" i="38"/>
  <c r="N173" i="35"/>
  <c r="F116" i="38"/>
  <c r="N63" i="35"/>
  <c r="J22" i="35"/>
  <c r="E104" i="38"/>
  <c r="O23" i="37"/>
  <c r="F326" i="38"/>
  <c r="N22" i="35"/>
  <c r="R23" i="37"/>
  <c r="M113" i="35"/>
  <c r="E183" i="38"/>
  <c r="E264" i="38"/>
  <c r="M195" i="35"/>
  <c r="M220" i="35"/>
  <c r="N73" i="35"/>
  <c r="F60" i="38"/>
  <c r="M278" i="35"/>
  <c r="F5" i="38"/>
  <c r="N41" i="35"/>
  <c r="M6" i="35"/>
  <c r="J85" i="35"/>
  <c r="L109" i="35"/>
  <c r="M358" i="35"/>
  <c r="F119" i="38"/>
  <c r="M11" i="35"/>
  <c r="I435" i="38"/>
  <c r="M213" i="35"/>
  <c r="D225" i="38"/>
  <c r="F361" i="38"/>
  <c r="N144" i="35"/>
  <c r="M423" i="38"/>
  <c r="J7" i="37"/>
  <c r="L10" i="35"/>
  <c r="L92" i="35"/>
  <c r="L8" i="35"/>
  <c r="F131" i="38"/>
  <c r="M217" i="35"/>
  <c r="P3" i="37"/>
  <c r="N154" i="35"/>
  <c r="J180" i="35"/>
  <c r="N417" i="38"/>
  <c r="M196" i="35"/>
  <c r="F393" i="38"/>
  <c r="F128" i="38"/>
  <c r="M352" i="35"/>
  <c r="N82" i="35"/>
  <c r="N214" i="35"/>
  <c r="D332" i="38"/>
  <c r="J138" i="35"/>
  <c r="N91" i="35"/>
  <c r="K7" i="35"/>
  <c r="O7" i="37"/>
  <c r="G59" i="38"/>
  <c r="Q23" i="37"/>
  <c r="I417" i="38"/>
  <c r="E78" i="38"/>
  <c r="G5" i="38"/>
  <c r="J4" i="35"/>
  <c r="N235" i="35"/>
  <c r="H41" i="38"/>
  <c r="G68" i="38"/>
  <c r="F87" i="38"/>
  <c r="N247" i="35"/>
  <c r="L131" i="35"/>
  <c r="D171" i="38"/>
  <c r="D340" i="38"/>
  <c r="M9" i="37"/>
  <c r="F33" i="38"/>
  <c r="L99" i="35"/>
  <c r="F79" i="38"/>
  <c r="J319" i="35"/>
  <c r="N403" i="35"/>
  <c r="F332" i="38"/>
  <c r="D7" i="38"/>
  <c r="J246" i="35"/>
  <c r="K433" i="38"/>
  <c r="D207" i="38"/>
  <c r="N15" i="35"/>
  <c r="N261" i="35"/>
  <c r="M437" i="38"/>
  <c r="N72" i="35"/>
  <c r="E432" i="38"/>
  <c r="E19" i="38"/>
  <c r="E273" i="38"/>
  <c r="M2" i="35"/>
  <c r="O14" i="37"/>
  <c r="I439" i="38"/>
  <c r="E278" i="38"/>
  <c r="J200" i="35"/>
  <c r="O35" i="37"/>
  <c r="N333" i="35"/>
  <c r="F157" i="38"/>
  <c r="F331" i="38"/>
  <c r="F426" i="38"/>
  <c r="F358" i="38"/>
  <c r="H43" i="38"/>
  <c r="E173" i="38"/>
  <c r="J429" i="38"/>
  <c r="E79" i="38"/>
  <c r="D301" i="38"/>
  <c r="L84" i="35"/>
  <c r="L7" i="35"/>
  <c r="D255" i="38"/>
  <c r="F412" i="38"/>
  <c r="J67" i="35"/>
  <c r="E251" i="38"/>
  <c r="M179" i="35"/>
  <c r="F10" i="38"/>
  <c r="L79" i="35"/>
  <c r="H60" i="38"/>
  <c r="L50" i="35"/>
  <c r="D150" i="38"/>
  <c r="E74" i="38"/>
  <c r="F311" i="38"/>
  <c r="D318" i="38"/>
  <c r="F163" i="38"/>
  <c r="J19" i="37"/>
  <c r="J421" i="38"/>
  <c r="L94" i="35"/>
  <c r="N322" i="35"/>
  <c r="E88" i="38"/>
  <c r="H31" i="38"/>
  <c r="N388" i="35"/>
  <c r="E24" i="38"/>
  <c r="J156" i="35"/>
  <c r="J49" i="35"/>
  <c r="E268" i="38"/>
  <c r="M203" i="35"/>
  <c r="N165" i="35"/>
  <c r="M250" i="35"/>
  <c r="G18" i="38"/>
  <c r="M212" i="35"/>
  <c r="N418" i="38"/>
  <c r="J12" i="35"/>
  <c r="L54" i="35"/>
  <c r="N147" i="35"/>
  <c r="J238" i="35"/>
  <c r="N294" i="35"/>
  <c r="F309" i="38"/>
  <c r="M110" i="35"/>
  <c r="N149" i="35"/>
  <c r="F53" i="38"/>
  <c r="O10" i="37"/>
  <c r="H13" i="38"/>
  <c r="E406" i="38"/>
  <c r="L35" i="37"/>
  <c r="N278" i="35"/>
  <c r="R13" i="37"/>
  <c r="E186" i="38"/>
  <c r="N175" i="35"/>
  <c r="K436" i="38"/>
  <c r="M320" i="35"/>
  <c r="K421" i="38"/>
  <c r="F14" i="38"/>
  <c r="N362" i="35"/>
  <c r="M133" i="35"/>
  <c r="D299" i="38"/>
  <c r="E95" i="38"/>
  <c r="E3" i="38"/>
  <c r="N48" i="35"/>
  <c r="E20" i="38"/>
  <c r="M49" i="35"/>
  <c r="E170" i="38"/>
  <c r="M202" i="35"/>
  <c r="J260" i="35"/>
  <c r="J173" i="35"/>
  <c r="E43" i="38"/>
  <c r="J43" i="35"/>
  <c r="P5" i="37"/>
  <c r="F138" i="38"/>
  <c r="O6" i="37"/>
  <c r="F420" i="38"/>
  <c r="N15" i="37"/>
  <c r="M246" i="35"/>
  <c r="J204" i="35"/>
  <c r="F158" i="38"/>
  <c r="D251" i="38"/>
  <c r="E101" i="38"/>
  <c r="H428" i="38"/>
  <c r="M235" i="35"/>
  <c r="J151" i="35"/>
  <c r="N425" i="38"/>
  <c r="R15" i="37"/>
  <c r="M336" i="35"/>
  <c r="N3" i="35"/>
  <c r="M27" i="35"/>
  <c r="M303" i="35"/>
  <c r="J130" i="35"/>
  <c r="D335" i="38"/>
  <c r="E185" i="38"/>
  <c r="H22" i="38"/>
  <c r="M147" i="35"/>
  <c r="M380" i="35"/>
  <c r="J51" i="35"/>
  <c r="L26" i="35"/>
  <c r="Q7" i="37"/>
  <c r="M406" i="35"/>
  <c r="D278" i="38"/>
  <c r="M374" i="35"/>
  <c r="L85" i="35"/>
  <c r="M263" i="35"/>
  <c r="J263" i="35"/>
  <c r="J34" i="37"/>
  <c r="N113" i="35"/>
  <c r="M43" i="35"/>
  <c r="G52" i="38"/>
  <c r="N130" i="35"/>
  <c r="F147" i="38"/>
  <c r="D215" i="38"/>
  <c r="M404" i="35"/>
  <c r="E216" i="38"/>
  <c r="H9" i="38"/>
  <c r="L41" i="35"/>
  <c r="E137" i="38"/>
  <c r="F189" i="38"/>
  <c r="H433" i="38"/>
  <c r="E94" i="38"/>
  <c r="K27" i="35"/>
  <c r="E13" i="38"/>
  <c r="M11" i="37"/>
  <c r="J423" i="38"/>
  <c r="E62" i="38"/>
  <c r="M390" i="35"/>
  <c r="E423" i="38"/>
  <c r="N17" i="35"/>
  <c r="F195" i="38"/>
  <c r="K59" i="35"/>
  <c r="J321" i="35"/>
  <c r="F19" i="38"/>
  <c r="E213" i="38"/>
  <c r="D346" i="38"/>
  <c r="F315" i="38"/>
  <c r="P23" i="37"/>
  <c r="M177" i="35"/>
  <c r="M347" i="35"/>
  <c r="J3" i="35"/>
  <c r="M171" i="35"/>
  <c r="F6" i="38"/>
  <c r="F354" i="38"/>
  <c r="E408" i="38"/>
  <c r="N125" i="35"/>
  <c r="E238" i="38"/>
  <c r="L44" i="35"/>
  <c r="L80" i="35"/>
  <c r="M289" i="35"/>
  <c r="P17" i="37"/>
  <c r="N378" i="35"/>
  <c r="N121" i="35"/>
  <c r="J104" i="35"/>
  <c r="N42" i="35"/>
  <c r="E30" i="38"/>
  <c r="F427" i="38"/>
  <c r="J217" i="35"/>
  <c r="F341" i="38"/>
  <c r="F49" i="38"/>
  <c r="H53" i="38"/>
  <c r="M392" i="35"/>
  <c r="F141" i="38"/>
  <c r="F117" i="38"/>
  <c r="H12" i="38"/>
  <c r="E244" i="38"/>
  <c r="N70" i="35"/>
  <c r="H419" i="38"/>
  <c r="L70" i="35"/>
  <c r="G424" i="38"/>
  <c r="E50" i="38"/>
  <c r="F125" i="38"/>
  <c r="G2" i="38"/>
  <c r="M432" i="38"/>
  <c r="E262" i="38"/>
  <c r="M216" i="35"/>
  <c r="M284" i="35"/>
  <c r="K16" i="37"/>
  <c r="E270" i="38"/>
  <c r="N95" i="35"/>
  <c r="L433" i="38"/>
  <c r="M237" i="35"/>
  <c r="L113" i="35"/>
  <c r="M135" i="35"/>
  <c r="E17" i="38"/>
  <c r="J121" i="35"/>
  <c r="N336" i="35"/>
  <c r="J172" i="35"/>
  <c r="M353" i="35"/>
  <c r="J3" i="37"/>
  <c r="L434" i="38"/>
  <c r="M19" i="37"/>
  <c r="F8" i="38"/>
  <c r="N155" i="35"/>
  <c r="N159" i="35"/>
  <c r="E259" i="38"/>
  <c r="F166" i="38"/>
  <c r="F13" i="38"/>
  <c r="K13" i="37"/>
  <c r="E171" i="38"/>
  <c r="F319" i="38"/>
  <c r="G19" i="38"/>
  <c r="M403" i="35"/>
  <c r="F38" i="38"/>
  <c r="M190" i="35"/>
  <c r="F130" i="38"/>
  <c r="N205" i="35"/>
  <c r="M436" i="38"/>
  <c r="M302" i="35"/>
  <c r="N29" i="35"/>
  <c r="E177" i="38"/>
  <c r="L121" i="35"/>
  <c r="S17" i="37"/>
  <c r="J132" i="35"/>
  <c r="H2" i="38"/>
  <c r="M81" i="35"/>
  <c r="J90" i="35"/>
  <c r="D218" i="38"/>
  <c r="L422" i="38"/>
  <c r="D223" i="38"/>
  <c r="N127" i="35"/>
  <c r="N424" i="38"/>
  <c r="F63" i="38"/>
  <c r="H34" i="38"/>
  <c r="N339" i="35"/>
  <c r="D177" i="38"/>
  <c r="I434" i="38"/>
  <c r="E102" i="38"/>
  <c r="D250" i="38"/>
  <c r="G421" i="38"/>
  <c r="H35" i="38"/>
  <c r="E9" i="38"/>
  <c r="F11" i="38"/>
  <c r="E131" i="38"/>
  <c r="K22" i="35"/>
  <c r="E403" i="38"/>
  <c r="G46" i="38"/>
  <c r="E112" i="38"/>
  <c r="H18" i="38"/>
  <c r="L437" i="38"/>
  <c r="E266" i="38"/>
  <c r="L16" i="35"/>
  <c r="M209" i="35"/>
  <c r="M257" i="35"/>
  <c r="G3" i="38"/>
  <c r="J32" i="37"/>
  <c r="K26" i="35"/>
  <c r="L104" i="35"/>
  <c r="D279" i="38"/>
  <c r="N308" i="35"/>
  <c r="J107" i="35"/>
  <c r="E231" i="38"/>
  <c r="G43" i="38"/>
  <c r="J129" i="35"/>
  <c r="M90" i="35"/>
  <c r="F367" i="38"/>
  <c r="F408" i="38"/>
  <c r="F174" i="38"/>
  <c r="N67" i="35"/>
  <c r="F336" i="38"/>
  <c r="I440" i="38"/>
  <c r="G9" i="38"/>
  <c r="F101" i="38"/>
  <c r="D184" i="38"/>
  <c r="F161" i="38"/>
  <c r="H417" i="38"/>
  <c r="F348" i="38"/>
  <c r="L33" i="35"/>
  <c r="E161" i="38"/>
  <c r="M127" i="35"/>
  <c r="J48" i="35"/>
  <c r="M10" i="35"/>
  <c r="L39" i="35"/>
  <c r="J186" i="35"/>
  <c r="F118" i="38"/>
  <c r="F372" i="38"/>
  <c r="D213" i="38"/>
  <c r="D140" i="38"/>
  <c r="L435" i="38"/>
  <c r="G12" i="38"/>
  <c r="N92" i="35"/>
  <c r="K48" i="35"/>
  <c r="M103" i="35"/>
  <c r="E41" i="38"/>
  <c r="F169" i="38"/>
  <c r="F80" i="38"/>
  <c r="E282" i="38"/>
  <c r="L417" i="38"/>
  <c r="L123" i="35"/>
  <c r="F377" i="38"/>
  <c r="F126" i="38"/>
  <c r="J439" i="38"/>
  <c r="N118" i="35"/>
  <c r="J187" i="35"/>
  <c r="F168" i="38"/>
  <c r="N49" i="35"/>
  <c r="E143" i="38"/>
  <c r="E68" i="38"/>
  <c r="F322" i="38"/>
  <c r="M399" i="35"/>
  <c r="F194" i="38"/>
  <c r="H425" i="38"/>
  <c r="M272" i="35"/>
  <c r="F308" i="38"/>
  <c r="N53" i="35"/>
  <c r="L77" i="35"/>
  <c r="M170" i="35"/>
  <c r="H27" i="38"/>
  <c r="G432" i="38"/>
  <c r="J254" i="35"/>
  <c r="F355" i="38"/>
  <c r="M104" i="35"/>
  <c r="J287" i="35"/>
  <c r="M45" i="35"/>
  <c r="M211" i="35"/>
  <c r="G47" i="38"/>
  <c r="M39" i="35"/>
  <c r="M136" i="35"/>
  <c r="F41" i="38"/>
  <c r="M361" i="35"/>
  <c r="N392" i="35"/>
  <c r="M319" i="35"/>
  <c r="M120" i="35"/>
  <c r="F303" i="38"/>
  <c r="F58" i="38"/>
  <c r="M434" i="38"/>
  <c r="E421" i="38"/>
  <c r="E84" i="38"/>
  <c r="J324" i="35"/>
  <c r="F88" i="38"/>
  <c r="D290" i="38"/>
  <c r="J198" i="35"/>
  <c r="J340" i="35"/>
  <c r="H437" i="38"/>
  <c r="F94" i="38"/>
  <c r="M269" i="35"/>
  <c r="K19" i="37"/>
  <c r="D291" i="38"/>
  <c r="L11" i="37"/>
  <c r="L38" i="35"/>
  <c r="E106" i="38"/>
  <c r="Q15" i="37"/>
  <c r="J179" i="35"/>
  <c r="F351" i="38"/>
  <c r="F20" i="38"/>
  <c r="F180" i="38"/>
  <c r="E23" i="38"/>
  <c r="N368" i="35"/>
  <c r="R7" i="37"/>
  <c r="J310" i="35"/>
  <c r="F18" i="38"/>
  <c r="M277" i="35"/>
  <c r="R5" i="37"/>
  <c r="D8" i="38"/>
  <c r="K418" i="38"/>
  <c r="N50" i="35"/>
  <c r="J35" i="37"/>
  <c r="H430" i="38"/>
  <c r="J202" i="35"/>
  <c r="F66" i="38"/>
  <c r="G34" i="38"/>
  <c r="N259" i="35"/>
  <c r="K10" i="35"/>
  <c r="J161" i="35"/>
  <c r="D324" i="38"/>
  <c r="F425" i="38"/>
  <c r="L40" i="35"/>
  <c r="E242" i="38"/>
  <c r="J422" i="38"/>
  <c r="H37" i="38"/>
  <c r="D154" i="38"/>
  <c r="E139" i="38"/>
  <c r="E128" i="38"/>
  <c r="E31" i="38"/>
  <c r="F405" i="38"/>
  <c r="E293" i="38"/>
  <c r="E124" i="38"/>
  <c r="F192" i="38"/>
  <c r="N206" i="35"/>
  <c r="M82" i="35"/>
  <c r="M349" i="35"/>
  <c r="N351" i="35"/>
  <c r="L15" i="37"/>
  <c r="H418" i="38"/>
  <c r="K41" i="35"/>
  <c r="E402" i="38"/>
  <c r="L133" i="35"/>
  <c r="F404" i="38"/>
  <c r="M422" i="38"/>
  <c r="S6" i="37"/>
  <c r="H424" i="38"/>
  <c r="M350" i="35"/>
  <c r="E58" i="38"/>
  <c r="D341" i="38"/>
  <c r="K28" i="35"/>
  <c r="M67" i="35"/>
  <c r="L75" i="35"/>
  <c r="E209" i="38"/>
  <c r="N213" i="35"/>
  <c r="J119" i="35"/>
  <c r="F136" i="38"/>
  <c r="M62" i="35"/>
  <c r="L427" i="38"/>
  <c r="Q14" i="37"/>
  <c r="M31" i="35"/>
  <c r="N431" i="38"/>
  <c r="M207" i="35"/>
  <c r="F328" i="38"/>
  <c r="J277" i="35"/>
  <c r="E410" i="38"/>
  <c r="E18" i="38"/>
  <c r="D170" i="38"/>
  <c r="F50" i="38"/>
  <c r="F151" i="38"/>
  <c r="N152" i="35"/>
  <c r="E138" i="38"/>
  <c r="E435" i="38"/>
  <c r="E438" i="38"/>
  <c r="N107" i="35"/>
  <c r="G37" i="38"/>
  <c r="J163" i="35"/>
  <c r="F70" i="38"/>
  <c r="N254" i="35"/>
  <c r="H64" i="38"/>
  <c r="M286" i="35"/>
  <c r="E191" i="38"/>
  <c r="D183" i="38"/>
  <c r="M189" i="35"/>
  <c r="F343" i="38"/>
  <c r="E54" i="38"/>
  <c r="J435" i="38"/>
  <c r="K14" i="35"/>
  <c r="I422" i="38"/>
  <c r="N320" i="35"/>
  <c r="L43" i="35"/>
  <c r="O16" i="37"/>
  <c r="E226" i="38"/>
  <c r="M430" i="38"/>
  <c r="H56" i="38"/>
  <c r="E204" i="38"/>
  <c r="M378" i="35"/>
  <c r="G7" i="38"/>
  <c r="F133" i="38"/>
  <c r="G431" i="38"/>
  <c r="R19" i="37"/>
  <c r="E258" i="38"/>
  <c r="L125" i="35"/>
  <c r="E96" i="38"/>
  <c r="M375" i="35"/>
  <c r="N386" i="35"/>
  <c r="M312" i="35"/>
  <c r="D243" i="38"/>
  <c r="J160" i="35"/>
  <c r="E49" i="38"/>
  <c r="N211" i="35"/>
  <c r="N242" i="35"/>
  <c r="M14" i="37"/>
  <c r="E2" i="38"/>
  <c r="N65" i="35"/>
  <c r="M106" i="35"/>
  <c r="M408" i="35"/>
  <c r="L430" i="38"/>
  <c r="K420" i="38"/>
  <c r="N352" i="35"/>
  <c r="N216" i="35"/>
  <c r="D164" i="38"/>
  <c r="F160" i="38"/>
  <c r="J225" i="35"/>
  <c r="K427" i="38"/>
  <c r="M100" i="35"/>
  <c r="K15" i="35"/>
  <c r="L10" i="37"/>
  <c r="F144" i="38"/>
  <c r="J441" i="38"/>
  <c r="N277" i="35"/>
  <c r="N47" i="35"/>
  <c r="E267" i="38"/>
  <c r="M407" i="35"/>
  <c r="E22" i="38"/>
  <c r="M91" i="35"/>
  <c r="F154" i="38"/>
  <c r="M210" i="35"/>
  <c r="J305" i="35"/>
  <c r="G33" i="38"/>
  <c r="J328" i="35"/>
  <c r="J159" i="35"/>
  <c r="N11" i="37"/>
  <c r="L6" i="37"/>
  <c r="H6" i="38"/>
  <c r="H420" i="38"/>
  <c r="I433" i="38"/>
  <c r="N273" i="35"/>
  <c r="N2" i="35"/>
  <c r="Q5" i="37"/>
  <c r="J76" i="35"/>
  <c r="L72" i="35"/>
  <c r="L49" i="35"/>
  <c r="E67" i="38"/>
  <c r="F338" i="38"/>
  <c r="N84" i="35"/>
  <c r="M439" i="38"/>
  <c r="M332" i="35"/>
  <c r="F415" i="38"/>
  <c r="K62" i="35"/>
  <c r="N269" i="35"/>
  <c r="N373" i="35"/>
  <c r="F394" i="38"/>
  <c r="M16" i="35"/>
  <c r="J32" i="35"/>
  <c r="K15" i="37"/>
  <c r="N128" i="35"/>
  <c r="J302" i="35"/>
  <c r="N298" i="35"/>
  <c r="J31" i="35"/>
  <c r="J30" i="37"/>
  <c r="L101" i="35"/>
  <c r="E416" i="38"/>
  <c r="M331" i="35"/>
  <c r="L122" i="35"/>
  <c r="E105" i="38"/>
  <c r="F439" i="38"/>
  <c r="E142" i="38"/>
  <c r="M419" i="38"/>
  <c r="J177" i="35"/>
  <c r="F81" i="38"/>
  <c r="E211" i="38"/>
  <c r="D199" i="38"/>
  <c r="E65" i="38"/>
  <c r="D239" i="38"/>
  <c r="F409" i="38"/>
  <c r="M118" i="35"/>
  <c r="N300" i="35"/>
  <c r="F323" i="38"/>
  <c r="N260" i="35"/>
  <c r="D306" i="38"/>
  <c r="F132" i="38"/>
  <c r="D220" i="38"/>
  <c r="M252" i="35"/>
  <c r="H423" i="38"/>
  <c r="M387" i="35"/>
  <c r="D156" i="38"/>
  <c r="D282" i="38"/>
  <c r="L97" i="35"/>
  <c r="F362" i="38"/>
  <c r="F142" i="38"/>
  <c r="K47" i="35"/>
  <c r="F75" i="38"/>
  <c r="L3" i="37"/>
  <c r="F363" i="38"/>
  <c r="F59" i="38"/>
  <c r="E180" i="38"/>
  <c r="G38" i="38"/>
  <c r="E255" i="38"/>
  <c r="L73" i="35"/>
  <c r="N197" i="35"/>
  <c r="M156" i="35"/>
  <c r="M76" i="35"/>
  <c r="F171" i="38"/>
  <c r="J11" i="37"/>
  <c r="D174" i="38"/>
  <c r="K21" i="37"/>
  <c r="J54" i="35"/>
  <c r="J224" i="35"/>
  <c r="D304" i="38"/>
  <c r="E243" i="38"/>
  <c r="F403" i="38"/>
  <c r="E14" i="38"/>
  <c r="F436" i="38"/>
  <c r="F17" i="38"/>
  <c r="E163" i="38"/>
  <c r="M301" i="35"/>
  <c r="J286" i="35"/>
  <c r="H48" i="38"/>
  <c r="M178" i="35"/>
  <c r="F320" i="38"/>
  <c r="L82" i="35"/>
  <c r="N441" i="38"/>
  <c r="L108" i="35"/>
  <c r="F178" i="38"/>
  <c r="N100" i="35"/>
  <c r="N222" i="35"/>
  <c r="L28" i="35"/>
  <c r="E205" i="38"/>
  <c r="L129" i="35"/>
  <c r="K24" i="35"/>
  <c r="M249" i="35"/>
  <c r="S21" i="37"/>
  <c r="D165" i="38"/>
  <c r="J35" i="35"/>
  <c r="M23" i="37"/>
  <c r="F113" i="38"/>
  <c r="J218" i="35"/>
  <c r="S16" i="37"/>
  <c r="M429" i="38"/>
  <c r="J268" i="35"/>
  <c r="H29" i="38"/>
  <c r="H50" i="38"/>
  <c r="J23" i="37"/>
  <c r="J30" i="35"/>
  <c r="E229" i="38"/>
  <c r="I429" i="38"/>
  <c r="M63" i="35"/>
  <c r="L128" i="35"/>
  <c r="E165" i="38"/>
  <c r="J123" i="35"/>
  <c r="E45" i="38"/>
  <c r="D139" i="38"/>
  <c r="M93" i="35"/>
  <c r="M187" i="35"/>
  <c r="F72" i="38"/>
  <c r="N14" i="35"/>
  <c r="J152" i="35"/>
  <c r="J24" i="35"/>
  <c r="J299" i="35"/>
  <c r="L16" i="37"/>
  <c r="F413" i="38"/>
  <c r="N390" i="35"/>
  <c r="F437" i="38"/>
  <c r="N199" i="35"/>
  <c r="S7" i="37"/>
  <c r="K20" i="35"/>
  <c r="E120" i="38"/>
  <c r="G16" i="38"/>
  <c r="G42" i="38"/>
  <c r="L11" i="35"/>
  <c r="Q19" i="37"/>
  <c r="E56" i="38"/>
  <c r="M232" i="35"/>
  <c r="M29" i="35"/>
  <c r="L126" i="35"/>
  <c r="D271" i="38"/>
  <c r="J229" i="35"/>
  <c r="M125" i="35"/>
  <c r="D287" i="38"/>
  <c r="M17" i="35"/>
  <c r="N210" i="35"/>
  <c r="L81" i="35"/>
  <c r="H26" i="38"/>
  <c r="E85" i="38"/>
  <c r="D188" i="38"/>
  <c r="G436" i="38"/>
  <c r="N299" i="35"/>
  <c r="N305" i="35"/>
  <c r="N9" i="37"/>
  <c r="N223" i="35"/>
  <c r="F193" i="38"/>
  <c r="L432" i="38"/>
  <c r="G58" i="38"/>
  <c r="E412" i="38"/>
  <c r="M214" i="35"/>
  <c r="S13" i="37"/>
  <c r="L58" i="35"/>
  <c r="D267" i="38"/>
  <c r="F148" i="38"/>
  <c r="D9" i="38"/>
  <c r="L29" i="35"/>
  <c r="D246" i="38"/>
  <c r="L117" i="35"/>
  <c r="J47" i="35"/>
  <c r="E407" i="38"/>
  <c r="E249" i="38"/>
  <c r="E86" i="38"/>
  <c r="F349" i="38"/>
  <c r="J153" i="35"/>
  <c r="M311" i="35"/>
  <c r="K67" i="35"/>
  <c r="N58" i="35"/>
  <c r="M328" i="35"/>
  <c r="I418" i="38"/>
  <c r="D336" i="38"/>
  <c r="M359" i="35"/>
  <c r="F23" i="38"/>
  <c r="J311" i="35"/>
  <c r="E75" i="38"/>
  <c r="F417" i="38"/>
  <c r="M50" i="35"/>
  <c r="N21" i="37"/>
  <c r="J440" i="38"/>
  <c r="M381" i="35"/>
  <c r="F61" i="38"/>
  <c r="D293" i="38"/>
  <c r="J193" i="35"/>
  <c r="N46" i="35"/>
  <c r="M241" i="35"/>
  <c r="G29" i="38"/>
  <c r="L22" i="35"/>
  <c r="J52" i="35"/>
  <c r="M115" i="35"/>
  <c r="L118" i="35"/>
  <c r="E178" i="38"/>
  <c r="E426" i="38"/>
  <c r="D345" i="38"/>
  <c r="D185" i="38"/>
  <c r="J280" i="35"/>
  <c r="M174" i="35"/>
  <c r="J341" i="35"/>
  <c r="D254" i="38"/>
  <c r="M4" i="35"/>
  <c r="J183" i="35"/>
  <c r="M121" i="35"/>
  <c r="N374" i="35"/>
  <c r="N60" i="35"/>
  <c r="D212" i="38"/>
  <c r="J428" i="38"/>
  <c r="J62" i="35"/>
  <c r="L23" i="35"/>
  <c r="J192" i="35"/>
  <c r="N139" i="35"/>
  <c r="H436" i="38"/>
  <c r="N24" i="35"/>
  <c r="N6" i="37"/>
  <c r="E436" i="38"/>
  <c r="H4" i="38"/>
  <c r="D176" i="38"/>
  <c r="J417" i="38"/>
  <c r="L15" i="35"/>
  <c r="G39" i="38"/>
  <c r="M30" i="35"/>
  <c r="E411" i="38"/>
  <c r="N360" i="35"/>
  <c r="G435" i="38"/>
  <c r="H65" i="38"/>
  <c r="N406" i="35"/>
  <c r="M68" i="35"/>
  <c r="J216" i="35"/>
  <c r="E181" i="38"/>
  <c r="L31" i="35"/>
  <c r="F357" i="38"/>
  <c r="J203" i="35"/>
  <c r="J45" i="35"/>
  <c r="N327" i="35"/>
  <c r="F390" i="38"/>
  <c r="E288" i="38"/>
  <c r="K32" i="35"/>
  <c r="N282" i="35"/>
  <c r="E117" i="38"/>
  <c r="E404" i="38"/>
  <c r="F156" i="38"/>
  <c r="F15" i="38"/>
  <c r="J17" i="35"/>
  <c r="F153" i="38"/>
  <c r="E5" i="38"/>
  <c r="D310" i="38"/>
  <c r="M316" i="35"/>
  <c r="H16" i="38"/>
  <c r="E401" i="38"/>
  <c r="M101" i="35"/>
  <c r="M221" i="35"/>
  <c r="J10" i="37"/>
  <c r="H46" i="38"/>
  <c r="L30" i="35"/>
  <c r="J83" i="35"/>
  <c r="F334" i="38"/>
  <c r="M200" i="35"/>
  <c r="H441" i="38"/>
  <c r="H59" i="38"/>
  <c r="N44" i="35"/>
  <c r="L6" i="35"/>
  <c r="N160" i="35"/>
  <c r="M426" i="38"/>
  <c r="G13" i="38"/>
  <c r="D142" i="38"/>
  <c r="F140" i="38"/>
  <c r="R3" i="37"/>
  <c r="D268" i="38"/>
  <c r="R14" i="37"/>
  <c r="N45" i="35"/>
  <c r="P15" i="37"/>
  <c r="J84" i="35"/>
  <c r="E169" i="38"/>
  <c r="J155" i="35"/>
  <c r="D258" i="38"/>
  <c r="M275" i="35"/>
  <c r="D263" i="38"/>
  <c r="K437" i="38"/>
  <c r="G49" i="38"/>
  <c r="J78" i="35"/>
  <c r="J209" i="35"/>
  <c r="H14" i="38"/>
  <c r="M175" i="35"/>
  <c r="L88" i="35"/>
  <c r="J38" i="35"/>
  <c r="M280" i="35"/>
  <c r="M304" i="35"/>
  <c r="M355" i="35"/>
  <c r="E125" i="38"/>
  <c r="L425" i="38"/>
  <c r="E40" i="38"/>
  <c r="E415" i="38"/>
  <c r="M96" i="35"/>
  <c r="J16" i="37"/>
  <c r="M344" i="35"/>
  <c r="F110" i="38"/>
  <c r="M300" i="35"/>
  <c r="J17" i="37"/>
  <c r="F364" i="38"/>
  <c r="H440" i="38"/>
  <c r="K18" i="35"/>
  <c r="J231" i="35"/>
  <c r="J10" i="35"/>
  <c r="L127" i="35"/>
  <c r="H40" i="38"/>
  <c r="E109" i="38"/>
  <c r="D244" i="38"/>
  <c r="Q21" i="37"/>
  <c r="E257" i="38"/>
  <c r="O19" i="37"/>
  <c r="H32" i="38"/>
  <c r="F395" i="38"/>
  <c r="M266" i="35"/>
  <c r="K6" i="35"/>
  <c r="J127"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B20" authorId="0" shapeId="0" xr:uid="{00000000-0006-0000-0000-000001000000}">
      <text>
        <r>
          <rPr>
            <sz val="9"/>
            <color indexed="81"/>
            <rFont val="Tahoma"/>
            <family val="2"/>
          </rPr>
          <t>Službeni glasnik RS 59/22</t>
        </r>
      </text>
    </comment>
    <comment ref="B25" authorId="0" shapeId="0" xr:uid="{00000000-0006-0000-0000-000002000000}">
      <text>
        <r>
          <rPr>
            <sz val="9"/>
            <color indexed="81"/>
            <rFont val="Tahoma"/>
            <family val="2"/>
          </rPr>
          <t>Službeni glasnik RS 59/22</t>
        </r>
      </text>
    </comment>
    <comment ref="B28" authorId="0" shapeId="0" xr:uid="{00000000-0006-0000-0000-000003000000}">
      <text>
        <r>
          <rPr>
            <sz val="9"/>
            <color indexed="81"/>
            <rFont val="Tahoma"/>
            <family val="2"/>
          </rPr>
          <t>Službeni glasnik RS 63/16</t>
        </r>
      </text>
    </comment>
    <comment ref="B31" authorId="0" shapeId="0" xr:uid="{00000000-0006-0000-0000-000004000000}">
      <text>
        <r>
          <rPr>
            <sz val="9"/>
            <color indexed="81"/>
            <rFont val="Tahoma"/>
            <family val="2"/>
          </rPr>
          <t>Službeni glasnik RS 59/22</t>
        </r>
      </text>
    </comment>
    <comment ref="B34" authorId="0" shapeId="0" xr:uid="{00000000-0006-0000-0000-000005000000}">
      <text>
        <r>
          <rPr>
            <sz val="9"/>
            <color indexed="81"/>
            <rFont val="Tahoma"/>
            <family val="2"/>
          </rPr>
          <t>Službeni glasnik RS 62/16</t>
        </r>
      </text>
    </comment>
    <comment ref="B37" authorId="0" shapeId="0" xr:uid="{00000000-0006-0000-0000-000006000000}">
      <text>
        <r>
          <rPr>
            <sz val="9"/>
            <color indexed="81"/>
            <rFont val="Tahoma"/>
            <family val="2"/>
          </rPr>
          <t>Službeni glasnik RS 59/22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natasa</author>
  </authors>
  <commentList>
    <comment ref="J372" authorId="0" shapeId="0" xr:uid="{AED52B0B-A095-4903-97A2-A838A35EB23E}">
      <text>
        <r>
          <rPr>
            <b/>
            <sz val="9"/>
            <color indexed="81"/>
            <rFont val="Tahoma"/>
            <family val="2"/>
            <charset val="238"/>
          </rPr>
          <t>natasa:</t>
        </r>
        <r>
          <rPr>
            <sz val="9"/>
            <color indexed="81"/>
            <rFont val="Tahoma"/>
            <family val="2"/>
            <charset val="238"/>
          </rPr>
          <t xml:space="preserve">
Субсидии на производство представляют собой субсидии, которые не могут быть субсидии, которые не могут отображаться по единице продукции или услуги</t>
        </r>
      </text>
    </comment>
    <comment ref="J407" authorId="0" shapeId="0" xr:uid="{C0F3A685-E32A-4128-B314-7B40BD07EF27}">
      <text>
        <r>
          <rPr>
            <b/>
            <sz val="9"/>
            <color indexed="81"/>
            <rFont val="Tahoma"/>
            <family val="2"/>
            <charset val="238"/>
          </rPr>
          <t>natasa:</t>
        </r>
        <r>
          <rPr>
            <sz val="9"/>
            <color indexed="81"/>
            <rFont val="Tahoma"/>
            <family val="2"/>
            <charset val="238"/>
          </rPr>
          <t xml:space="preserve">
Налоги на производство включают в себя все налоги, оплачиваемые обществом из-за привлечения других лиц в производстве в независимости от объема или стоимости произведенного товара или услуг</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P17" authorId="0" shapeId="0" xr:uid="{00000000-0006-0000-0700-000001000000}">
      <text>
        <r>
          <rPr>
            <sz val="9"/>
            <color indexed="81"/>
            <rFont val="Tahoma"/>
            <family val="2"/>
          </rPr>
          <t>Kolone 11 i 12 Izvještaja popunjavaju samo matična pravna lica prilikom izrade konsolidovanog finansijskog izvještaja i ova pravna lica, u skladu sa MRS 1 - Prezentacija finansijskih izvještaja imaju obavezu da u Izvještaju odvojeno prikažu iznose kapitala koji pripadaju vlasnicima matičnog pravnog lica od iznosa koji pripadaju manjinskim vlasnicima.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Q2" authorId="0" shapeId="0" xr:uid="{00000000-0006-0000-0A00-000001000000}">
      <text>
        <r>
          <rPr>
            <sz val="9"/>
            <color indexed="81"/>
            <rFont val="Tahoma"/>
            <family val="2"/>
          </rPr>
          <t>Koristi se za kreiranje APIF import fajla.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E1" authorId="0" shapeId="0" xr:uid="{00000000-0006-0000-0D00-000001000000}">
      <text>
        <r>
          <rPr>
            <sz val="9"/>
            <color indexed="81"/>
            <rFont val="Tahoma"/>
            <family val="2"/>
          </rPr>
          <t>Kod decimalnih brojeva, tačka je separator (15.57).</t>
        </r>
      </text>
    </comment>
    <comment ref="F1" authorId="0" shapeId="0" xr:uid="{00000000-0006-0000-0D00-000002000000}">
      <text>
        <r>
          <rPr>
            <sz val="9"/>
            <color indexed="81"/>
            <rFont val="Tahoma"/>
            <family val="2"/>
          </rPr>
          <t>Kod decimalnih brojeva, tačka je separator (15.57).</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<sst xmlns="http://schemas.openxmlformats.org/spreadsheetml/2006/main" count="4800" uniqueCount="3083">
  <si>
    <t>3. Obaveze iz specifičnih poslova</t>
  </si>
  <si>
    <t>650 do 659</t>
  </si>
  <si>
    <t>8. Ostali poslovni prihodi</t>
  </si>
  <si>
    <t>500 do 502</t>
  </si>
  <si>
    <t>530 do 539</t>
  </si>
  <si>
    <t>Razrijeđena zarada po akciji</t>
  </si>
  <si>
    <t>200, part 209</t>
  </si>
  <si>
    <t>241 to 249</t>
  </si>
  <si>
    <t>270 do 279</t>
  </si>
  <si>
    <t>270 to 279</t>
  </si>
  <si>
    <t>440 to 449</t>
  </si>
  <si>
    <t>450 to 458</t>
  </si>
  <si>
    <t>470 to 479</t>
  </si>
  <si>
    <t>890 to 898</t>
  </si>
  <si>
    <t>Balance Sheet</t>
  </si>
  <si>
    <t>Income Statement</t>
  </si>
  <si>
    <t>Bilans stanja</t>
  </si>
  <si>
    <t>Bilans uspjeha</t>
  </si>
  <si>
    <t>Bilans tokova gotovine</t>
  </si>
  <si>
    <t>Group and part of group of accounts</t>
  </si>
  <si>
    <t>E. OFF BALANCE SHEET EQUITY AND LIABILITIES</t>
  </si>
  <si>
    <t>Engleska verzija finansijskih izvještaja je samo za informacione svrhe.</t>
  </si>
  <si>
    <t>The English version of financial statements is provided for information purposes only.</t>
  </si>
  <si>
    <t xml:space="preserve">The Banja Luka Stock Exchange cannot be held responsible and accountable for the accuracy of translation into English.   </t>
  </si>
  <si>
    <t>Cash Flow Statement</t>
  </si>
  <si>
    <t>Banjalučka berza ne odgovara za tačnost prevoda na engleski jezik.</t>
  </si>
  <si>
    <t>47, except 479</t>
  </si>
  <si>
    <t>27, except 279</t>
  </si>
  <si>
    <t>Statement on Changes in Equity</t>
  </si>
  <si>
    <t>Unrealized gains/losses arising from financial assets available for sale</t>
  </si>
  <si>
    <t>Diluted earnings per share</t>
  </si>
  <si>
    <t>U obrazacu Promjene na kapitalu potrebno je popuniti čitavu tabelu.</t>
  </si>
  <si>
    <t>Obična zarada po akciji</t>
  </si>
  <si>
    <t>Prosječan broj zaposlenih po osnovu časova rada</t>
  </si>
  <si>
    <t>47, osim 479</t>
  </si>
  <si>
    <t>27, osim 279</t>
  </si>
  <si>
    <t>dio 650</t>
  </si>
  <si>
    <t>Basic earnings per share</t>
  </si>
  <si>
    <t>Share of net income/loss which belongs to majority owners</t>
  </si>
  <si>
    <t>Share of net income/loss which belongs to minority owners</t>
  </si>
  <si>
    <t>Prosječan broj zaposlenih po osnovu stanja na kraju mjeseca</t>
  </si>
  <si>
    <t>part 32</t>
  </si>
  <si>
    <t>a) Income from sale of merchandise goods to related legal entities</t>
  </si>
  <si>
    <t>a) Gross wages and gross salaries</t>
  </si>
  <si>
    <t>b) Other employee expenses</t>
  </si>
  <si>
    <t>10 to 15</t>
  </si>
  <si>
    <t>100 to 109</t>
  </si>
  <si>
    <t>130 to 139</t>
  </si>
  <si>
    <t>140 to 149</t>
  </si>
  <si>
    <t>150 to 159</t>
  </si>
  <si>
    <t>Amount</t>
  </si>
  <si>
    <t>Current Year</t>
  </si>
  <si>
    <t>Previous Year</t>
  </si>
  <si>
    <t>b) Income from sale of merchandise goods on domestic market</t>
  </si>
  <si>
    <t>In</t>
  </si>
  <si>
    <t>JIB</t>
  </si>
  <si>
    <t>Oznaka za AOP</t>
  </si>
  <si>
    <t>Promjene koje utiču na smanjenje kapitala se unose kao negativni brojevi (Na primjer: objava dividende, gubitak perioda, pokrice gubitka, negativna korekcija i sl.)</t>
  </si>
  <si>
    <t>Uputstvo za popunjavanje obrazaca</t>
  </si>
  <si>
    <t>dio 550</t>
  </si>
  <si>
    <t>Iznos</t>
  </si>
  <si>
    <t>Tekuća godina</t>
  </si>
  <si>
    <t>Prethodna godina</t>
  </si>
  <si>
    <t>U</t>
  </si>
  <si>
    <t>Dana</t>
  </si>
  <si>
    <t>Direktor</t>
  </si>
  <si>
    <t>1. Prihodi od prodaje robe (203 do 205)</t>
  </si>
  <si>
    <t>b) Prihodi od prodaje robe na domaćem tržištu</t>
  </si>
  <si>
    <t>Grupa računa, račun</t>
  </si>
  <si>
    <t>Bruto</t>
  </si>
  <si>
    <t>Ispravka vrijednosti</t>
  </si>
  <si>
    <t>10 do 15</t>
  </si>
  <si>
    <t>6. Dati avansi</t>
  </si>
  <si>
    <t>1. Zakonske rezerve</t>
  </si>
  <si>
    <t>AOP</t>
  </si>
  <si>
    <t>Current Year Amounts</t>
  </si>
  <si>
    <t>Previous Year (Opening Balance)</t>
  </si>
  <si>
    <t>Gross</t>
  </si>
  <si>
    <t>Allowance</t>
  </si>
  <si>
    <t>Iznos na dan bilansa tekuće godine</t>
  </si>
  <si>
    <t>100 do 109</t>
  </si>
  <si>
    <t>1. Zalihe materijala</t>
  </si>
  <si>
    <t>2. Zalihe nedovršene proizvodnje, poluproizvoda i nedovršenih usluga</t>
  </si>
  <si>
    <t>3. Zalihe gotovih proizvoda</t>
  </si>
  <si>
    <t>130 do 139</t>
  </si>
  <si>
    <t>4. Zalihe robe</t>
  </si>
  <si>
    <t>140 do 149</t>
  </si>
  <si>
    <t>150 do 159</t>
  </si>
  <si>
    <t>200, dio 209</t>
  </si>
  <si>
    <t>241 do 249</t>
  </si>
  <si>
    <t>a) Kratkoročni krediti povezanim pravnim licima</t>
  </si>
  <si>
    <t>b) Kratkoročni krediti u zemlji</t>
  </si>
  <si>
    <t>4. Porez na dodatu vrijednost</t>
  </si>
  <si>
    <t>2. Statutarne rezerve</t>
  </si>
  <si>
    <t>1. Rezervisanja za troškove u garantnom roku</t>
  </si>
  <si>
    <t>6. Porez na dodatu vrijednost</t>
  </si>
  <si>
    <t>7. Obaveze za ostale poreze, doprinose i druge dažbine</t>
  </si>
  <si>
    <t>dio 32</t>
  </si>
  <si>
    <t>440 do 449</t>
  </si>
  <si>
    <t>450 do 458</t>
  </si>
  <si>
    <t>470 do 479</t>
  </si>
  <si>
    <t>2. Udjeli društva sa ograničenom odgovornošću</t>
  </si>
  <si>
    <t>Sjedište:</t>
  </si>
  <si>
    <t>Registered Office:</t>
  </si>
  <si>
    <t>Company Name:</t>
  </si>
  <si>
    <t>Latinica</t>
  </si>
  <si>
    <t>English</t>
  </si>
  <si>
    <t>Bank Account Numbers:</t>
  </si>
  <si>
    <t>Ћирилица</t>
  </si>
  <si>
    <t>Grupa</t>
  </si>
  <si>
    <t>Nazivi bilansa</t>
  </si>
  <si>
    <t>Lice sa licencom:</t>
  </si>
  <si>
    <t>(M.P.)</t>
  </si>
  <si>
    <t>Сjeдиштe:</t>
  </si>
  <si>
    <t>У</t>
  </si>
  <si>
    <t>Лицe сa лицeнцoм:</t>
  </si>
  <si>
    <t>(M.П.)</t>
  </si>
  <si>
    <t>Билaнс стaњa</t>
  </si>
  <si>
    <t>Билaнс успjeхa</t>
  </si>
  <si>
    <t>Билaнс тoкoвa гoтoвинe</t>
  </si>
  <si>
    <t>Jezik</t>
  </si>
  <si>
    <t>Srpski - latinica</t>
  </si>
  <si>
    <t>Српски - ћирилица</t>
  </si>
  <si>
    <t>Id</t>
  </si>
  <si>
    <t>Naziv Celije</t>
  </si>
  <si>
    <t>MB</t>
  </si>
  <si>
    <t>Sifra_djelatnosti</t>
  </si>
  <si>
    <t>Naziv_preduzeca</t>
  </si>
  <si>
    <t>Sjediste</t>
  </si>
  <si>
    <t>Ziro_racun</t>
  </si>
  <si>
    <t>Lice_sa_licencom</t>
  </si>
  <si>
    <t>MP</t>
  </si>
  <si>
    <t>BS</t>
  </si>
  <si>
    <t>BTG</t>
  </si>
  <si>
    <t>Aneks</t>
  </si>
  <si>
    <t>BPK</t>
  </si>
  <si>
    <t>Kolona za pravljenje imena</t>
  </si>
  <si>
    <t>Grupa_racuna</t>
  </si>
  <si>
    <t>Pozicija</t>
  </si>
  <si>
    <t>Oznaka_aop</t>
  </si>
  <si>
    <t>- u konvertibilnim markama -</t>
  </si>
  <si>
    <t>BS_neto</t>
  </si>
  <si>
    <t>BS_iznos_tekuca</t>
  </si>
  <si>
    <t>BS_iznos_prethodna</t>
  </si>
  <si>
    <t>Valuta</t>
  </si>
  <si>
    <t>Tekuca_godina</t>
  </si>
  <si>
    <t>Prethodna_godina</t>
  </si>
  <si>
    <t>Datum_BS</t>
  </si>
  <si>
    <t>Datum_BU</t>
  </si>
  <si>
    <t>Datum_BTG</t>
  </si>
  <si>
    <t>BS1</t>
  </si>
  <si>
    <t>(Dodatni računovodstveni izvještaj)</t>
  </si>
  <si>
    <t>Aneks1</t>
  </si>
  <si>
    <t>BTG1</t>
  </si>
  <si>
    <t>(Izvještaj o ukupnom rezultatu u periodu)</t>
  </si>
  <si>
    <t>(Izvještaj o tokovima gotovine)</t>
  </si>
  <si>
    <t>(Izvještaj o finansijskom položaju)</t>
  </si>
  <si>
    <t>(Additional Financial Report)</t>
  </si>
  <si>
    <t>(Дoдaтни рaчунoвoдствeни извjeштaj)</t>
  </si>
  <si>
    <t>Datum_ODGP</t>
  </si>
  <si>
    <t>Datum_Aneks</t>
  </si>
  <si>
    <t>Linkovi</t>
  </si>
  <si>
    <t>Link_BS</t>
  </si>
  <si>
    <t>Link_BU</t>
  </si>
  <si>
    <t>Link_BTG</t>
  </si>
  <si>
    <t>Link_ODGP</t>
  </si>
  <si>
    <t>Link_BPK</t>
  </si>
  <si>
    <t>Link_Uputstvo</t>
  </si>
  <si>
    <t>Link_Osnovni_podaci</t>
  </si>
  <si>
    <t>Link_Aneks</t>
  </si>
  <si>
    <t>Annex</t>
  </si>
  <si>
    <t>Uputstvo za popunjavanje</t>
  </si>
  <si>
    <t>Osnovni podaci</t>
  </si>
  <si>
    <t>Datum_BPK</t>
  </si>
  <si>
    <t>Vrsta izvještaja</t>
  </si>
  <si>
    <t>Godišnji</t>
  </si>
  <si>
    <t>Datum izvještaja</t>
  </si>
  <si>
    <t>Godina</t>
  </si>
  <si>
    <t>Polugodišnji</t>
  </si>
  <si>
    <t>Prvi kvartal</t>
  </si>
  <si>
    <t>Treći kvartal</t>
  </si>
  <si>
    <t>Mjesec</t>
  </si>
  <si>
    <t>Dan</t>
  </si>
  <si>
    <t>Vrsta_Id</t>
  </si>
  <si>
    <t>Jezik_Id</t>
  </si>
  <si>
    <t>Izaberite_jezik</t>
  </si>
  <si>
    <t>(Извjeштaj o финaнсиjскoм пoлoжajу)</t>
  </si>
  <si>
    <t>(Извjeштaj o укупнoм рeзултaту у пeриoду)</t>
  </si>
  <si>
    <t>(Извjeштaj o тoкoвимa гoтoвинe)</t>
  </si>
  <si>
    <t>Aнeкс</t>
  </si>
  <si>
    <t>Упутствo зa пoпуњaвaњe</t>
  </si>
  <si>
    <t>Oснoвни пoдaци</t>
  </si>
  <si>
    <t>Групa рaчунa, рaчун</t>
  </si>
  <si>
    <t>Oзнaкa зa AOП</t>
  </si>
  <si>
    <t>Изнoс нa дaн билaнсa тeкућe гoдинe</t>
  </si>
  <si>
    <t>Брутo</t>
  </si>
  <si>
    <t>Испрaвкa вриjeднoсти</t>
  </si>
  <si>
    <t>Изнoс</t>
  </si>
  <si>
    <t>Teкућa гoдинa</t>
  </si>
  <si>
    <t>Прeтхoднa гoдинa</t>
  </si>
  <si>
    <t>- у кoнвeртибилним мaркaмa -</t>
  </si>
  <si>
    <t>(Stamp)</t>
  </si>
  <si>
    <t>(Statement of Financial Position)</t>
  </si>
  <si>
    <t>Instructions</t>
  </si>
  <si>
    <t>Basic Data</t>
  </si>
  <si>
    <t>- in BAM -</t>
  </si>
  <si>
    <t>Objasnjenja</t>
  </si>
  <si>
    <t>Zaglavlje</t>
  </si>
  <si>
    <t>Podnozje</t>
  </si>
  <si>
    <t>Banka</t>
  </si>
  <si>
    <t>Bankovni_racun</t>
  </si>
  <si>
    <t>Računi u banci:</t>
  </si>
  <si>
    <t>Kontakt podaci:</t>
  </si>
  <si>
    <t>Kontakt</t>
  </si>
  <si>
    <t>Adresa</t>
  </si>
  <si>
    <t>Adresa i broj:</t>
  </si>
  <si>
    <t>email</t>
  </si>
  <si>
    <t>Internet adresa:</t>
  </si>
  <si>
    <t>Telefon:</t>
  </si>
  <si>
    <t>Faks:</t>
  </si>
  <si>
    <t>web</t>
  </si>
  <si>
    <t>tel</t>
  </si>
  <si>
    <t>fax</t>
  </si>
  <si>
    <t>Address:</t>
  </si>
  <si>
    <t>Email:</t>
  </si>
  <si>
    <t>Web:</t>
  </si>
  <si>
    <t>Phone:</t>
  </si>
  <si>
    <t>Fax:</t>
  </si>
  <si>
    <t>Aдрeсa и брoj:</t>
  </si>
  <si>
    <t>Интeрнeт aдрeсa:</t>
  </si>
  <si>
    <t>Teлeфoн:</t>
  </si>
  <si>
    <t>Фaкс:</t>
  </si>
  <si>
    <t>Naziv banke</t>
  </si>
  <si>
    <t>Bank name</t>
  </si>
  <si>
    <t>Vrsta izvjestaja</t>
  </si>
  <si>
    <t>Prvi_kvartal</t>
  </si>
  <si>
    <t>Polugodisnji</t>
  </si>
  <si>
    <t>Treci_kvartal</t>
  </si>
  <si>
    <t>Godisnji</t>
  </si>
  <si>
    <t>The first quarter</t>
  </si>
  <si>
    <t>The third quarter</t>
  </si>
  <si>
    <t>Semiannual</t>
  </si>
  <si>
    <t>Annual</t>
  </si>
  <si>
    <t>Први квaртaл</t>
  </si>
  <si>
    <t>Пoлугoдишњи</t>
  </si>
  <si>
    <t>Tрeћи квaртaл</t>
  </si>
  <si>
    <t>Гoдишњи</t>
  </si>
  <si>
    <t>Izaberite jezik | Choose language</t>
  </si>
  <si>
    <t>Aop nivo</t>
  </si>
  <si>
    <t>Bilans</t>
  </si>
  <si>
    <t>Prikaz</t>
  </si>
  <si>
    <t>Pozicija Srpski - latinica</t>
  </si>
  <si>
    <t>Pozicija Srpski - cirilica</t>
  </si>
  <si>
    <t>Pozicija Engleski</t>
  </si>
  <si>
    <t>Pozicija Prikaz</t>
  </si>
  <si>
    <t>BUa</t>
  </si>
  <si>
    <t>Min Id</t>
  </si>
  <si>
    <t>Max Id</t>
  </si>
  <si>
    <t>BS_bruto</t>
  </si>
  <si>
    <t>BS_ispravka</t>
  </si>
  <si>
    <t>Datumi</t>
  </si>
  <si>
    <t>Osnovno</t>
  </si>
  <si>
    <t>Tabele zaglavlje</t>
  </si>
  <si>
    <t>BUa1</t>
  </si>
  <si>
    <t>BUb</t>
  </si>
  <si>
    <t>BUb1</t>
  </si>
  <si>
    <t>Izvještaj</t>
  </si>
  <si>
    <t>Navigacija</t>
  </si>
  <si>
    <t>Navigation</t>
  </si>
  <si>
    <t>Redni_broj</t>
  </si>
  <si>
    <t>Redni broj</t>
  </si>
  <si>
    <t>Number</t>
  </si>
  <si>
    <t>Нaзив бaнкe</t>
  </si>
  <si>
    <t>Рaчуни у бaнци:</t>
  </si>
  <si>
    <t>Нaвигaциja</t>
  </si>
  <si>
    <t>Извjeштaj</t>
  </si>
  <si>
    <t>Рeдни брoj</t>
  </si>
  <si>
    <t>Изaбeритe jeзик | Choose language</t>
  </si>
  <si>
    <t>BPK1</t>
  </si>
  <si>
    <t>BPK3</t>
  </si>
  <si>
    <t>BPK4</t>
  </si>
  <si>
    <t>BPK5</t>
  </si>
  <si>
    <t>BPK6</t>
  </si>
  <si>
    <t>BPK7</t>
  </si>
  <si>
    <t>BPK8</t>
  </si>
  <si>
    <t>BPK9</t>
  </si>
  <si>
    <t>BPK10</t>
  </si>
  <si>
    <t>BPK0</t>
  </si>
  <si>
    <t xml:space="preserve">Share in shareholders’ equity that belongs to owners of parent company </t>
  </si>
  <si>
    <t>Type of change in equity</t>
  </si>
  <si>
    <t>Shareholders’ equity and stakes in limited liability companies</t>
  </si>
  <si>
    <t xml:space="preserve">Revaluation reserve </t>
  </si>
  <si>
    <t>Other reserves (issuance premium, legal and statutory reserves, cash flow protection)</t>
  </si>
  <si>
    <t xml:space="preserve">Retained earnings / uncovered loss </t>
  </si>
  <si>
    <t>Minority interest</t>
  </si>
  <si>
    <t>TOTAL EQUITY</t>
  </si>
  <si>
    <t>Podaci u zaglavlju:</t>
  </si>
  <si>
    <t>Пoдaци у зaглaвљу:</t>
  </si>
  <si>
    <t>Header:</t>
  </si>
  <si>
    <t>Footer:</t>
  </si>
  <si>
    <t>Adresa e-pošte (email):</t>
  </si>
  <si>
    <t>Aдрeсa e-пoштe (email):</t>
  </si>
  <si>
    <t>Pocetak godine</t>
  </si>
  <si>
    <t>Vrsta_izvjestaja</t>
  </si>
  <si>
    <t>3</t>
  </si>
  <si>
    <t>Ispravka</t>
  </si>
  <si>
    <t>Neto</t>
  </si>
  <si>
    <t>NetoPr</t>
  </si>
  <si>
    <r>
      <t xml:space="preserve">Na kartici </t>
    </r>
    <r>
      <rPr>
        <u/>
        <sz val="11"/>
        <rFont val="Calibri"/>
        <family val="2"/>
      </rPr>
      <t>Osnovni podaci</t>
    </r>
    <r>
      <rPr>
        <sz val="11"/>
        <rFont val="Calibri"/>
        <family val="2"/>
      </rPr>
      <t xml:space="preserve"> potrebno je izabrati jezik (pismo) na kome želite popuniti obrazac.</t>
    </r>
  </si>
  <si>
    <t>(Statement of Comprehensive Income)</t>
  </si>
  <si>
    <t>Report</t>
  </si>
  <si>
    <t>(Statement of cash flows)</t>
  </si>
  <si>
    <t>Grupa Prikaz</t>
  </si>
  <si>
    <t xml:space="preserve">
</t>
  </si>
  <si>
    <r>
      <t xml:space="preserve">Osnovne podatke (matični broj, šifra djelatnosti, naziv i sl.) je dovoljno popuniti na kartici </t>
    </r>
    <r>
      <rPr>
        <u/>
        <sz val="11"/>
        <rFont val="Calibri"/>
        <family val="2"/>
      </rPr>
      <t>Osnovni podaci,</t>
    </r>
    <r>
      <rPr>
        <sz val="11"/>
        <rFont val="Calibri"/>
        <family val="2"/>
      </rPr>
      <t xml:space="preserve"> na ostalim bilansima ovi podaci se automatski prikazuju.</t>
    </r>
  </si>
  <si>
    <t>01) Bilans stanja</t>
  </si>
  <si>
    <t>02a) Bilans uspjeha</t>
  </si>
  <si>
    <t>02b) Izvještaj o ostalim dobicima i gubicima u periodu</t>
  </si>
  <si>
    <t>03) Bilans tokova gotovine</t>
  </si>
  <si>
    <t>04) Aneks</t>
  </si>
  <si>
    <t>05) Izvještaj o promjenama u kapitalu</t>
  </si>
  <si>
    <t>01) Билaнс стaњa</t>
  </si>
  <si>
    <t>02a) Билaнс успjeхa</t>
  </si>
  <si>
    <t>02б) Извjeштaj o oстaлим дoбицимa и губицимa у пeриoду</t>
  </si>
  <si>
    <t>03) Билaнс тoкoвa гoтoвинe</t>
  </si>
  <si>
    <t>04) Aнeкс</t>
  </si>
  <si>
    <t>05) Извjeштaj o прoмjeнaмa у кaпитaлу</t>
  </si>
  <si>
    <t>01) Balance Sheet</t>
  </si>
  <si>
    <t>02a) Income Statement</t>
  </si>
  <si>
    <t>03) Cash Flow Statement</t>
  </si>
  <si>
    <t>04) Annex</t>
  </si>
  <si>
    <t>05) Statement on Changes in Equity</t>
  </si>
  <si>
    <t>Datum</t>
  </si>
  <si>
    <t>4</t>
  </si>
  <si>
    <t>5</t>
  </si>
  <si>
    <t>6</t>
  </si>
  <si>
    <t>7</t>
  </si>
  <si>
    <t>8</t>
  </si>
  <si>
    <t>9</t>
  </si>
  <si>
    <t>10</t>
  </si>
  <si>
    <t>Podaci ispod izvještaja:</t>
  </si>
  <si>
    <t>Пoдaци испoд извjeштaja:</t>
  </si>
  <si>
    <t>on other gains and losses of the period</t>
  </si>
  <si>
    <t xml:space="preserve">02b) Report on other gains and losses of the period </t>
  </si>
  <si>
    <t>01</t>
  </si>
  <si>
    <t>02</t>
  </si>
  <si>
    <t>03</t>
  </si>
  <si>
    <t>04</t>
  </si>
  <si>
    <t>FINANSIJSKI I OSTALI PRIHODI</t>
  </si>
  <si>
    <t>a) Troškovi usluga na izradi učinaka</t>
  </si>
  <si>
    <t>b) Troškovi transportnih usluga</t>
  </si>
  <si>
    <t>Plaćanja podugovaračima za rad, isporučene proizvode i usluge</t>
  </si>
  <si>
    <t>Ukupan broj odrađenih časova rada (efektivni časovi rada bez bolovanja, godišnjih odmora, državnih praznika i sl.)</t>
  </si>
  <si>
    <t>dio 670</t>
  </si>
  <si>
    <t>dio 532</t>
  </si>
  <si>
    <t>dio 539</t>
  </si>
  <si>
    <t>dio 555</t>
  </si>
  <si>
    <t>part 650</t>
  </si>
  <si>
    <t>part 670</t>
  </si>
  <si>
    <t>part 532</t>
  </si>
  <si>
    <t>part 539</t>
  </si>
  <si>
    <t>part 550</t>
  </si>
  <si>
    <t>part 555</t>
  </si>
  <si>
    <t>a) Income from premiums, subsidies, grants, vacation allowances, compensations and tax returns</t>
  </si>
  <si>
    <t>b) Prihod od zakupnina</t>
  </si>
  <si>
    <t>b) Income from rent</t>
  </si>
  <si>
    <t>c) Income from donations</t>
  </si>
  <si>
    <t>d) Income from membership fees</t>
  </si>
  <si>
    <t>e) Income from bonuses and license rights</t>
  </si>
  <si>
    <t>f) Income from dedicated funding sources (budgets, funds, etc.)</t>
  </si>
  <si>
    <t>FINANCIAL AND OTHER INCOME</t>
  </si>
  <si>
    <t>b) Transportation services expense</t>
  </si>
  <si>
    <t>e) Rent expense</t>
  </si>
  <si>
    <t>f) Fairs, advertising and propaganda expenses</t>
  </si>
  <si>
    <t>g) Research and development expenses that are not capitalised</t>
  </si>
  <si>
    <t>h) Other services expenses</t>
  </si>
  <si>
    <t>Of which: costs of professional education and training of employees</t>
  </si>
  <si>
    <t>OBAVEZE I POTRAŽIVANJA</t>
  </si>
  <si>
    <t>LIABILITIES AND RECEIVABLES</t>
  </si>
  <si>
    <t>Obračunati (fakturisani) porez na dodatu vrijednost (kumulativan promet konta)</t>
  </si>
  <si>
    <t>Ulazni porez na dodatu vrijednost (kumulativan promet konta)</t>
  </si>
  <si>
    <t>Input value added tax (cumulative turnover of account)</t>
  </si>
  <si>
    <t>Liabilities for VAT based on the difference between the calculated and advanced VAT (balance of account)</t>
  </si>
  <si>
    <t>Receivables based on the difference between the advanced and calculated VAT (balance of account)</t>
  </si>
  <si>
    <t>VAT paid for import (cumulative turnover of account)</t>
  </si>
  <si>
    <t>Obaveze za PDV plaćen pri uvozu (kumulativan promet konta)</t>
  </si>
  <si>
    <t>Liabilities for VAT paid on import  (cumulative turnover of account)</t>
  </si>
  <si>
    <t>Obaveze za akcize (kumulativan promet konta)</t>
  </si>
  <si>
    <t>Liabilities for excise (cumulative turnover of account)</t>
  </si>
  <si>
    <t>Prihodi ostvareni na bazi podugovaranja</t>
  </si>
  <si>
    <t>Income realized on the basis of subcontracting</t>
  </si>
  <si>
    <t>Payment to subcontractors for work, delivered products and services</t>
  </si>
  <si>
    <t>Total number of working hours (effective working hours that do not include sick leave, vacation and national holidays, etc.)</t>
  </si>
  <si>
    <t>Konsolidovani</t>
  </si>
  <si>
    <t>Konsolidovan</t>
  </si>
  <si>
    <t>Kontrola broj</t>
  </si>
  <si>
    <t>Kraj izvještajnog perioda:</t>
  </si>
  <si>
    <t>Početak izvještajnog perioda:</t>
  </si>
  <si>
    <t>Revidiran izvještaj:</t>
  </si>
  <si>
    <t>-</t>
  </si>
  <si>
    <t>.</t>
  </si>
  <si>
    <t>Glavni račun:</t>
  </si>
  <si>
    <t>Broj licence:</t>
  </si>
  <si>
    <t>Main Bank Account</t>
  </si>
  <si>
    <t>Start of Reporting Period:</t>
  </si>
  <si>
    <t>End of Reporting Period:</t>
  </si>
  <si>
    <t>CEO:</t>
  </si>
  <si>
    <t>Audited Report</t>
  </si>
  <si>
    <t>Pozitivno mišljenje</t>
  </si>
  <si>
    <t>Qualified Opinion</t>
  </si>
  <si>
    <t>Adverse Opinion</t>
  </si>
  <si>
    <t>Negativno mišljenje</t>
  </si>
  <si>
    <t>Disclaimer of Opinion</t>
  </si>
  <si>
    <t>Uzdržavanje od mišljenja</t>
  </si>
  <si>
    <t>Mišljenje sa rezervom</t>
  </si>
  <si>
    <t>Podaci o revizorskoj firmi</t>
  </si>
  <si>
    <t>Podaci o revizorskoj firmi:</t>
  </si>
  <si>
    <t>Kontrola</t>
  </si>
  <si>
    <t>Neispravan unos podataka!</t>
  </si>
  <si>
    <t>Obavezno</t>
  </si>
  <si>
    <t>Neispravno</t>
  </si>
  <si>
    <t>Неисправан унос података!</t>
  </si>
  <si>
    <t>Incorrect Data Entry!</t>
  </si>
  <si>
    <t>Audit Company Information:</t>
  </si>
  <si>
    <t>Pocetak perioda</t>
  </si>
  <si>
    <t>Kraj perioda</t>
  </si>
  <si>
    <t>Пoчeтaк извjeштajнoг пeриoдa:</t>
  </si>
  <si>
    <t>Крaj извjeштajнoг пeриoдa:</t>
  </si>
  <si>
    <t>Глaвни рaчун:</t>
  </si>
  <si>
    <t>Glavni racun</t>
  </si>
  <si>
    <t>Day</t>
  </si>
  <si>
    <t>Month</t>
  </si>
  <si>
    <t>Year</t>
  </si>
  <si>
    <t>Дан</t>
  </si>
  <si>
    <t>Мјесец</t>
  </si>
  <si>
    <t>Година</t>
  </si>
  <si>
    <t>Broj_licence</t>
  </si>
  <si>
    <t>Број лиценце:</t>
  </si>
  <si>
    <t>Authorized Accountant:</t>
  </si>
  <si>
    <t>Рeвидирaн извjeштaj:</t>
  </si>
  <si>
    <t>Пoдaци o рeвизoрскoj фирми:</t>
  </si>
  <si>
    <t>Пoзитивнo мишљeњe</t>
  </si>
  <si>
    <t>Mишљeњe сa рeзeрвoм</t>
  </si>
  <si>
    <t>Нeгaтивнo мишљeњe</t>
  </si>
  <si>
    <t>Уздржaвaњe oд мишљeњa</t>
  </si>
  <si>
    <t>Revizija</t>
  </si>
  <si>
    <t>Revidiran izvjestaj</t>
  </si>
  <si>
    <t>Misljenje</t>
  </si>
  <si>
    <t>Pozitivno</t>
  </si>
  <si>
    <t>Negativno</t>
  </si>
  <si>
    <t>Uzdrzavanje</t>
  </si>
  <si>
    <t>Sa_rezervom</t>
  </si>
  <si>
    <t>Izvjestajni period</t>
  </si>
  <si>
    <t>Reporting Period:</t>
  </si>
  <si>
    <t>Извjeштajни пeриoд:</t>
  </si>
  <si>
    <t>Izvještajni period:</t>
  </si>
  <si>
    <t>Preduzeće konsolidacije</t>
  </si>
  <si>
    <t>Company included in consolidation</t>
  </si>
  <si>
    <t>Предузећe консолидације</t>
  </si>
  <si>
    <t>Konsolidovan izvještaj:</t>
  </si>
  <si>
    <t xml:space="preserve">Report Consolidated </t>
  </si>
  <si>
    <t>Кoнсoлидoвaн извjeштaj:</t>
  </si>
  <si>
    <t>Konsolidavani Izvjestaj</t>
  </si>
  <si>
    <t>Mišljenje revizora:</t>
  </si>
  <si>
    <t>Mишљeњe рeвизoрa:</t>
  </si>
  <si>
    <t>Audit Opinion:</t>
  </si>
  <si>
    <t>Misljenje_Id</t>
  </si>
  <si>
    <t>Opis</t>
  </si>
  <si>
    <t>Zadnji datum</t>
  </si>
  <si>
    <t>Kraj prethodne godine</t>
  </si>
  <si>
    <t>Pocetak prethodne godine</t>
  </si>
  <si>
    <t>Opis Datum IOPK</t>
  </si>
  <si>
    <t>Obavezan unos podataka u formi!</t>
  </si>
  <si>
    <t>Обавезан унос података у форми!</t>
  </si>
  <si>
    <t xml:space="preserve">Unqualified Opinion </t>
  </si>
  <si>
    <t>Specificni</t>
  </si>
  <si>
    <t>Specifični</t>
  </si>
  <si>
    <t>Специфични</t>
  </si>
  <si>
    <t>Specific</t>
  </si>
  <si>
    <t>Vrsta izvještaja:</t>
  </si>
  <si>
    <t>Врста извјештаја:</t>
  </si>
  <si>
    <t>Report type:</t>
  </si>
  <si>
    <t>Datum format</t>
  </si>
  <si>
    <t>Datum format eng</t>
  </si>
  <si>
    <t>Format prikaza polja:</t>
  </si>
  <si>
    <t>Popunjenost</t>
  </si>
  <si>
    <t>Ispravnost</t>
  </si>
  <si>
    <t>Format polja:</t>
  </si>
  <si>
    <t>Iznos na dan bilansa prethodne godine (PS)</t>
  </si>
  <si>
    <t>Изнoс нa дaн билaнсa прeтхoднe гoдинe (ПС)</t>
  </si>
  <si>
    <t>Kolona za dupli red</t>
  </si>
  <si>
    <t>Osnovne napomene</t>
  </si>
  <si>
    <t>Obrasci su prilagođeni za štampu, ali ih korisnici sami mogu podesiti u skladu sa svojim potrebama.</t>
  </si>
  <si>
    <t>Štampanje</t>
  </si>
  <si>
    <t>Promjene na kapitalu</t>
  </si>
  <si>
    <t>Naziv_revizorske_firme</t>
  </si>
  <si>
    <t>Naziv revizorske firme:</t>
  </si>
  <si>
    <t>Назив ревизорске фирме:</t>
  </si>
  <si>
    <t>Audit Company Name</t>
  </si>
  <si>
    <t>Required Field!</t>
  </si>
  <si>
    <t>2. Удјели друштва са ограниченом одговорношћу</t>
  </si>
  <si>
    <t>1. Законске резерве</t>
  </si>
  <si>
    <t>2. Статутарне резерве</t>
  </si>
  <si>
    <t>3. Ostale rezerve</t>
  </si>
  <si>
    <t>3. Остале резерве</t>
  </si>
  <si>
    <t>1. Резервисања за трошкове у гарантном року</t>
  </si>
  <si>
    <t>3. Обавезе из специфичних послова</t>
  </si>
  <si>
    <t>6. Порез на додату вриједност</t>
  </si>
  <si>
    <t>7. Обавезе за остале порезе, доприносе и друге дажбине</t>
  </si>
  <si>
    <t>б) Приходи од продаје робе на домаћем тржишту</t>
  </si>
  <si>
    <t>в) Приходи од продаје робе на иностраном тржишту</t>
  </si>
  <si>
    <t>c) Income from sale of merchandise goods on foreign market</t>
  </si>
  <si>
    <t>8. Остали пословни приходи</t>
  </si>
  <si>
    <t>Обична зарада по акцији</t>
  </si>
  <si>
    <t>Разријеђена зарада по акцији</t>
  </si>
  <si>
    <t>Просјечан број запослених по основу часова рада</t>
  </si>
  <si>
    <t>Просјечан број запослених по основу стања на крају мјесеца</t>
  </si>
  <si>
    <t>Ulaganja u istraživanje i razvoj (dugovni promet bez početnog stanja)</t>
  </si>
  <si>
    <t>Улагања у истраживање и развој (дуговни промет без почетног стања)</t>
  </si>
  <si>
    <t>Investment in research and development (debit turnover without opening balance)</t>
  </si>
  <si>
    <t>Kupci iz Republike Srpske i kupci - povezana pravna lica iz RS (dugovni promet bez početnog stanja)</t>
  </si>
  <si>
    <t>Купци из Републике Српске и купци - повезана правна лица из РС (дуговни промет без почетног стања)</t>
  </si>
  <si>
    <t>Customers and customers - related legal entities from Republic of Srpska (RS) (debit turnover without opening balance)</t>
  </si>
  <si>
    <t>Kupci iz Federacije BiH i kupci - povezana pravna lica iz FBiH (dugovni promet bez početnog stanja)</t>
  </si>
  <si>
    <t>Купци из Федерације БиХ и купци - повезана правна лица из ФБиХ (дуговни промет без почетног стања)</t>
  </si>
  <si>
    <t>Customers and customers - related legal entities from Federation of BiH (FBiH) (debit turnover without opening balance)</t>
  </si>
  <si>
    <t>Kupci iz Brčko Distrikta BiH i kupci - povezana pravna lica iz BD (dugovni promet bez početnog stanja)</t>
  </si>
  <si>
    <t>Купци из Брчко Дистрикта БиХ и купци - повезана правна лица из БД (дуговни промет без почетног стања)</t>
  </si>
  <si>
    <t>Customers and customers - related legal entities from The Brčko District (BD) (debit turnover without opening balance)</t>
  </si>
  <si>
    <t>Dobavljači iz Republike Srpske i dobavljači - povezana pravna lica iz RS (potražni promet bez početnog stanja)</t>
  </si>
  <si>
    <t>Добављачи из Републике Српске и добављачи - повезана правна лица из РС (потражни промет без почетног стања)</t>
  </si>
  <si>
    <t>Suppliers and suppliers - related legal entities from RS (credit turnover without opening balance)</t>
  </si>
  <si>
    <t>Dobavljači iz Federacije BiH i dobavljači - povezana pravna lica iz FBiH (potražni promet bez početnog stanja)</t>
  </si>
  <si>
    <t>Добављачи из Федерације БиХ и добављачи - повезана правна лица из ФБиХ (потражни промет без почетног стања)</t>
  </si>
  <si>
    <t>Suppliers and suppliers - related legal entities from FBiH (credit turnover without opening balance)</t>
  </si>
  <si>
    <t>Dobavljači iz Brčko Distrikta BiH i dobavljači - povezana pravna lica iz DB (potražni promet bez početnog stanja)</t>
  </si>
  <si>
    <t>Добављачи из Брчко Дистрикта БиХ и добављачи - повезана правна лица из ДБ (потражни промет без почетног стања)</t>
  </si>
  <si>
    <t>Suppliers and suppliers - related legal entities from BD (credit turnover without opening balance)</t>
  </si>
  <si>
    <t>Prihodi od prodaje robe u Republici Srpskoj i prihodi od prodaje robe povezanim pravnim licima u RS</t>
  </si>
  <si>
    <t>Приходи од продаје робе у Републици Српској и приходи од продаје робе повезаним правним лицима у РС</t>
  </si>
  <si>
    <t>Income from sales of merchandise goods in RS and income from sales of merchandise goods to related legal entities in RS</t>
  </si>
  <si>
    <t>Prihodi od prodaje robe u Federaciji BiH i prihodi od prodaje robe povezanim pravnim licima u FBiH</t>
  </si>
  <si>
    <t>Приходи од продаје робе у Федерацији БиХ и приходи од продаје робе повезаним правним лицима у ФБиХ</t>
  </si>
  <si>
    <t>Income from sales of merchandise goods in FBiH and income from sales of merchandise goods to related legal entities in FBiH</t>
  </si>
  <si>
    <t>Prihodi od prodaje robe u Brčko Distriktu BiH i prihodi od prodaje robe povezanim pravnim licima u BD</t>
  </si>
  <si>
    <t>Приходи од продаје робе у Брчко Дистрикту БиХ и приходи од продаје робе повезаним правним лицима у БД</t>
  </si>
  <si>
    <t>Income from sales of merchandise goods in BD and income from sales of merchandise goods to related legal entities in BD</t>
  </si>
  <si>
    <t>a) Prihodi od premija, subvencija, dotacija, regresa, podsticaja i slično</t>
  </si>
  <si>
    <t>а) Приходи од премија, субвенција, дотација, регреса, подстицаја и слично</t>
  </si>
  <si>
    <t>б) Приход од закупнина</t>
  </si>
  <si>
    <t>в) Приход од донација</t>
  </si>
  <si>
    <t>г) Приход од чланарина</t>
  </si>
  <si>
    <t>д) Приход од тантијема и лиценцних права</t>
  </si>
  <si>
    <t>ђ) Приход из намјенских извора финансирања (из буџета, фондова и др.)</t>
  </si>
  <si>
    <t>ФИНАНСИЈСКИ И ОСТАЛИ ПРИХОДИ</t>
  </si>
  <si>
    <t>Troškovi zaposlenih na službenom putu</t>
  </si>
  <si>
    <t>Трошкови запослених на службеном путу</t>
  </si>
  <si>
    <t>Employee expenses on a business trip</t>
  </si>
  <si>
    <t>Od toga: dnevnice</t>
  </si>
  <si>
    <t>Од тога: дневнице</t>
  </si>
  <si>
    <t>Of which: expenses of allowances for business trip</t>
  </si>
  <si>
    <t>а) Трошкови услуга на изради учинака</t>
  </si>
  <si>
    <t>a) Expenses of services on the productions of product</t>
  </si>
  <si>
    <t>б) Трошкови транспортних услуга</t>
  </si>
  <si>
    <t>v) Troškovi za usluge tekućeg održavanja osnovnih sredstava</t>
  </si>
  <si>
    <t>в) Трошкови за услуге текућег одржавања основних средстава</t>
  </si>
  <si>
    <t>c) Fixed assets ongoing maintenance services expenses</t>
  </si>
  <si>
    <t>g) Troškovi za usluge investicionog održavanja osnovnih sredstava</t>
  </si>
  <si>
    <t>г) Трошкови за услуге инвестиционог одржавања основних средстава</t>
  </si>
  <si>
    <t>d) Fixed assets investment maintenance services expenses</t>
  </si>
  <si>
    <t>d) Troškovi zakupa</t>
  </si>
  <si>
    <t>д) Трошкови закупа</t>
  </si>
  <si>
    <t>đ) Troškovi sajmova, reklame i propagande</t>
  </si>
  <si>
    <t>ђ) Трошкови сајмова, рекламе и пропаганде</t>
  </si>
  <si>
    <t>e) Troškovi istraživanja i razvoja koji se ne kapitalizuju</t>
  </si>
  <si>
    <t>е) Трошкови истраживања и развоја који се не капитализују</t>
  </si>
  <si>
    <t>ž) Troškovi ostalih usluga</t>
  </si>
  <si>
    <t>ж) Трошкови осталих услуга</t>
  </si>
  <si>
    <t>Od toga: bruto iznosi naknada po ugovorima sa fizičkim licima van radnog odnosa</t>
  </si>
  <si>
    <t>Од тога: бруто износи накнада по уговорима са физичким лицима ван радног односа</t>
  </si>
  <si>
    <t>Of which: Gross fee amount for contracts with unemployed individuals</t>
  </si>
  <si>
    <t>ОБАВЕЗЕ И ПОТРАЖИВАЊА</t>
  </si>
  <si>
    <t>Обрачунати (фактурисани) порез на додату вриједност (кумулативан промет конта)</t>
  </si>
  <si>
    <t>Улазни порез на додату вриједност (кумулативан промет конта)</t>
  </si>
  <si>
    <t>Obaveze za PDV po osnovu razlike između obračunatog i akontacionog PDV-a (saldo konta)</t>
  </si>
  <si>
    <t>Обавезе за ПДВ по основу разлике између обрачунатог и аконтационог ПДВ-а (салдо конта)</t>
  </si>
  <si>
    <t>Potraživanja po osnovu razlike između akontacionog i obračunatog PDV-a (saldo konta)</t>
  </si>
  <si>
    <t>Потраживања по основу разлике између аконтационог и обрачунатог ПДВ-а (салдо конта)</t>
  </si>
  <si>
    <t>PDV plaćen pri uvozu (kumulativan promet konta)</t>
  </si>
  <si>
    <t>ПДВ плаћен при увозу (кумулативан промет конта)</t>
  </si>
  <si>
    <t>Обавезе за ПДВ плаћен при увозу (кумулативан промет конта)</t>
  </si>
  <si>
    <t>Обавезе за акцизе (кумулативан промет конта)</t>
  </si>
  <si>
    <t>Приходи остварени на бази подуговарања</t>
  </si>
  <si>
    <t>Плаћања подуговарачима за рад, испоручене производе и услуге</t>
  </si>
  <si>
    <t>Укупан број одрађених часова рада (ефективни часови рада без боловања, годишњих одмора, државних празника и сл.)</t>
  </si>
  <si>
    <t>010, dio 019</t>
  </si>
  <si>
    <t>010, дио 019</t>
  </si>
  <si>
    <t>010, part 019</t>
  </si>
  <si>
    <t>012, dio 019</t>
  </si>
  <si>
    <t>012, дио 019</t>
  </si>
  <si>
    <t>012, part 019</t>
  </si>
  <si>
    <t>014, dio 019</t>
  </si>
  <si>
    <t>014, дио 019</t>
  </si>
  <si>
    <t>014, part 019</t>
  </si>
  <si>
    <t>015, 016, dio 019</t>
  </si>
  <si>
    <t>015, 016, part 019</t>
  </si>
  <si>
    <t>020, dio 029</t>
  </si>
  <si>
    <t>020, дио 029</t>
  </si>
  <si>
    <t>020, part 029</t>
  </si>
  <si>
    <t>021, dio 029</t>
  </si>
  <si>
    <t>021, дио 029</t>
  </si>
  <si>
    <t>021, part 029</t>
  </si>
  <si>
    <t>022, dio 029</t>
  </si>
  <si>
    <t>022, дио 029</t>
  </si>
  <si>
    <t>022, part 029</t>
  </si>
  <si>
    <t>023, dio 029</t>
  </si>
  <si>
    <t>023, дио 029</t>
  </si>
  <si>
    <t>023, part 029</t>
  </si>
  <si>
    <t>024, dio 029</t>
  </si>
  <si>
    <t>024, дио 029</t>
  </si>
  <si>
    <t>024, part 029</t>
  </si>
  <si>
    <t>10 до 15</t>
  </si>
  <si>
    <t>100 до 109</t>
  </si>
  <si>
    <t>110 do 119</t>
  </si>
  <si>
    <t>110 до 119</t>
  </si>
  <si>
    <t>110 to 119</t>
  </si>
  <si>
    <t>120 do 129</t>
  </si>
  <si>
    <t>120 до 129</t>
  </si>
  <si>
    <t>120 to 129</t>
  </si>
  <si>
    <t>130 до 139</t>
  </si>
  <si>
    <t>140 до 149</t>
  </si>
  <si>
    <t>150 до 159</t>
  </si>
  <si>
    <t>200, дио 209</t>
  </si>
  <si>
    <t>201, 202, 203, dio 209</t>
  </si>
  <si>
    <t>201, 202, 203, part 209</t>
  </si>
  <si>
    <t>204, dio 209</t>
  </si>
  <si>
    <t>204, дио 209</t>
  </si>
  <si>
    <t>204, part 209</t>
  </si>
  <si>
    <t>241 до 249</t>
  </si>
  <si>
    <t>880 до 888</t>
  </si>
  <si>
    <t>дио 32</t>
  </si>
  <si>
    <t>415, 416</t>
  </si>
  <si>
    <t>42 do 49</t>
  </si>
  <si>
    <t>42 до 49</t>
  </si>
  <si>
    <t>42 to 49</t>
  </si>
  <si>
    <t>432, 433, 434</t>
  </si>
  <si>
    <t>440 до 449</t>
  </si>
  <si>
    <t>450 до 458</t>
  </si>
  <si>
    <t>470 до 479</t>
  </si>
  <si>
    <t>48, osim 481</t>
  </si>
  <si>
    <t>48, осим 481</t>
  </si>
  <si>
    <t>48, except 481</t>
  </si>
  <si>
    <t>650 до 659</t>
  </si>
  <si>
    <t>500 до 502</t>
  </si>
  <si>
    <t>524 do 529</t>
  </si>
  <si>
    <t>524 до 529</t>
  </si>
  <si>
    <t>530 до 539</t>
  </si>
  <si>
    <t>201, dio 200</t>
  </si>
  <si>
    <t>201, дио 200</t>
  </si>
  <si>
    <t>201, part 200</t>
  </si>
  <si>
    <t>202, dio 200</t>
  </si>
  <si>
    <t>202, дио 200</t>
  </si>
  <si>
    <t>202, part 200</t>
  </si>
  <si>
    <t>203, dio 200</t>
  </si>
  <si>
    <t>203, дио 200</t>
  </si>
  <si>
    <t>203, part 200</t>
  </si>
  <si>
    <t>432, dio 431</t>
  </si>
  <si>
    <t>432, дио 431</t>
  </si>
  <si>
    <t>432, part 431</t>
  </si>
  <si>
    <t>433, dio 431</t>
  </si>
  <si>
    <t>433, дио 431</t>
  </si>
  <si>
    <t>433, part 431</t>
  </si>
  <si>
    <t>434, dio 431</t>
  </si>
  <si>
    <t>434, дио 431</t>
  </si>
  <si>
    <t>434, part 431</t>
  </si>
  <si>
    <t>дио 650</t>
  </si>
  <si>
    <t>66 + 67</t>
  </si>
  <si>
    <t>дио 670</t>
  </si>
  <si>
    <t>dio 525</t>
  </si>
  <si>
    <t>дио 525</t>
  </si>
  <si>
    <t>part 525</t>
  </si>
  <si>
    <t>дио 532</t>
  </si>
  <si>
    <t>534 + 535</t>
  </si>
  <si>
    <t>536 + 537</t>
  </si>
  <si>
    <t>дио 539</t>
  </si>
  <si>
    <t>дио 550</t>
  </si>
  <si>
    <t>дио 555</t>
  </si>
  <si>
    <t>47, осим 479</t>
  </si>
  <si>
    <t>27, осим 279</t>
  </si>
  <si>
    <t>Bold</t>
  </si>
  <si>
    <t>Visina reda</t>
  </si>
  <si>
    <t>POZICIJA</t>
  </si>
  <si>
    <t>ПОЗИЦИЈА</t>
  </si>
  <si>
    <t>ITEM</t>
  </si>
  <si>
    <t>Лице овлашћено за заступање:</t>
  </si>
  <si>
    <t>Lice ovlašćeno za zastupanje:</t>
  </si>
  <si>
    <t>U:</t>
  </si>
  <si>
    <t>Date:</t>
  </si>
  <si>
    <t>Licence No.:</t>
  </si>
  <si>
    <t>Grupa Sr - latinica</t>
  </si>
  <si>
    <t>Grupa Sr - cirilica</t>
  </si>
  <si>
    <t>Grupa En</t>
  </si>
  <si>
    <t>1.</t>
  </si>
  <si>
    <t>2.</t>
  </si>
  <si>
    <t>3.</t>
  </si>
  <si>
    <t>4.</t>
  </si>
  <si>
    <t>5.</t>
  </si>
  <si>
    <t>6.</t>
  </si>
  <si>
    <t>7.</t>
  </si>
  <si>
    <t>8.</t>
  </si>
  <si>
    <t>9.</t>
  </si>
  <si>
    <t>10.</t>
  </si>
  <si>
    <t>11.</t>
  </si>
  <si>
    <t>12.</t>
  </si>
  <si>
    <t>13.</t>
  </si>
  <si>
    <t>14.</t>
  </si>
  <si>
    <t>Logičke kontrole obrazaca (greške su označene crvenom bojom)</t>
  </si>
  <si>
    <t>Ispravno tekuća godina</t>
  </si>
  <si>
    <t>Ispravno prethodna godina</t>
  </si>
  <si>
    <t>Redno broj kontrole</t>
  </si>
  <si>
    <t>Adrijana Cvijetić (adrijana.cvijetic@blberza.com - 051/326-053)</t>
  </si>
  <si>
    <t>010</t>
  </si>
  <si>
    <t>Konsolidovani naziv</t>
  </si>
  <si>
    <t xml:space="preserve">Konsolidovani </t>
  </si>
  <si>
    <t xml:space="preserve">Кoнсoлидoвaни </t>
  </si>
  <si>
    <t xml:space="preserve">Consolidated </t>
  </si>
  <si>
    <t>3. Neto prihod od samostalne djelatnosti</t>
  </si>
  <si>
    <t>3. Нето приход од самосталне дјелатности</t>
  </si>
  <si>
    <t>340 ili 342</t>
  </si>
  <si>
    <t>340 or 342</t>
  </si>
  <si>
    <t>341 ili 343</t>
  </si>
  <si>
    <t>341 or 343</t>
  </si>
  <si>
    <t>522 + 523</t>
  </si>
  <si>
    <t>nema konta</t>
  </si>
  <si>
    <t>Troškovi bruto naknada članovima upravnog, nadzornog, odbora za reviziju i dr.</t>
  </si>
  <si>
    <t>Od toga: troškovi stručnog obrazovanja i usavršavanja zaposlenih</t>
  </si>
  <si>
    <t>b) Troškovi reprezentacije</t>
  </si>
  <si>
    <t>v) Troškovi premije osiguranja</t>
  </si>
  <si>
    <t>g) Troškovi platnog prometa</t>
  </si>
  <si>
    <t>d) Troškovi članarina</t>
  </si>
  <si>
    <t>ž) Ostali nematerijalni troškovi</t>
  </si>
  <si>
    <t>1</t>
  </si>
  <si>
    <t>b) Representation expense</t>
  </si>
  <si>
    <t>c) Insurance premium expanse</t>
  </si>
  <si>
    <t>d) Money transfer expense</t>
  </si>
  <si>
    <t>e) Membership fee expanse</t>
  </si>
  <si>
    <t>h) Other non-material expenses</t>
  </si>
  <si>
    <t>нема конта</t>
  </si>
  <si>
    <t>Трошкови бруто накнада члановима управног, надзорног, одбора за ревизију и др.</t>
  </si>
  <si>
    <t>Од тога: трошкови стручног образовања и усавршавања запослених</t>
  </si>
  <si>
    <t>б) Трошкови репрезентације</t>
  </si>
  <si>
    <t>в) Трошкови премије осигурања</t>
  </si>
  <si>
    <t>г) Трошкови платног промета</t>
  </si>
  <si>
    <t>д) Трошкови чланарина</t>
  </si>
  <si>
    <t>ж) Остали нематеријални трошкови</t>
  </si>
  <si>
    <t>Gross salaries to the members of the Management, Supervisory, the Board of Auditors and others.</t>
  </si>
  <si>
    <t>309</t>
  </si>
  <si>
    <t>35</t>
  </si>
  <si>
    <t>Pozitivne promjene, odnosno korekcije, se unose kao pozitivni brojevi (osnovni kapital, dobitak period, pozitivne korekcije).</t>
  </si>
  <si>
    <t>U Aneksu popunjavaju se kolone 4 i 5, dok se zbirovi automatski računaju.</t>
  </si>
  <si>
    <t>Ukoliko prilikom popunjavanja tabela imate bilo kakva pitanja budite slobodni da kontaktirate Sektor za poslovne operacije:</t>
  </si>
  <si>
    <t>Id izvještaja</t>
  </si>
  <si>
    <t>Kolona1</t>
  </si>
  <si>
    <t>Kolona2</t>
  </si>
  <si>
    <t>Kolona3</t>
  </si>
  <si>
    <t>Kolona4</t>
  </si>
  <si>
    <t>Kolona5</t>
  </si>
  <si>
    <t>Kolona6</t>
  </si>
  <si>
    <t>Kolona7</t>
  </si>
  <si>
    <t>Kolona8</t>
  </si>
  <si>
    <t>BSp</t>
  </si>
  <si>
    <t>BSa</t>
  </si>
  <si>
    <t>APIF_Id</t>
  </si>
  <si>
    <t>ApifKolona</t>
  </si>
  <si>
    <t>LookupBroj</t>
  </si>
  <si>
    <t>LookupText</t>
  </si>
  <si>
    <t>Kopirati podatke u Notepad.</t>
  </si>
  <si>
    <t>Sačuvati Notepad fajl i importovati fajl u APIF Fia aplikaciju.</t>
  </si>
  <si>
    <t>Obilježiti sve kolone i redove sa podacima iz tabele, bez zaglavlja tabele.</t>
  </si>
  <si>
    <t>11</t>
  </si>
  <si>
    <t>12</t>
  </si>
  <si>
    <t xml:space="preserve">  2. Концесије, патенти, лиценце, софтвер и остала права</t>
  </si>
  <si>
    <t>VII ОСТАЛА ДУГОРОЧНА СРЕДСТВА И РАЗГРАНИЧЕЊА</t>
  </si>
  <si>
    <t>Б. ОДЛОЖЕНА ПОРЕСКА СРЕДСТВА</t>
  </si>
  <si>
    <t>В. ТЕКУЋА СРЕДСТВА (037 + 044)</t>
  </si>
  <si>
    <t>2. Краткорочни финансијски пласмани  (053 + 058 + 059 + 060)</t>
  </si>
  <si>
    <t xml:space="preserve"> </t>
  </si>
  <si>
    <t>011,013 дио 019</t>
  </si>
  <si>
    <t>025, 026, дио 029</t>
  </si>
  <si>
    <t>050, дио 059</t>
  </si>
  <si>
    <t>051, дио 059</t>
  </si>
  <si>
    <t>052, 053, дио 059</t>
  </si>
  <si>
    <t>055, 056 и дио 059</t>
  </si>
  <si>
    <t>060, дио 069</t>
  </si>
  <si>
    <t>061, дио 069</t>
  </si>
  <si>
    <t>дио 06</t>
  </si>
  <si>
    <t>062, дио 069</t>
  </si>
  <si>
    <t xml:space="preserve">063, дио 069 </t>
  </si>
  <si>
    <t>064, дио 069</t>
  </si>
  <si>
    <t>065, дио 069</t>
  </si>
  <si>
    <t>066, дио 069</t>
  </si>
  <si>
    <t>067, дио 069</t>
  </si>
  <si>
    <t>068, дио 069</t>
  </si>
  <si>
    <t>07 и 08</t>
  </si>
  <si>
    <t>201,202, 203, дио 209</t>
  </si>
  <si>
    <t>група 21 осим 214</t>
  </si>
  <si>
    <t>група 22, осим 224</t>
  </si>
  <si>
    <t>230, дио 238</t>
  </si>
  <si>
    <t>231, дио 238</t>
  </si>
  <si>
    <t>232, дио 238</t>
  </si>
  <si>
    <t>233, дио 238</t>
  </si>
  <si>
    <t>235 и 236</t>
  </si>
  <si>
    <t>234, 239</t>
  </si>
  <si>
    <t>240, дио 249</t>
  </si>
  <si>
    <t>270 од 279</t>
  </si>
  <si>
    <t>280 до 289</t>
  </si>
  <si>
    <t>011, 013 dio 019</t>
  </si>
  <si>
    <t>025, 026, dio 029</t>
  </si>
  <si>
    <t>05</t>
  </si>
  <si>
    <t>050, dio 059</t>
  </si>
  <si>
    <t>051, dio 059</t>
  </si>
  <si>
    <t>052, 053 dio 059</t>
  </si>
  <si>
    <t>055, 056 i dio 059</t>
  </si>
  <si>
    <t>060, dio 069</t>
  </si>
  <si>
    <t>dio 06</t>
  </si>
  <si>
    <t>062, dio 069</t>
  </si>
  <si>
    <t>063, dio 069</t>
  </si>
  <si>
    <t>064, dio 069</t>
  </si>
  <si>
    <t>065, dio 069</t>
  </si>
  <si>
    <t>066, dio 069</t>
  </si>
  <si>
    <t>068, dio 069</t>
  </si>
  <si>
    <t>07 i 08</t>
  </si>
  <si>
    <t>grupa 21, osim 214</t>
  </si>
  <si>
    <t>grupa 22, osim 224</t>
  </si>
  <si>
    <t>230, dio 238</t>
  </si>
  <si>
    <t>231, dio 238</t>
  </si>
  <si>
    <t>232, dio 238</t>
  </si>
  <si>
    <t>233, dio 238</t>
  </si>
  <si>
    <t>240, dio 249</t>
  </si>
  <si>
    <t>280 do 289</t>
  </si>
  <si>
    <t>4.1. Vlasnički instrumenti</t>
  </si>
  <si>
    <t>4.2. Dužnički instrumenti</t>
  </si>
  <si>
    <t>5. Potraživanja po finansijskom lizingu</t>
  </si>
  <si>
    <t>1. Kratkoročna potraživanja (046 do 051)</t>
  </si>
  <si>
    <t>1.1. Kupci - povezana pravna lica</t>
  </si>
  <si>
    <t>1.2. Kupci u zemlji</t>
  </si>
  <si>
    <t>1.3. Kupci iz inostranstva</t>
  </si>
  <si>
    <t>1.4.Potraživanja iz specifičnih poslova</t>
  </si>
  <si>
    <t>1.5. Ostala kratkoročna potraživanja</t>
  </si>
  <si>
    <t>1.6. Potraživanja za više plaćen porez na dobit</t>
  </si>
  <si>
    <t>2. Kratkoročni finansijski plasmani ( 053 + 058 + 059 + 060)</t>
  </si>
  <si>
    <t>2.4. Derivatna finansijska sredstva</t>
  </si>
  <si>
    <t>3. Gotovinski ekvivalenti i gotovina (062 + 063)</t>
  </si>
  <si>
    <t xml:space="preserve">3.1. Gotovinski ekvivalenti </t>
  </si>
  <si>
    <t>3.2. Gotovina</t>
  </si>
  <si>
    <t>5. Kratkoročna  razgraničenja</t>
  </si>
  <si>
    <t>G. BILANSNA AKTIVA (001 + 035 + 036)</t>
  </si>
  <si>
    <t>D. VANBILANSNA AKTIVA</t>
  </si>
  <si>
    <t>2.1 Ревалоризација некретнина, постројења, опреме и нематеријалне имовине</t>
  </si>
  <si>
    <t>2.2  Повећање/(смањење) фер вриједности власничких инструмената по фер вриједности кроз остали укупан резултат</t>
  </si>
  <si>
    <t>2.5 Остале ставке које неће бити рекласификоване у биланс успјеха</t>
  </si>
  <si>
    <t>2.6 Одложени порез на добит који се односи на ове ставке</t>
  </si>
  <si>
    <t>Б. ОСТАЛА ДОБИТ/ГУБИТАК У ПЕРИОДУ (± 401 ± 408)</t>
  </si>
  <si>
    <t xml:space="preserve"> В. УКУПНА ДОБИТ / (ГУБИТАК) (400± 415)</t>
  </si>
  <si>
    <t>Дио укупне добити/губитка који припада мањинским власницима</t>
  </si>
  <si>
    <t>БИЛАНСНА ПАСИВА
А. КАПИТАЛ  (102 -110 + 113 - 114 + 115 + 119 + 122 - 123 + 124 - 128 + 131)</t>
  </si>
  <si>
    <t>1. Акцијски капитал (104 + 105)</t>
  </si>
  <si>
    <t xml:space="preserve">1.1. Акцијски капитал - обичне акције </t>
  </si>
  <si>
    <t>1.2. Акцијски капитал – повлашћене (приоритетне) акције</t>
  </si>
  <si>
    <t>5. Остали основни капитал</t>
  </si>
  <si>
    <t xml:space="preserve">1. Откупљене сопствене акције и удјели </t>
  </si>
  <si>
    <t>2. Уписани неуплаћени капитал</t>
  </si>
  <si>
    <t>III ЕМИСИОНА ПРЕМИЈА</t>
  </si>
  <si>
    <t xml:space="preserve"> VI РЕВАЛОРИЗАЦИОНЕ РЕЗЕРВЕ (120 + 121)</t>
  </si>
  <si>
    <t>1. Ревалоризационе резерве за некретнине, постројења, опрему и нематеријална средства</t>
  </si>
  <si>
    <t>2. Остале ревалоризационе резерве</t>
  </si>
  <si>
    <t>VIII НЕГАТИВНИ ЕФЕКТИ ВРЕДНОВАЊА ФИНАНСИЈСКИХ СРЕДСТАВА КОЈА СЕ ВРЕДНУЈУ ПО ФЕР ВРИЈЕДНОСТИ КРОЗ ОСТАЛИ УКУПНИ РЕЗУЛТАТ</t>
  </si>
  <si>
    <t>1. Нераспоређена добит ранијих година / Нераспоређени вишак прихода над расходима ранијих година</t>
  </si>
  <si>
    <t>1. Губитак ранијих година / Вишак расхода над приходима ранијих година</t>
  </si>
  <si>
    <t>2. Губитак текуће године / Вишак расхода над приходима текуће године</t>
  </si>
  <si>
    <t>XI УЧЕШЋА БЕЗ ПРАВА КОНТРОЛЕ</t>
  </si>
  <si>
    <t>Б. ДУГОРОЧНА РЕЗЕРВИСАЊА И ДУГОРОЧНЕ ОБАВЕЗЕ (133 + 137 + 145)</t>
  </si>
  <si>
    <t>I ДУГОРОЧНА РЕЗЕРВИСАЊА (134 до 136)</t>
  </si>
  <si>
    <t>2. Резервисања за накнаде и бенефиције запослених</t>
  </si>
  <si>
    <t>3. Остала дугорочна резервисања</t>
  </si>
  <si>
    <t>II ДУГОРОЧНЕ ОБАВЕЗЕ (138 до 144)</t>
  </si>
  <si>
    <t>1. Обавезе према повезаним правним лицима</t>
  </si>
  <si>
    <t>2. Дугорочни кредити у земљи</t>
  </si>
  <si>
    <t>3. Дугорочни кредити у иностранству</t>
  </si>
  <si>
    <t>4. Обавезе по емитованим дужничким инструментима</t>
  </si>
  <si>
    <t>5. Дугорочне обавезе по лизингу</t>
  </si>
  <si>
    <t>6. Остале дугорочне финансијске обавезе по амортизованој вриједности</t>
  </si>
  <si>
    <t>7. Остале дугорочне обавезе, укључујући разграничења</t>
  </si>
  <si>
    <t>III РАЗГРАНИЧЕНИ ПРИХОДИ И ПРИМЉЕНЕ ДОНАЦИЈЕ</t>
  </si>
  <si>
    <t xml:space="preserve">В. ОДЛОЖЕНЕ ПОРЕСКЕ ОБАВЕЗЕ </t>
  </si>
  <si>
    <t xml:space="preserve"> Г. КРАТКОРОЧНE ОБАВЕЗЕ И КРАТКОРОЧНА РЕЗЕРВИСАЊА(148 + 155 + 161 + 162 + 163 + 164 + 165 + 166 + 167 + 168)</t>
  </si>
  <si>
    <t>1. Краткорочне финансијске обавезе (149 до 154)</t>
  </si>
  <si>
    <t>1.1. Краткорочне финансијске обавезе према повезаним правним лицима</t>
  </si>
  <si>
    <t>1.2. Краткорочни кредити и обавезе по емитованим краткорочним хартијама од вриједности</t>
  </si>
  <si>
    <t>1.3. Краткорочне обавезе по лизингу</t>
  </si>
  <si>
    <t>1.4. Краткорочне обавезе по фер вриједности кроз биланс успјеха</t>
  </si>
  <si>
    <t>1.5. Дериватне финансијске обавезе</t>
  </si>
  <si>
    <t>1.6. Остале обавезе по амортизованој вриједности</t>
  </si>
  <si>
    <t>2. Обавезе из пословања (156 до 160)</t>
  </si>
  <si>
    <t>2.1. Примљени аванси, депозити и кауције</t>
  </si>
  <si>
    <t>2.2. Добављачи – повезана правна лица</t>
  </si>
  <si>
    <t>2.3. Добављачи у земљи</t>
  </si>
  <si>
    <t>2.4. Добављачи из иностранства</t>
  </si>
  <si>
    <t>2.5. Остале обавезе из пословања</t>
  </si>
  <si>
    <t>5. Остале обавезе</t>
  </si>
  <si>
    <t>8. Обавезе за порез на добит</t>
  </si>
  <si>
    <t>9. Краткорочна разграничења</t>
  </si>
  <si>
    <t>10. Краткорочна резервисања</t>
  </si>
  <si>
    <t>Д. БИЛАНСНА ПАСИВА (101 + 132 + 146 + 147)</t>
  </si>
  <si>
    <t>Ђ. ВАНБИЛАНСНА ПАСИВА</t>
  </si>
  <si>
    <t>дио 33</t>
  </si>
  <si>
    <t>331 и 334</t>
  </si>
  <si>
    <t>350 или 352</t>
  </si>
  <si>
    <t>351 или 353</t>
  </si>
  <si>
    <t>дио 40</t>
  </si>
  <si>
    <t>401, 402, 403, дио 409</t>
  </si>
  <si>
    <t>дио 409, 410, 419</t>
  </si>
  <si>
    <t>421 до 424</t>
  </si>
  <si>
    <t>425 и 426</t>
  </si>
  <si>
    <t>430 и 436</t>
  </si>
  <si>
    <t>437, 439</t>
  </si>
  <si>
    <t>49, осим 496</t>
  </si>
  <si>
    <t>А. ПОСЛОВНИ ПРИХОДИ И РАСХОДИ
I ПОСЛОВНИ ПРИХОДИ
(202 + 206 + 210 + 214 – 215 + 216 – 217 + 218)</t>
  </si>
  <si>
    <t>а) Приходи од продаје производа повезаним правним лицима</t>
  </si>
  <si>
    <t>б) Приходи од продаје производа на домаћем тржишту</t>
  </si>
  <si>
    <t>в) Приходи од продаје производа на иностраном тржишту</t>
  </si>
  <si>
    <t>а) Приходи од пружених услуга повезаним лицима</t>
  </si>
  <si>
    <t>б) Приходи од пружених услуга на домаћем тржишту</t>
  </si>
  <si>
    <t>в) Приходи од пружених услуга на иностраном тржишту</t>
  </si>
  <si>
    <t>II  ПОСЛОВНИ РАСХОДИ  (220 + 221 + 222 + 223 + 226 + 227 + 234 + 235 + 236)</t>
  </si>
  <si>
    <t>а) Трошкови бруто плата и бруто накнада плата</t>
  </si>
  <si>
    <t>б) Трошкови осталих личних примања</t>
  </si>
  <si>
    <t>а) Амортизација некретнина, постројења и опреме</t>
  </si>
  <si>
    <t>в) Амортизација средстава узетих у закуп</t>
  </si>
  <si>
    <t>г) Амортизација осталих средстава</t>
  </si>
  <si>
    <t>6.1 Трошкови амортизације (229 до 232)</t>
  </si>
  <si>
    <t>б) Амортизација инвестиционих некретнина</t>
  </si>
  <si>
    <t>6.2 Трошкови резервисања</t>
  </si>
  <si>
    <t>Б.  ПОСЛОВНИ ДОБИТАК (201 – 219)</t>
  </si>
  <si>
    <t>В.  ПОСЛОВНИ ГУБИТАК (219 – 201)</t>
  </si>
  <si>
    <t>Г. ФИНАНСИЈСКИ ПРИХОДИ И РАСХОДИ 
I  ФИНАНСИЈСКИ ПРИХОДИ (240 до 243)</t>
  </si>
  <si>
    <t>1.   Приходи од камата</t>
  </si>
  <si>
    <t>2.   Позитивне курсне разлике</t>
  </si>
  <si>
    <t>3.   Приходи од ефеката валутне клаузуле</t>
  </si>
  <si>
    <t>4.   Остали финансијски приходи</t>
  </si>
  <si>
    <t>II  ФИНАНСИЈСКИ РАСХОДИ (245 до 248)</t>
  </si>
  <si>
    <t>II  ОСТАЛИ РАСХОДИ И ГУБИЦИ (262 до 270)</t>
  </si>
  <si>
    <t>Ж. ДОБИТАК ПО ОСНОВУ ОСТАЛИХ ПРИХОДА И РАСХОДА (251 – 261)</t>
  </si>
  <si>
    <t>З. ГУБИТАК ПО ОСНОВУ ОСТАЛИХ ПРИХОДА И РАСХОДА (261 – 251)</t>
  </si>
  <si>
    <t>1.1.    Нето добици од умањења раније признатих губитака усљед обезвређења нематеријалних средстава</t>
  </si>
  <si>
    <t>II  РАСХОДИ ОД УСКЛАЂИВАЊА ВРИЈЕДНОСТИ ИМОВИНЕ (287 + 294)</t>
  </si>
  <si>
    <t>Удио у добити придруженог друштва и заједничког подухвата примјеном методе удјела</t>
  </si>
  <si>
    <t>Удио у губитку придруженог друштва и заједничког подухвата примјеном методе удјела</t>
  </si>
  <si>
    <t>УКУПНИ ПРИХОДИ (201+239+251+273+301+303)</t>
  </si>
  <si>
    <t>УКУПНИ РАСХОДИ (219+244+261+286+302+304)</t>
  </si>
  <si>
    <t>2. Губитак прије опорезивања (306 – 305)</t>
  </si>
  <si>
    <t>2. Одложени порески расходи (311 + 312)</t>
  </si>
  <si>
    <t>2.1   Ефекат смањења одложених пореских средстава</t>
  </si>
  <si>
    <t>2.2   Ефекат повећања одложених пореских обавеза</t>
  </si>
  <si>
    <t>3. Одложени порески приходи (314 + 315)</t>
  </si>
  <si>
    <t>3.1 Ефекат повећања одложених пореских средстава</t>
  </si>
  <si>
    <t>3.2 Ефекат смањења одложених пореских обавеза</t>
  </si>
  <si>
    <t>2. Нето губитак текуће године (308+309+310-313)&gt;0 и 308&gt;0 или (309+310-307-313)&gt;0 и 307&gt;0</t>
  </si>
  <si>
    <t>О. Међудивиденде и други видови расподјеле добитка у току периода</t>
  </si>
  <si>
    <t>Дио нето добити/губитка који припада већинским власницима</t>
  </si>
  <si>
    <t>Дио нето добити/губитка који припада мањинским власницима</t>
  </si>
  <si>
    <t>Napomena</t>
  </si>
  <si>
    <t>Напомена</t>
  </si>
  <si>
    <t>Note</t>
  </si>
  <si>
    <t>011, 013 part 019</t>
  </si>
  <si>
    <t>025, 026, part 029</t>
  </si>
  <si>
    <t>050, part 059</t>
  </si>
  <si>
    <t>051, part 059</t>
  </si>
  <si>
    <t>052, 053 part 059</t>
  </si>
  <si>
    <t>055, 056 and part 059</t>
  </si>
  <si>
    <t>060, part 069</t>
  </si>
  <si>
    <t>part 06</t>
  </si>
  <si>
    <t>062, part 069</t>
  </si>
  <si>
    <t>063, part 069</t>
  </si>
  <si>
    <t>064, part 069</t>
  </si>
  <si>
    <t>065, part 069</t>
  </si>
  <si>
    <t>066, part 069</t>
  </si>
  <si>
    <t>068, part 069</t>
  </si>
  <si>
    <t>07 and 08</t>
  </si>
  <si>
    <t>group 21, except 214</t>
  </si>
  <si>
    <t>group 22, except 224</t>
  </si>
  <si>
    <t>230, part 238</t>
  </si>
  <si>
    <t>231, part 238</t>
  </si>
  <si>
    <t>232, part 238</t>
  </si>
  <si>
    <t>233, part 238</t>
  </si>
  <si>
    <t>240, part 249</t>
  </si>
  <si>
    <t>280 to 289</t>
  </si>
  <si>
    <t>IV LEASED ASSETS</t>
  </si>
  <si>
    <t>V BIOLOGICAL ASSETS (018 to 021)</t>
  </si>
  <si>
    <t>VII OTHER LONG-TERM ASSETS AND DEFERRED INCOME</t>
  </si>
  <si>
    <t>II CURRENT ASSETS EXCLUDING INVENTORIES AND FIXED ASSETS FOR SALE (045 + 052 + 061 + 064 + 065)</t>
  </si>
  <si>
    <t>2. Short-term financial investments ( 053 + 058 + 059 + 060)</t>
  </si>
  <si>
    <t>G. BALANCE SHEET ASSETS (001 + 035+ 036)</t>
  </si>
  <si>
    <t>D. OFF BALANCE SHEET ASSETS</t>
  </si>
  <si>
    <t xml:space="preserve"> I  НЕМАТЕРИЈАЛНА СРЕДСТВА  (003 до 007)</t>
  </si>
  <si>
    <t xml:space="preserve"> II  НЕКРЕТНИНЕ, ПОСТРОЈЕЊА И ОПРЕМА (009 до 014) </t>
  </si>
  <si>
    <t xml:space="preserve"> VI  ДУГОРОЧНИ ФИНАНСИЈСКИ ПЛАСМАНИ (023 + 024 + 025 + 030 + 033)</t>
  </si>
  <si>
    <t xml:space="preserve"> III ИНВЕСТИЦИОНЕ НЕКРЕТНИНЕ</t>
  </si>
  <si>
    <t xml:space="preserve"> IV СРЕДСТВА УЗЕТА У ЗАКУП </t>
  </si>
  <si>
    <t xml:space="preserve"> V БИОЛОШКА СРЕДСТВА   (018 до 021)</t>
  </si>
  <si>
    <t xml:space="preserve"> II  КРАТКОРОЧНА СРЕДСТВА ИЗУЗЕВ ЗАЛИХА И СТАЛНИХ СРЕДСТАВА НАМИЈЕЊЕНИХ ПРОДАЈИ (045 + 052 + 061 + 064 + 065)</t>
  </si>
  <si>
    <t xml:space="preserve"> I   ЗАЛИХЕ, СТАЛНА СРЕДСТВА НАМИЈЕЊЕНА ПРОДАЈИ И СРЕДСТВА ПОСЛОВАЊА КОЈЕ СЕ ОБУСТАВЉА (038 до 043)</t>
  </si>
  <si>
    <t xml:space="preserve"> Г. БИЛАНСНА АКТИВА  (001 + 035 + 036)</t>
  </si>
  <si>
    <t xml:space="preserve"> Д. ВАНБИЛАНСНА АКТИВА</t>
  </si>
  <si>
    <t xml:space="preserve">  1. Краткорочна потраживања  (046 до 051)</t>
  </si>
  <si>
    <t xml:space="preserve">  1. Залихе материјала</t>
  </si>
  <si>
    <t xml:space="preserve">  2. Залихе недовршене производње, полупроизвода и недовршених услуга</t>
  </si>
  <si>
    <t xml:space="preserve">  3. Залихе готових производа</t>
  </si>
  <si>
    <t xml:space="preserve">  4. Залихе робе</t>
  </si>
  <si>
    <t xml:space="preserve">  5. Стална средства намијењена продаји и средства пословања које се обуставља </t>
  </si>
  <si>
    <t xml:space="preserve">  6. Дати аванси</t>
  </si>
  <si>
    <t xml:space="preserve">  1. Улагања у развој</t>
  </si>
  <si>
    <t xml:space="preserve">  3. Goodwill</t>
  </si>
  <si>
    <t xml:space="preserve">  5. Аванси и нематеријална средства у припреми </t>
  </si>
  <si>
    <t xml:space="preserve">  4. Остала нематеријална средства</t>
  </si>
  <si>
    <t xml:space="preserve">  1. Земљиште</t>
  </si>
  <si>
    <t xml:space="preserve">  2. Грађевински објекти</t>
  </si>
  <si>
    <t xml:space="preserve">  3. Постројења и опрема</t>
  </si>
  <si>
    <t xml:space="preserve">  4. Остале некретнине, постројења и опрема</t>
  </si>
  <si>
    <t xml:space="preserve">  5. Улагање на туђим некретнинама, постројењима и опреми</t>
  </si>
  <si>
    <t xml:space="preserve">  6. Аванси и некретнине, постројења и опрема у припреми</t>
  </si>
  <si>
    <t xml:space="preserve">  1. Шуме</t>
  </si>
  <si>
    <t xml:space="preserve">  2. Вишегодишњи засади</t>
  </si>
  <si>
    <t xml:space="preserve">  3. Основно стадо и остала биолошка средства</t>
  </si>
  <si>
    <t xml:space="preserve">  4. Аванси и биолошка средства у припреми </t>
  </si>
  <si>
    <t xml:space="preserve">  1. Учешће у капиталу зависних субјеката</t>
  </si>
  <si>
    <t xml:space="preserve">  2. Учешће у капиталу придружених субјеката и заједничких подухвата</t>
  </si>
  <si>
    <t xml:space="preserve">   3.1. Дугорочни кредити повезаним правним лицима</t>
  </si>
  <si>
    <t xml:space="preserve">   3.3. Дугорочни кредити у иностранству</t>
  </si>
  <si>
    <t xml:space="preserve">   3.4. Остала финансијска средства по амортизованој вриједности</t>
  </si>
  <si>
    <t xml:space="preserve">   3.2. Дугорочни кредити у земљи</t>
  </si>
  <si>
    <t xml:space="preserve">   4.1. Власнички инструменти</t>
  </si>
  <si>
    <t xml:space="preserve">  4. Финансијска средства по фер вриједности кроз остали укупан резултат (031 + 032)</t>
  </si>
  <si>
    <t xml:space="preserve">  3. Финансијска средства по амортизованој вриједности (026 до 029)</t>
  </si>
  <si>
    <t xml:space="preserve">   4.2. Дужнички инструменти</t>
  </si>
  <si>
    <t xml:space="preserve">  5. Потраживања по финансијском лизингу</t>
  </si>
  <si>
    <t>I  NEMATERIJALNA SREDSTVA  (003 do 007)</t>
  </si>
  <si>
    <t>1. Ulaganja u razvoj</t>
  </si>
  <si>
    <t>2. Koncesije, patenti, licence, softver i ostala prava</t>
  </si>
  <si>
    <t>3. Goodwill</t>
  </si>
  <si>
    <t>4. Ostala nematerijalna sredstva</t>
  </si>
  <si>
    <t xml:space="preserve">5. Avansi i nematerijalna sredstva u pripremi </t>
  </si>
  <si>
    <t>1. Zemljište</t>
  </si>
  <si>
    <t>2. Građevinski objekti</t>
  </si>
  <si>
    <t>3. Postrojenja i oprema</t>
  </si>
  <si>
    <t>4. Ostale nekretnine, postrojenja i oprema</t>
  </si>
  <si>
    <t>5. Ulaganje na tuđim nekretninama, postrojenjima i opremi</t>
  </si>
  <si>
    <t>III INVESTICIONE NEKRETNINE</t>
  </si>
  <si>
    <t xml:space="preserve">IV SREDSTVA UZETA U ZAKUP </t>
  </si>
  <si>
    <t>V BIOLOŠKA SREDSTVA   (018 do 021)</t>
  </si>
  <si>
    <t>1. Šume</t>
  </si>
  <si>
    <t>2. Višegodišnji zasadi</t>
  </si>
  <si>
    <t>3. Osnovno stado i ostala biološka sredstva</t>
  </si>
  <si>
    <t xml:space="preserve">4. Avansi i biološka sredstva u pripremi </t>
  </si>
  <si>
    <t>VI  DUGOROČNI FINANSIJSKI PLASMANI (023+024+025+030+033)</t>
  </si>
  <si>
    <t>1. Učešće u kapitalu zavisnih subjekata</t>
  </si>
  <si>
    <t>2. Učešće u kapitalu pridruženih subjekata i zajedničkih poduhvata</t>
  </si>
  <si>
    <t>3. Finansijska sredstva po amortizovanoj vrijednosti (026 do 029)</t>
  </si>
  <si>
    <t>3.1. Dugoročni krediti povezanim pravnim licima</t>
  </si>
  <si>
    <t>3.2. Dugoročni krediti u zemlji</t>
  </si>
  <si>
    <t>3.3. Dugoročni krediti u inostranstvu</t>
  </si>
  <si>
    <t>3.4. Ostala finansijska sredstva po amortizovanoj vrijednosti</t>
  </si>
  <si>
    <t>4. Finansijska sredstva po fer vrijednosti kroz ostali ukupan rezultat (031+032)</t>
  </si>
  <si>
    <t>B. ODLOŽENA PORESKA SREDSTVA</t>
  </si>
  <si>
    <t>V. TEKUĆA SREDSTVA (037+044)</t>
  </si>
  <si>
    <t>5. Stalna sredstva namijenjena prodaji i sredstva poslovanja koje se obustavlja</t>
  </si>
  <si>
    <t>c) Kratkoročni krediti u inostranstvu</t>
  </si>
  <si>
    <t>d) Ostala finansijska sredstva po amortizovanoj vrijednosti</t>
  </si>
  <si>
    <t>1. Akcijski kapital (104 + 105)</t>
  </si>
  <si>
    <t xml:space="preserve">1.1. Akcijski kapital - obične akcije </t>
  </si>
  <si>
    <t>1.2. Akcijski kapital – povlašćene (prioritetne) akcije</t>
  </si>
  <si>
    <t>5. Ostali osnovni kapital</t>
  </si>
  <si>
    <t xml:space="preserve">1. Otkupljene sopstvene akcije i udjeli </t>
  </si>
  <si>
    <t>2. Upisani neuplaćeni kapital</t>
  </si>
  <si>
    <t>III EMISIONA PREMIJA</t>
  </si>
  <si>
    <t xml:space="preserve"> VI REVALORIZACIONE REZERVE (120 + 121)</t>
  </si>
  <si>
    <t>1. Revalorizacione rezerve za nekretnine, postrojenja, opremu i nematerijalna sredstva</t>
  </si>
  <si>
    <t>2. Ostale revalorizacione rezerve</t>
  </si>
  <si>
    <t>1. Neraspoređena dobit ranijih godina / Neraspoređeni višak prihoda nad rashodima ranijih godina</t>
  </si>
  <si>
    <t>1. Gubitak ranijih godina / Višak rashoda nad prihodima ranijih godina</t>
  </si>
  <si>
    <t>2. Gubitak tekuće godine / Višak rashoda nad prihodima tekuće godine</t>
  </si>
  <si>
    <t>XI UČEŠĆA BEZ PRAVA KONTROLE</t>
  </si>
  <si>
    <t>2. Rezervisanja za naknade i beneficije zaposlenih</t>
  </si>
  <si>
    <t>3. Ostala dugoročna rezervisanja</t>
  </si>
  <si>
    <t>II DUGOROČNE OBAVEZE (138 do 144)</t>
  </si>
  <si>
    <t>1. Obaveze prema povezanim pravnim licima</t>
  </si>
  <si>
    <t>2. Dugoročni krediti u zemlji</t>
  </si>
  <si>
    <t>3. Dugoročni krediti u inostranstvu</t>
  </si>
  <si>
    <t>4. Obaveze po emitovanim dužničkim instrumentima</t>
  </si>
  <si>
    <t>5. Dugoročne obaveze po lizingu</t>
  </si>
  <si>
    <t>6. Ostale dugoročne finansijske obaveze po amortizovanoj vrijednosti</t>
  </si>
  <si>
    <t>7. Ostale dugoročne obaveze, uključujući razgraničenja</t>
  </si>
  <si>
    <t xml:space="preserve">V. ODLOŽENE PORESKE OBAVEZE </t>
  </si>
  <si>
    <t>1. Kratkoročne finansijske obaveze (149 do 154)</t>
  </si>
  <si>
    <t>1.1. Kratkoročne finansijske obaveze prema povezanim pravnim licima</t>
  </si>
  <si>
    <t>1.2. Kratkoročni krediti i obaveze po emitovanim kratkoročnim hartijama od vrijednosti</t>
  </si>
  <si>
    <t>1.3. Kratkoročne obaveze po lizingu</t>
  </si>
  <si>
    <t>1.4. Kratkoročne obaveze po fer vrijednosti kroz bilans uspjeha</t>
  </si>
  <si>
    <t>1.5. Derivatne finansijske obaveze</t>
  </si>
  <si>
    <t>1.6. Ostale obaveze po amortizovanoj vrijednosti</t>
  </si>
  <si>
    <t>2. Obaveze iz poslovanja (156 do 160)</t>
  </si>
  <si>
    <t>2.1. Primljeni avansi, depoziti i kaucije</t>
  </si>
  <si>
    <t>2.2. Dobavljači – povezana pravna lica</t>
  </si>
  <si>
    <t>2.3. Dobavljači u zemlji</t>
  </si>
  <si>
    <t>2.4. Dobavljači iz inostranstva</t>
  </si>
  <si>
    <t>2.5. Ostale obaveze iz poslovanja</t>
  </si>
  <si>
    <t>5. Ostale obaveze</t>
  </si>
  <si>
    <t>8. Obaveze za porez na dobit</t>
  </si>
  <si>
    <t>9. Kratkoročna razgraničenja</t>
  </si>
  <si>
    <t>10. Kratkoročna rezervisanja</t>
  </si>
  <si>
    <t>D. BILANSNA PASIVA (101 + 132 + 146 + 147)</t>
  </si>
  <si>
    <t>Đ. VANBILANSNA PASIVA</t>
  </si>
  <si>
    <t>EQUITY AND LIABILITIES
A. CAPITAL (102 - 109 + 110 - 111 + 112 + 116 + 117 - 118 + 119 - 123)</t>
  </si>
  <si>
    <t>JИБ</t>
  </si>
  <si>
    <t>Tax Number</t>
  </si>
  <si>
    <t>Račun kod ovlašćene organizacije za platni promet:</t>
  </si>
  <si>
    <t>Рачун код овлашћене организациоје за платни промет:</t>
  </si>
  <si>
    <t>I OSNOVNI KAPITAL (103 + 106 + 107 + 108 + 109)</t>
  </si>
  <si>
    <t>I ОСНОВНИ КАПИТАЛ (103 + 106 + 107 + 108 + 109)</t>
  </si>
  <si>
    <t>1. Приходи од продаје робе (203 до 205)</t>
  </si>
  <si>
    <t>2. Приходи од продаје производа (207 до 209)</t>
  </si>
  <si>
    <t xml:space="preserve"> 3. Приходи од пружених услуга (211 до 213)</t>
  </si>
  <si>
    <t>600, дио 605</t>
  </si>
  <si>
    <t>601, 602, 603,дио 605</t>
  </si>
  <si>
    <t>604, дио 605</t>
  </si>
  <si>
    <t>610, дио 615</t>
  </si>
  <si>
    <t>614, дио 615</t>
  </si>
  <si>
    <t>620, дио 625</t>
  </si>
  <si>
    <t>621, 622, 623, дио 625</t>
  </si>
  <si>
    <t>624, дио 625</t>
  </si>
  <si>
    <t>640 и 641</t>
  </si>
  <si>
    <t>642 и 643</t>
  </si>
  <si>
    <t>510 до 512</t>
  </si>
  <si>
    <t>520 и 523</t>
  </si>
  <si>
    <t>дио 540</t>
  </si>
  <si>
    <t>55 осим 555 и 556</t>
  </si>
  <si>
    <t>660, 661</t>
  </si>
  <si>
    <t>560, 561</t>
  </si>
  <si>
    <t>670, 570 нето приказ</t>
  </si>
  <si>
    <t>671, 571 нето приказ</t>
  </si>
  <si>
    <t>672, 572 нето приказ</t>
  </si>
  <si>
    <t>673, 573, нето приказ</t>
  </si>
  <si>
    <t>674, 574 нето приказ</t>
  </si>
  <si>
    <t>675, 575 нето приказ</t>
  </si>
  <si>
    <t>677, 679</t>
  </si>
  <si>
    <t>678, 577</t>
  </si>
  <si>
    <t>570, 670 нето приказ</t>
  </si>
  <si>
    <t>571, 671 нето приказ</t>
  </si>
  <si>
    <t>572, 672 нето приказ</t>
  </si>
  <si>
    <t>573, 673, нето приказ</t>
  </si>
  <si>
    <t>574, 674 нето приказ</t>
  </si>
  <si>
    <t xml:space="preserve">575, 675 нето приказ </t>
  </si>
  <si>
    <t>577, 678 нето приказ</t>
  </si>
  <si>
    <t>578, 579</t>
  </si>
  <si>
    <t>дио 68</t>
  </si>
  <si>
    <t>680, 580 нето приказ</t>
  </si>
  <si>
    <t>688, дио 689, 588, дио 589нето приказ</t>
  </si>
  <si>
    <t>687, 587 нето приказ</t>
  </si>
  <si>
    <t>580, 680</t>
  </si>
  <si>
    <t>588, дио 589, 688, дио 689</t>
  </si>
  <si>
    <t>584, 684</t>
  </si>
  <si>
    <t>587, 687 нето приказ</t>
  </si>
  <si>
    <t>дио 589, дио 689нето приказ</t>
  </si>
  <si>
    <t>690 и 691</t>
  </si>
  <si>
    <t>590 и 591</t>
  </si>
  <si>
    <t>2. Prihodi od prodaje proizvoda (207 do 209)</t>
  </si>
  <si>
    <t>a) Prihodi od prodaje proizvoda povezanim pravnim licima</t>
  </si>
  <si>
    <t>b) Prihodi od prodaje proizvoda na domaćem tržištu</t>
  </si>
  <si>
    <t xml:space="preserve"> 3. Prihodi od pruženih usluga (211 do 213)</t>
  </si>
  <si>
    <t>a) Prihodi od pruženih usluga povezanim licima</t>
  </si>
  <si>
    <t>b) Prihodi od pruženih usluga na domaćem tržištu</t>
  </si>
  <si>
    <t>II  POSLOVNI RASHODI  (220 + 221 + 222 + 223 + 226 + 227 + 234 + 235 + 236)</t>
  </si>
  <si>
    <t>a) Troškovi bruto plata i bruto naknada plata</t>
  </si>
  <si>
    <t>b) Troškovi ostalih ličnih primanja</t>
  </si>
  <si>
    <t>6.1 Troškovi amortizacije (229 do 232)</t>
  </si>
  <si>
    <t>a) Amortizacija nekretnina, postrojenja i opreme</t>
  </si>
  <si>
    <t>b) Amortizacija investicionih nekretnina</t>
  </si>
  <si>
    <t>6.2 Troškovi rezervisanja</t>
  </si>
  <si>
    <t>B.  POSLOVNI DOBITAK (201 – 219)</t>
  </si>
  <si>
    <t>V.  POSLOVNI GUBITAK (219 – 201)</t>
  </si>
  <si>
    <t>G. FINANSIJSKI PRIHODI I RASHODI _x000D_
I  FINANSIJSKI PRIHODI (240 do 243)</t>
  </si>
  <si>
    <t>1.   Prihodi od kamata</t>
  </si>
  <si>
    <t>2.   Pozitivne kursne razlike</t>
  </si>
  <si>
    <t>3.   Prihodi od efekata valutne klauzule</t>
  </si>
  <si>
    <t>4.   Ostali finansijski prihodi</t>
  </si>
  <si>
    <t>II  FINANSIJSKI RASHODI (245 do 248)</t>
  </si>
  <si>
    <t>II  OSTALI RASHODI I GUBICI (262 do 270)</t>
  </si>
  <si>
    <t>Ž. DOBITAK PO OSNOVU OSTALIH PRIHODA I RASHODA (251 – 261)</t>
  </si>
  <si>
    <t>Z. GUBITAK PO OSNOVU OSTALIH PRIHODA I RASHODA (261 – 251)</t>
  </si>
  <si>
    <t>Udio u dobiti pridruženog društva i zajedničkog poduhvata primjenom metode udjela</t>
  </si>
  <si>
    <t>Udio u gubitku pridruženog društva i zajedničkog poduhvata primjenom metode udjela</t>
  </si>
  <si>
    <t>UKUPNI PRIHODI (201+239+251+273+301+303)</t>
  </si>
  <si>
    <t>UKUPNI RASHODI (219+244+261+286+302+304)</t>
  </si>
  <si>
    <t>2. Gubitak prije oporezivanja (306 – 305)</t>
  </si>
  <si>
    <t>2. Odloženi poreski rashodi (311 + 312)</t>
  </si>
  <si>
    <t>2.1   Efekat smanjenja odloženih poreskih sredstava</t>
  </si>
  <si>
    <t>2.2   Efekat povećanja odloženih poreskih obaveza</t>
  </si>
  <si>
    <t>3. Odloženi poreski prihodi (314 + 315)</t>
  </si>
  <si>
    <t>3.1 Efekat povećanja odloženih poreskih sredstava</t>
  </si>
  <si>
    <t>3.2 Efekat smanjenja odloženih poreskih obaveza</t>
  </si>
  <si>
    <t>2. Neto gubitak tekuće godine (308+309+310-313)&gt;0 i 308&gt;0 ili (309+310-307-313)&gt;0 i 307&gt;0</t>
  </si>
  <si>
    <t>O. Međudividende i drugi vidovi raspodjele dobitka u toku perioda</t>
  </si>
  <si>
    <t>Dio neto dobiti/gubitka koji pripada većinskim vlasnicima</t>
  </si>
  <si>
    <t>Dio neto dobiti/gubitka koji pripada manjinskim vlasnicima</t>
  </si>
  <si>
    <t>4. Povećanje vrijednosti zaliha učinaka</t>
  </si>
  <si>
    <t>5. Smanjenje vrijednosti zaliha učinaka</t>
  </si>
  <si>
    <t>5. Смањење вриједности залиха учинака</t>
  </si>
  <si>
    <t>4. Повећање вриједности залиха учинака</t>
  </si>
  <si>
    <t>6. Повећање вриједности инвестиционих некретнина и биолошких средстава која се не амортизују</t>
  </si>
  <si>
    <t>7. Смањење вриједности инвестиционих некретнина и биолошких средстава која се не амортизују</t>
  </si>
  <si>
    <t>1. Набавна вриједност продате робе</t>
  </si>
  <si>
    <t>2. Трошкови материјала</t>
  </si>
  <si>
    <t>3. Трошкови горива и енергије</t>
  </si>
  <si>
    <t>4. Трошкови плата, накнада плата и осталих личних примања (224 + 225)</t>
  </si>
  <si>
    <t>6. Povećanje vrijednosti investicionih nekretnina i bioloških sredstava koja se ne amortizuju</t>
  </si>
  <si>
    <t>7.  Smanjenje vrijednosti investicionih nekretnina i bioloških sredstava koja se ne amortizuju</t>
  </si>
  <si>
    <t>1. Nabavna vrijednost prodate robe</t>
  </si>
  <si>
    <t>2. Troškovi materijala</t>
  </si>
  <si>
    <t>4. Troškovi plata, naknada plata i ostalih ličnih primanja (224 + 225)</t>
  </si>
  <si>
    <t>5. Troškovi proizvodnih usluga</t>
  </si>
  <si>
    <t>6. Troškovi amortizacije i rezervisanja (228 + 233)</t>
  </si>
  <si>
    <t>8. Troškovi poreza</t>
  </si>
  <si>
    <t>9. Troškovi doprinosa</t>
  </si>
  <si>
    <t>7. Nematerijalni troškovi (bez poreza i doprinosa)</t>
  </si>
  <si>
    <t>7. Нематеријални трошкови (без пореза и доприноса)</t>
  </si>
  <si>
    <t>8. Трошкови пореза</t>
  </si>
  <si>
    <t>9. Трошкови доприноса</t>
  </si>
  <si>
    <t>5. Трошкови производних услуга</t>
  </si>
  <si>
    <t>6. Трошкови амортизације и резервисања (228 + 233)</t>
  </si>
  <si>
    <t>1. Расходи камата</t>
  </si>
  <si>
    <t>2. Негативне курсне разлике</t>
  </si>
  <si>
    <t>3. Расходи по основу валутне клаузуле</t>
  </si>
  <si>
    <t>4. Остали финансијски расходи</t>
  </si>
  <si>
    <t>1. Rashodi kamata</t>
  </si>
  <si>
    <t>2. Negativne kursne razlike</t>
  </si>
  <si>
    <t>3. Rashodi po osnovu valutne klauzule</t>
  </si>
  <si>
    <t>4. Ostali finansijski rashodi</t>
  </si>
  <si>
    <t>600, dio 605</t>
  </si>
  <si>
    <t>601, 602, 603,dio 605</t>
  </si>
  <si>
    <t>604, dio 605</t>
  </si>
  <si>
    <t>61</t>
  </si>
  <si>
    <t>610, dio 615</t>
  </si>
  <si>
    <t>614, dio 615</t>
  </si>
  <si>
    <t>62</t>
  </si>
  <si>
    <t>620, dio 625</t>
  </si>
  <si>
    <t>621, 622, 623, dio 625</t>
  </si>
  <si>
    <t>624, dio 625</t>
  </si>
  <si>
    <t>630</t>
  </si>
  <si>
    <t>631</t>
  </si>
  <si>
    <t>640 i 641</t>
  </si>
  <si>
    <t>642 i 643</t>
  </si>
  <si>
    <t>510 do 512</t>
  </si>
  <si>
    <t>513</t>
  </si>
  <si>
    <t>52</t>
  </si>
  <si>
    <t>520 i 523</t>
  </si>
  <si>
    <t>54</t>
  </si>
  <si>
    <t>540</t>
  </si>
  <si>
    <t>dio 540</t>
  </si>
  <si>
    <t>541</t>
  </si>
  <si>
    <t>55 osim 555 i 556</t>
  </si>
  <si>
    <t>555</t>
  </si>
  <si>
    <t>556</t>
  </si>
  <si>
    <t>66</t>
  </si>
  <si>
    <t>662</t>
  </si>
  <si>
    <t>663</t>
  </si>
  <si>
    <t>669</t>
  </si>
  <si>
    <t>56</t>
  </si>
  <si>
    <t>562</t>
  </si>
  <si>
    <t>563</t>
  </si>
  <si>
    <t>569</t>
  </si>
  <si>
    <t>67</t>
  </si>
  <si>
    <t>670, 570 neto prikaz</t>
  </si>
  <si>
    <t>671, 571 neto prikaz</t>
  </si>
  <si>
    <t>672, 572 neto prikaz</t>
  </si>
  <si>
    <t>673, 573, neto prikaz</t>
  </si>
  <si>
    <t>674, 574 neto prikaz</t>
  </si>
  <si>
    <t>675, 575 neto prikaz</t>
  </si>
  <si>
    <t>676</t>
  </si>
  <si>
    <t>57</t>
  </si>
  <si>
    <t>570, 670 neto prikaz</t>
  </si>
  <si>
    <t>571, 671 neto prikaz</t>
  </si>
  <si>
    <t>572, 672 neto prikaz</t>
  </si>
  <si>
    <t>573, 673, neto prikaz</t>
  </si>
  <si>
    <t>574, 674 neto prikaz</t>
  </si>
  <si>
    <t xml:space="preserve">575, 675 neto prikaz </t>
  </si>
  <si>
    <t>576</t>
  </si>
  <si>
    <t>577, 678 neto prikaz</t>
  </si>
  <si>
    <t>68</t>
  </si>
  <si>
    <t>dio 68</t>
  </si>
  <si>
    <t>680, 580 neto prikaz</t>
  </si>
  <si>
    <t>688, dio 689, 588, dio 589neto prikaz</t>
  </si>
  <si>
    <t>687, 587 neto prikaz</t>
  </si>
  <si>
    <t>58</t>
  </si>
  <si>
    <t>587, 687 neto prikaz</t>
  </si>
  <si>
    <t>dio 589, dio 689neto prikaz</t>
  </si>
  <si>
    <t>690 i 691</t>
  </si>
  <si>
    <t>590 i 591</t>
  </si>
  <si>
    <t>721</t>
  </si>
  <si>
    <t>722</t>
  </si>
  <si>
    <t>724</t>
  </si>
  <si>
    <t>723</t>
  </si>
  <si>
    <t>725</t>
  </si>
  <si>
    <t>726</t>
  </si>
  <si>
    <t>Дана:</t>
  </si>
  <si>
    <t>Dana:</t>
  </si>
  <si>
    <t>2.  Ставке које неће бити рекласификоване у биланс успјеха (± 409± 410 ± 411 ± 412 ± 413 ± 414)</t>
  </si>
  <si>
    <t>Дио укупне добити/губитка који припада већинским власницима</t>
  </si>
  <si>
    <t>2.  Stavke koje neće biti reklasifikovane u bilans uspjeha (± 409± 410 ± 411 ± 412 ± 413 ± 414)</t>
  </si>
  <si>
    <t>2.1 Revalorizacija nekretnina, postrojenja, opreme i nematerijalne imovine</t>
  </si>
  <si>
    <t>2.2  Povećanje/(smanjenje) fer vrijednosti vlasničkih instrumenata po fer vrijednosti kroz ostali ukupan rezultat</t>
  </si>
  <si>
    <t>2.5 Ostale stavke koje neće biti reklasifikovane u bilans uspjeha</t>
  </si>
  <si>
    <t>2.6 Odloženi porez na dobit koji se odnosi na ove stavke</t>
  </si>
  <si>
    <t>B. OSTALA DOBIT/GUBITAK U PERIODU (± 401 ± 408)</t>
  </si>
  <si>
    <t xml:space="preserve"> V. UKUPNA DOBIT / (GUBITAK) (400± 415)</t>
  </si>
  <si>
    <t>Dio ukupne dobiti/gubitka koji pripada većinskim vlasnicima</t>
  </si>
  <si>
    <t>Dio ukupne dobiti/gubitka koji pripada manjinskim vlasnicima</t>
  </si>
  <si>
    <t>Остали приливи из активности инвестирања</t>
  </si>
  <si>
    <t>Одливи готовине из активности инвестирања (532 до 541)</t>
  </si>
  <si>
    <t>Одливи готовине по основу куповине акција и удјела зависних и придружених друштава и заједничких подухвата</t>
  </si>
  <si>
    <t>Одливи по основу куповине некретнина, постројења и опреме</t>
  </si>
  <si>
    <t>Одливи по основу куповине инвестиционих некретнина</t>
  </si>
  <si>
    <t>Одливи по основу куповине биолошких средстава</t>
  </si>
  <si>
    <t>Одливи по основу куповине нематеријалних средстава</t>
  </si>
  <si>
    <t>Одливи по основу финансијских средстава по фер вриједности кроз остали укупни резултат</t>
  </si>
  <si>
    <t>Одливи по основу финансијских средства по фер вриједности кроз биланс успјеха</t>
  </si>
  <si>
    <t>Одливи по основу осталих финансијских средстава по амортизованој вриједности</t>
  </si>
  <si>
    <t>Одливи по основу дериватних финансијских инструмената</t>
  </si>
  <si>
    <t>Остали одливи из активности инвестирања</t>
  </si>
  <si>
    <t>Нето прилив готовине из активности инвестирања (515-531)</t>
  </si>
  <si>
    <t>Нето одлив готовине из активности инвестирања (531 – 515)</t>
  </si>
  <si>
    <t>ТОКОВИ ГОТОВИНЕ ИЗ АКТИВНОСТИ ФИНАНСИРАЊА
Приливи готовине из активности финансирања (545 до 550)</t>
  </si>
  <si>
    <t>Приливи по основу повећања основног капитала</t>
  </si>
  <si>
    <t>Приливи од продаје откупљених сопствених акција</t>
  </si>
  <si>
    <t>Приливи по основу дугорочних кредита</t>
  </si>
  <si>
    <t>Приливи по основу краткорочних кредита</t>
  </si>
  <si>
    <t>Приливи по основу издатих дужничких инструмента</t>
  </si>
  <si>
    <t xml:space="preserve">Остали приливи из активности финансирања </t>
  </si>
  <si>
    <t>Одливи готовине из активности финансирања (552 до 558)</t>
  </si>
  <si>
    <t>Одливи по основу откупа сопствених акција и удјела</t>
  </si>
  <si>
    <t xml:space="preserve">Одливи по основу дугорочних кредита </t>
  </si>
  <si>
    <t xml:space="preserve">Одливи по основу краткорочних кредита </t>
  </si>
  <si>
    <t xml:space="preserve">Одливи по основу лизинга </t>
  </si>
  <si>
    <t>Одливи по основу дужничких инструмената</t>
  </si>
  <si>
    <t>Одливи по основу исплаћених дивиденди</t>
  </si>
  <si>
    <t>Остали одливи из активности финансирања</t>
  </si>
  <si>
    <t>Нето прилив готовине из активности финансирања (544 – 551)</t>
  </si>
  <si>
    <t xml:space="preserve">Нето одлив готовине из активности финансирања (551 – 544) </t>
  </si>
  <si>
    <t>УКУПНИ ПРИЛИВИ ГОТОВИНЕ (501 + 515 + 544)</t>
  </si>
  <si>
    <t>УКУПНИ ОДЛИВИ ГОТОВИНЕ (506 + 531 + 551)</t>
  </si>
  <si>
    <t>НЕТО ПРИЛИВ ГОТОВИНЕ (561 – 562)</t>
  </si>
  <si>
    <t>НЕТО ОДЛИВ ГОТОВИНЕ (562 – 561)</t>
  </si>
  <si>
    <t xml:space="preserve">ГОТОВИНА НА ПОЧЕТКУ ОБРАЧУНСКОГ ПЕРИОДА </t>
  </si>
  <si>
    <t>ПОЗИТИВНЕ КУРСНЕ РАЗЛИКЕ ПО ОСНОВУ ПРЕРАЧУНА ГОТОВИНЕ</t>
  </si>
  <si>
    <t>НЕГАТИВНЕ КУРСНЕ РАЗЛИКЕ ПО ОСНОВУ ПРЕРАЧУНА ГОТОВИНЕ</t>
  </si>
  <si>
    <t>ГОТОВИНА НА КРАЈУ ОБРАЧУНСКОГ ПЕРИОДА (565 + 563 – 564 + 566 – 567)</t>
  </si>
  <si>
    <t>Ostali prilivi iz aktivnosti investiranja</t>
  </si>
  <si>
    <t>Odlivi gotovine iz aktivnosti investiranja (532 do 541)</t>
  </si>
  <si>
    <t>Odlivi gotovine po osnovu kupovine akcija i udjela zavisnih i pridruženih društava i zajedničkih poduhvata</t>
  </si>
  <si>
    <t>Odlivi po osnovu kupovine nekretnina, postrojenja i opreme</t>
  </si>
  <si>
    <t>Odlivi po osnovu kupovine investicionih nekretnina</t>
  </si>
  <si>
    <t>Odlivi po osnovu kupovine bioloških sredstava</t>
  </si>
  <si>
    <t>Odlivi po osnovu kupovine nematerijalnih sredstava</t>
  </si>
  <si>
    <t>Odlivi po osnovu finansijskih sredstava po fer vrijednosti kroz ostali ukupni rezultat</t>
  </si>
  <si>
    <t>Odlivi po osnovu finansijskih sredstva po fer vrijednosti kroz bilans uspjeha</t>
  </si>
  <si>
    <t>Odlivi po osnovu ostalih finansijskih sredstava po amortizovanoj vrijednosti</t>
  </si>
  <si>
    <t>Odlivi po osnovu derivatnih finansijskih instrumenata</t>
  </si>
  <si>
    <t>Ostali odlivi iz aktivnosti investiranja</t>
  </si>
  <si>
    <t>Neto priliv gotovine iz aktivnosti investiranja (515-531)</t>
  </si>
  <si>
    <t>Neto odliv gotovine iz aktivnosti investiranja (531 – 515)</t>
  </si>
  <si>
    <t>Prilivi po osnovu povećanja osnovnog kapitala</t>
  </si>
  <si>
    <t>Prilivi od prodaje otkupljenih sopstvenih akcija</t>
  </si>
  <si>
    <t>Prilivi po osnovu dugoročnih kredita</t>
  </si>
  <si>
    <t>Prilivi po osnovu kratkoročnih kredita</t>
  </si>
  <si>
    <t>Prilivi po osnovu izdatih dužničkih instrumenta</t>
  </si>
  <si>
    <t xml:space="preserve">Ostali prilivi iz aktivnosti finansiranja </t>
  </si>
  <si>
    <t>Odlivi gotovine iz aktivnosti finansiranja (552 do 558)</t>
  </si>
  <si>
    <t>Odlivi po osnovu otkupa sopstvenih akcija i udjela</t>
  </si>
  <si>
    <t xml:space="preserve">Odlivi po osnovu dugoročnih kredita </t>
  </si>
  <si>
    <t xml:space="preserve">Odlivi po osnovu kratkoročnih kredita </t>
  </si>
  <si>
    <t xml:space="preserve">Odlivi po osnovu lizinga </t>
  </si>
  <si>
    <t>Odlivi po osnovu dužničkih instrumenata</t>
  </si>
  <si>
    <t>Odlivi po osnovu isplaćenih dividendi</t>
  </si>
  <si>
    <t>Ostali odlivi iz aktivnosti finansiranja</t>
  </si>
  <si>
    <t>Neto priliv gotovine iz aktivnosti finansiranja (544 – 551)</t>
  </si>
  <si>
    <t xml:space="preserve">Neto odliv gotovine iz aktivnosti finansiranja (551 – 544) </t>
  </si>
  <si>
    <t>UKUPNI PRILIVI GOTOVINE (501 + 515 + 544)</t>
  </si>
  <si>
    <t>UKUPNI ODLIVI GOTOVINE (506 + 531 + 551)</t>
  </si>
  <si>
    <t>NETO PRILIV GOTOVINE (561 – 562)</t>
  </si>
  <si>
    <t>NETO ODLIV GOTOVINE (562 – 561)</t>
  </si>
  <si>
    <t xml:space="preserve">GOTOVINA NA POČETKU OBRAČUNSKOG PERIODA </t>
  </si>
  <si>
    <t>POZITIVNE KURSNE RAZLIKE PO OSNOVU PRERAČUNA GOTOVINE</t>
  </si>
  <si>
    <t>NEGATIVNE KURSNE RAZLIKE PO OSNOVU PRERAČUNA GOTOVINE</t>
  </si>
  <si>
    <t>GOTOVINA NA KRAJU OBRAČUNSKOG PERIODA (565 + 563 – 564 + 566 – 567)</t>
  </si>
  <si>
    <t>A
I</t>
  </si>
  <si>
    <t>II</t>
  </si>
  <si>
    <t>III</t>
  </si>
  <si>
    <t>IV</t>
  </si>
  <si>
    <t>Б
I</t>
  </si>
  <si>
    <t>B
I</t>
  </si>
  <si>
    <t>Г</t>
  </si>
  <si>
    <t>Д</t>
  </si>
  <si>
    <t>Ђ</t>
  </si>
  <si>
    <t>Е</t>
  </si>
  <si>
    <t>Ж</t>
  </si>
  <si>
    <t>З</t>
  </si>
  <si>
    <t>И</t>
  </si>
  <si>
    <t>Ј</t>
  </si>
  <si>
    <t>A_x000D_
I</t>
  </si>
  <si>
    <t>2</t>
  </si>
  <si>
    <t>B_x000D_
I</t>
  </si>
  <si>
    <t>13</t>
  </si>
  <si>
    <t>14</t>
  </si>
  <si>
    <t>15</t>
  </si>
  <si>
    <t>G</t>
  </si>
  <si>
    <t>D</t>
  </si>
  <si>
    <t>Đ</t>
  </si>
  <si>
    <t>E</t>
  </si>
  <si>
    <t>Ž</t>
  </si>
  <si>
    <t>Z</t>
  </si>
  <si>
    <t>I</t>
  </si>
  <si>
    <t>J</t>
  </si>
  <si>
    <t>Приливи од купаца и примљени аванси у земљи</t>
  </si>
  <si>
    <t>Приливи од купаца и примљени аванси у иностранству</t>
  </si>
  <si>
    <t>Приливи од премија, субвенција, дотација и сл.</t>
  </si>
  <si>
    <t>Остали приливи из пословних активности</t>
  </si>
  <si>
    <t>Одливи готовине из пословних активности (507 до 512)</t>
  </si>
  <si>
    <t>Одливи по основу исплата добављачима и дати аванси у земљи</t>
  </si>
  <si>
    <t>Одливи по основу исплата добављачима и дати аванси у иностранству</t>
  </si>
  <si>
    <t>Одливи по основу плаћених камата</t>
  </si>
  <si>
    <t>Одливи по основу пореза на добит</t>
  </si>
  <si>
    <t>Остали одливи из пословних активности</t>
  </si>
  <si>
    <t>Нето прилив готовине из пословних активности (501 – 506)</t>
  </si>
  <si>
    <t>Нето одлив готовине из пословних активности (506 – 501)</t>
  </si>
  <si>
    <t>ТОКОВИ ГОТОВИНЕ ИЗ АКТИВНОСТИ ИНВЕСТИРАЊА
Приливи готовине из активности инвестирања (516 до 530)</t>
  </si>
  <si>
    <t>Приливи готовине по основу продаје акција и удјела зависних и придружених друштава и заједничких подухвата</t>
  </si>
  <si>
    <t>Приливи по основу продаје некретнина, постројења и опреме</t>
  </si>
  <si>
    <t>Приливи по основу продаје инвестиционих некретнина</t>
  </si>
  <si>
    <t>Приливи по основу продаје биолошких средстава</t>
  </si>
  <si>
    <t>Приливи по основу продаје нематеријалних средстава</t>
  </si>
  <si>
    <t>Приливи по основу продаје сталних средстава намијењених продаји</t>
  </si>
  <si>
    <t>Приливи од финансијских средстава по фер вриједности кроз остали укупни резултат</t>
  </si>
  <si>
    <t>Приливи од финансијских средства по фер вриједности кроз биланс успјеха</t>
  </si>
  <si>
    <t>Приливи од осталих финансијских средстава по амортизованој вриједности</t>
  </si>
  <si>
    <t>Приливи по основу лизинга (главница)</t>
  </si>
  <si>
    <t>Приливи по основу лизинга (камата)</t>
  </si>
  <si>
    <t>Приливи по основу камата</t>
  </si>
  <si>
    <t>Приливи од дивиденди и учешћа у добити</t>
  </si>
  <si>
    <t>Приливи по основу дериватних финансијских инструмената</t>
  </si>
  <si>
    <t>Prilivi od kupaca i primljeni avansi u zemlji</t>
  </si>
  <si>
    <t>Prilivi od kupaca i primljeni avansi u inostranstvu</t>
  </si>
  <si>
    <t>Prilivi od premija, subvencija, dotacija i sl.</t>
  </si>
  <si>
    <t>Ostali prilivi iz poslovnih aktivnosti</t>
  </si>
  <si>
    <t>Odlivi gotovine iz poslovnih aktivnosti (507 do 512)</t>
  </si>
  <si>
    <t>Odlivi po osnovu isplata dobavljačima i dati avansi u zemlji</t>
  </si>
  <si>
    <t>Odlivi po osnovu isplata dobavljačima i dati avansi u inostranstvu</t>
  </si>
  <si>
    <t>Odlivi po osnovu plaćenih kamata</t>
  </si>
  <si>
    <t>Odlivi po osnovu poreza na dobit</t>
  </si>
  <si>
    <t>Ostali odlivi iz poslovnih aktivnosti</t>
  </si>
  <si>
    <t>Neto priliv gotovine iz poslovnih aktivnosti (501 – 506)</t>
  </si>
  <si>
    <t>Neto odliv gotovine iz poslovnih aktivnosti (506 – 501)</t>
  </si>
  <si>
    <t>Prilivi gotovine po osnovu prodaje akcija i udjela zavisnih i pridruženih društava i zajedničkih poduhvata</t>
  </si>
  <si>
    <t>Prilivi po osnovu prodaje nekretnina, postrojenja i opreme</t>
  </si>
  <si>
    <t>Prilivi po osnovu prodaje investicionih nekretnina</t>
  </si>
  <si>
    <t>Prilivi po osnovu prodaje bioloških sredstava</t>
  </si>
  <si>
    <t>Prilivi po osnovu prodaje nematerijalnih sredstava</t>
  </si>
  <si>
    <t>Prilivi po osnovu prodaje stalnih sredstava namijenjenih prodaji</t>
  </si>
  <si>
    <t>Prilivi od finansijskih sredstava po fer vrijednosti kroz ostali ukupni rezultat</t>
  </si>
  <si>
    <t>Prilivi od finansijskih sredstva po fer vrijednosti kroz bilans uspjeha</t>
  </si>
  <si>
    <t>Prilivi od ostalih finansijskih sredstava po amortizovanoj vrijednosti</t>
  </si>
  <si>
    <t>Prilivi po osnovu lizinga (glavnica)</t>
  </si>
  <si>
    <t>Prilivi po osnovu lizinga (kamata)</t>
  </si>
  <si>
    <t>Prilivi po osnovu kamata</t>
  </si>
  <si>
    <t>Prilivi od dividendi i učešća u dobiti</t>
  </si>
  <si>
    <t>Prilivi po osnovu derivatnih finansijskih instrumenata</t>
  </si>
  <si>
    <t>2.3 Актуарски добици/(губици) од планова дефинисаних примања</t>
  </si>
  <si>
    <t>2.4 Удио у осталом укупном резултату придруженог друштва и заједничког подухвата примјеном методе удјела</t>
  </si>
  <si>
    <t xml:space="preserve">1.6 Одложени порез на добит који се односи на ове ставке </t>
  </si>
  <si>
    <t>1.5 Остале ставке које могу бити рекласификоване у биланс успјеха</t>
  </si>
  <si>
    <t>1.4 Добици или губици по основу конверзије финансијских извјештаја иностраног пословања</t>
  </si>
  <si>
    <t>1.1 Повећање/(смањење) фер вриједности дужничких инструмената по фер вриједности кроз остали укупан резултат</t>
  </si>
  <si>
    <t>1.2 Ефекти проистекли из трансакција заштите ("hedging")</t>
  </si>
  <si>
    <t>1.3 Удио у осталом укупном резултату придруженог друштва и заједничког подухвата примјеном методе удјела</t>
  </si>
  <si>
    <t>1.1 Povećanje/(smanjenje) fer vrijednosti dužničkih instrumenata po fer vrijednosti kroz ostali ukupan rezultat</t>
  </si>
  <si>
    <t>1.2 Efekti proistekli iz transakcija zaštite ("hedging")</t>
  </si>
  <si>
    <t>1.3 Udio u ostalom ukupnom rezultatu pridruženog društva i zajedničkog poduhvata primjenom metode udjela</t>
  </si>
  <si>
    <t>1.4 Dobici ili gubici po osnovu konverzije finansijskih izvještaja inostranog poslovanja</t>
  </si>
  <si>
    <t>1.5 Ostale stavke koje mogu biti reklasifikovane u bilans uspjeha</t>
  </si>
  <si>
    <t xml:space="preserve">1.6  Odloženi porez na dobit koji se odnosi na ove stavke </t>
  </si>
  <si>
    <t>2.3  Aktuarski dobici/(gubici) od planova definisanih primanja</t>
  </si>
  <si>
    <t>2.4 Udio u ostalom ukupnom rezultatu pridruženog društva i zajedničkog poduhvata primjenom metode udjela</t>
  </si>
  <si>
    <t>1.  Расходи од усклађивања вриједности имовине (осим финансијске) (288 до 293)</t>
  </si>
  <si>
    <t>1.1. Нето губици по основу обезвређења нематеријалних средстава</t>
  </si>
  <si>
    <t>1.2. Нето губици по основу обезвређења некретнина, постројења и опреме</t>
  </si>
  <si>
    <t>1.3. Нето губици по основу обезвређења инвестиционих некретнина које се вреднују по набавној вриједности</t>
  </si>
  <si>
    <t>1.4. Нето губици по основу обезвређења биолошких средства које се вреднују по набавној вриједности</t>
  </si>
  <si>
    <t xml:space="preserve">1.5. Нето губици од усклађивања вриједности залиха материјала и робе </t>
  </si>
  <si>
    <t>1.6.  Нето губици од усклађивања вриједности сталних средстава намијењених продаји, средстава пословања које се обуставља и осталих нефинансијских средстава</t>
  </si>
  <si>
    <t>2.  Губици од усклађивања вриједности финансијских средстава (295 до 298)</t>
  </si>
  <si>
    <t>2.1 Нето губици од усклађивања вриједности дугорочних финансијских средстава</t>
  </si>
  <si>
    <t>2.3 Нето губици од усклађивања вриједности потраживања од купаца</t>
  </si>
  <si>
    <t>2.4 Нето губици од усклађивања вриједности осталих финансијских средстава</t>
  </si>
  <si>
    <t>2.2  Нето губици од усклађивања вриједности краткорочних финансијских средстава (осим потраживања од купаца)</t>
  </si>
  <si>
    <t xml:space="preserve">2.3  Нето добици од умањења раније признатих кредитних губитака усљед обезвређења потраживања од купаца </t>
  </si>
  <si>
    <t>2. Нето добици од усклађивања вриједности финансијских средстава (282 до 285)</t>
  </si>
  <si>
    <t>1.6. Нето добици од усклађивања вриједност сталних средстава намијењених продаји, средстава пословања које се обуставља и осталих нефинансијских средстава</t>
  </si>
  <si>
    <t xml:space="preserve">2.1 Нето добици од усклађивања вриједности дугорочних финансијских средстава </t>
  </si>
  <si>
    <t>2.2  Нето добици од усклађивања вриједности краткорочних финансијских средстава (осим потраживања од купаца)</t>
  </si>
  <si>
    <t>2.4  Нето добици од усклађивања вриједности осталих финансијских средстава</t>
  </si>
  <si>
    <t xml:space="preserve">1.5. Нето добици од усклађивања вриједности залиха материјала и робе </t>
  </si>
  <si>
    <t>1.4. Нето добици од умањења раније признатих губитака усљед обезвређења биолошких средства која се вреднују по набавној вриједности</t>
  </si>
  <si>
    <t>1.3. Нето добици од умањења раније признатих губитака усљед обезвређења инвестиционих некретнина које се вреднују по набавној вриједности</t>
  </si>
  <si>
    <t>1.2.  Нето добици од умањења раније признатих губитака усљед обезвређења некретнина, постројења и опреме</t>
  </si>
  <si>
    <t>1. Нето добици од усклађивања имовине (осим финансијске)  (275 до 280)</t>
  </si>
  <si>
    <t>6.  Нето губици по основу продаје материјала</t>
  </si>
  <si>
    <t>7.  Мањкови</t>
  </si>
  <si>
    <t>8.  Нето губици од дериватних финансијских инструмената</t>
  </si>
  <si>
    <t>5.  Нето губици од отуђења финансијских средстава и улагања у повезана лица</t>
  </si>
  <si>
    <t>9. Остали расходи и губици</t>
  </si>
  <si>
    <t>4. Нето губици по основу отуђења сталних средстава намијењених продаји и средстава пословања које се обуставља</t>
  </si>
  <si>
    <t>3.  Нето губици по основу отуђења биолошких средстава</t>
  </si>
  <si>
    <t>2. Нето губици по основу отуђења инвестиционих некретнина</t>
  </si>
  <si>
    <t>1. Нето губици по основу отуђења нематеријалних средстава, некретнина, постројења и опреме</t>
  </si>
  <si>
    <t>5. Neto gubici od otuđenja finansijskih sredstava i ulaganja u povezana lica</t>
  </si>
  <si>
    <t>6. Neto gubici po osnovu prodaje materijala</t>
  </si>
  <si>
    <t>7.  Manjkovi</t>
  </si>
  <si>
    <t>8. Neto gubici od derivatnih finansijskih instrumenata</t>
  </si>
  <si>
    <t>9. Ostali rashodi i gubici</t>
  </si>
  <si>
    <t>4. Neto gubici po osnovu otuđenja stalnih sredstava namijenjenih prodaji i sredstava poslovanja koje se obustavlja</t>
  </si>
  <si>
    <t>3. Neto gubici po osnovu otuđenja bioloških sredstava</t>
  </si>
  <si>
    <t>2. Neto gubici po osnovu otuđenja investicionih nekretnina</t>
  </si>
  <si>
    <t>1. Neto gubici po osnovu otuđenja nematerijalnih sredstava, nekretnina, postrojenja i opreme</t>
  </si>
  <si>
    <t>1. Neto dobici od usklađivanja imovine (osim finansijske)  (275 do 280)</t>
  </si>
  <si>
    <t>2. Neto dobici od usklađivanja vrijednosti finansijskih sredstava (282 do 285)</t>
  </si>
  <si>
    <t>1.1. Neto dobici od umanjenja ranije priznatih gubitaka usljed obezvređenja nematerijalnih sredstava</t>
  </si>
  <si>
    <t>1.2. Neto dobici od umanjenja ranije priznatih gubitaka usljed obezvređenja nekretnina, postrojenja i opreme</t>
  </si>
  <si>
    <t>1.3.  Neto dobici od umanjenja ranije priznatih gubitaka usljed obezvređenja investicionih nekretnina koje se vrednuju po nabavnoj vrijednosti</t>
  </si>
  <si>
    <t>1.4.  Neto dobici od umanjenja ranije priznatih gubitaka usljed obezvređenja bioloških sredstva koja se vrednuju po nabavnoj vrijednosti</t>
  </si>
  <si>
    <t xml:space="preserve">1.5.  Neto dobici od usklađivanja vrijednosti zaliha materijala i robe </t>
  </si>
  <si>
    <t>1.6.  Neto dobici od usklađivanja vrijednost stalnih sredstava namijenjenih prodaji, sredstava poslovanja koje se obustavlja i ostalih nefinansijskih sredstava</t>
  </si>
  <si>
    <t xml:space="preserve">2.1  Neto dobici od usklađivanja vrijednosti dugoročnih finansijskih sredstava </t>
  </si>
  <si>
    <t xml:space="preserve">2.3  Neto dobici od umanjenja ranije priznatih kreditnih gubitaka usljed obezvređenja potraživanja od kupaca </t>
  </si>
  <si>
    <t>2.4  Neto dobici od usklađivanja vrijednosti ostalih finansijskih sredstava</t>
  </si>
  <si>
    <t>2.2  Neto dobici od usklađivanja vrijednosti kratkoročnih finansijskih sredstava (osim potraživanja od kupaca)</t>
  </si>
  <si>
    <t>1.  Rashodi od usklađivanja vrijednosti imovine (osim finansijske) (288 do 293)</t>
  </si>
  <si>
    <t>1.1. Neto gubici po osnovu obezvređenja nematerijalnih sredstava</t>
  </si>
  <si>
    <t>1.2. Neto gubici po osnovu obezvređenja nekretnina, postrojenja i opreme</t>
  </si>
  <si>
    <t>1.3. Neto gubici po osnovu obezvređenja investicionih nekretnina koje se vrednuju po nabavnoj vrijednosti</t>
  </si>
  <si>
    <t>1.4. Neto gubici po osnovu obezvređenja bioloških sredstva koje se vrednuju po nabavnoj vrijednosti</t>
  </si>
  <si>
    <t xml:space="preserve">1.5. Neto gubici od usklađivanja vrijednosti zaliha materijala i robe </t>
  </si>
  <si>
    <t>2.  Gubici od usklađivanja vrijednosti finansijskih sredstava (295 do 298)</t>
  </si>
  <si>
    <t>2.1 Neto gubici od usklađivanja vrijednosti dugoročnih finansijskih sredstava</t>
  </si>
  <si>
    <t>2.2  Neto gubici od usklađivanja vrijednosti kratkoročnih finansijskih sredstava (osim potraživanja od kupaca)</t>
  </si>
  <si>
    <t>2.3 Neto gubici od usklađivanja vrijednosti potraživanja od kupaca</t>
  </si>
  <si>
    <t>2.4  Neto gubici od usklađivanja vrijednosti ostalih finansijskih sredstava</t>
  </si>
  <si>
    <t>1. Neto dobici po osnovu prodaje nematerijalnih sredstava, nekretnina, postrojenja i opreme</t>
  </si>
  <si>
    <t>2. Neto dobici po osnovu prodaje investicionih nekretnina</t>
  </si>
  <si>
    <t>4. Neto dobici po osnovu prodaje stalnih sredstava namijenjenih prodaji i sredstava poslovanja koje se obustavlja</t>
  </si>
  <si>
    <t>5. Neto dobici po osnovu prodaje finansijskih sredstava i ulaganja u povezana lica</t>
  </si>
  <si>
    <t>6. Neto dobici po osnovu prodaje materijala</t>
  </si>
  <si>
    <t>7. Viškovi</t>
  </si>
  <si>
    <t xml:space="preserve">8. Ostali prihodi i dobici </t>
  </si>
  <si>
    <t xml:space="preserve">9.  Neto dobici od derivatnih finansijskih instrumenata </t>
  </si>
  <si>
    <t>6. Нето добици по основу продаје материјала</t>
  </si>
  <si>
    <t>5. Нето добици по основу продаје финансијских средстава и улагања у повезана лица</t>
  </si>
  <si>
    <t>1.  Нето добици по основу продаје нематеријалних средстава, некретнина, постројења и опреме</t>
  </si>
  <si>
    <t>2. Нето добици по основу продаје инвестиционих некретнина</t>
  </si>
  <si>
    <t>3. Нето добици по основу продаје биолошких средстава</t>
  </si>
  <si>
    <t>4. Нето добици по основу продаје сталних средстава намијењених продаји и средстава пословања које се обуставља</t>
  </si>
  <si>
    <t>7. Вишкови</t>
  </si>
  <si>
    <t xml:space="preserve">8. Остали приходи и добици </t>
  </si>
  <si>
    <t xml:space="preserve">9. Нето добици од дериватних финансијских инструмената </t>
  </si>
  <si>
    <t>а) Краткорочни кредити повезаним правним лицима</t>
  </si>
  <si>
    <t>б) Краткорочни кредити у земљи</t>
  </si>
  <si>
    <t>г) Остала финансијска средства по амортизованој вриједности</t>
  </si>
  <si>
    <t>2.1  Финансијска средства по амортизованој вриједности (054 до 057)</t>
  </si>
  <si>
    <t>в) Краткорочни кредити у иностранству</t>
  </si>
  <si>
    <t>1.2. Купци у земљи</t>
  </si>
  <si>
    <t>1.3. Купци из иностранства</t>
  </si>
  <si>
    <t>1.4. Потраживања из специфичних послова</t>
  </si>
  <si>
    <t>1.1. Купци – повезана правна лица</t>
  </si>
  <si>
    <t>1.5. Остала краткорочна потраживања</t>
  </si>
  <si>
    <t>1.6. Потраживања за више плаћен порез на добит</t>
  </si>
  <si>
    <t>VRSTA PROMJENE NA KAPITALU</t>
  </si>
  <si>
    <t>Akcijski kapital - 
vlasnički udjeli</t>
  </si>
  <si>
    <t>Emisiona premija</t>
  </si>
  <si>
    <t>Rezerve</t>
  </si>
  <si>
    <t>Revalorizacione 
rezerve za 
nekretnine, 
postrojenja i opremu</t>
  </si>
  <si>
    <t>Ostale revalorizacione rezerve</t>
  </si>
  <si>
    <t>BPK11</t>
  </si>
  <si>
    <t>BPK12</t>
  </si>
  <si>
    <t>Kolona9</t>
  </si>
  <si>
    <t>Kolona10</t>
  </si>
  <si>
    <t>5. Dobit/(gubitak) za godinu</t>
  </si>
  <si>
    <t xml:space="preserve">2. Efekti promjena u računovodstvenim politikama </t>
  </si>
  <si>
    <t>6. Ostali ukupni rezultat za godinu</t>
  </si>
  <si>
    <t>9. Sticanje sopstvenih akcija i drugi oblici smanjenja kapitala</t>
  </si>
  <si>
    <t xml:space="preserve">10. Objavljene dividende </t>
  </si>
  <si>
    <t>11. Drugi oblici raspodjele dobiti i pokriće gubitka</t>
  </si>
  <si>
    <t>12. Ostale promjene</t>
  </si>
  <si>
    <t>14. Efekti promjena u računovodstvenim politikama</t>
  </si>
  <si>
    <t>17. Dobit/(gubitak) za godinu</t>
  </si>
  <si>
    <t>20. Emisija akcijskog kapitala i drugi oblici povećanja kapitala</t>
  </si>
  <si>
    <t>21. Sticanje sopstvenih akcija i drugi oblici smanjenja kapitala</t>
  </si>
  <si>
    <t xml:space="preserve">22. Objavljene dividende </t>
  </si>
  <si>
    <t>23. Drugi oblici raspodjele dobiti i pokriće gubitka</t>
  </si>
  <si>
    <t>24. Ostale promjene</t>
  </si>
  <si>
    <t>16</t>
  </si>
  <si>
    <t>17</t>
  </si>
  <si>
    <t>18</t>
  </si>
  <si>
    <t>19</t>
  </si>
  <si>
    <t>20</t>
  </si>
  <si>
    <t>21</t>
  </si>
  <si>
    <t>22</t>
  </si>
  <si>
    <t>23</t>
  </si>
  <si>
    <t>24</t>
  </si>
  <si>
    <t>25</t>
  </si>
  <si>
    <t>Kolona11</t>
  </si>
  <si>
    <t>Kolona12</t>
  </si>
  <si>
    <t>UKUPNI KAPITAL
(10+11)</t>
  </si>
  <si>
    <t>Akumulirana neraspoređena dobit/(nepokriveni gubitak)</t>
  </si>
  <si>
    <t>IZVJEŠTAJ O PROMJENAMA NA KAPITALU</t>
  </si>
  <si>
    <t xml:space="preserve">2. Ефекти промјена у рачуноводственим политикама </t>
  </si>
  <si>
    <t>5. Добит/(губитак) за годину</t>
  </si>
  <si>
    <t>6. Остали укупни резултат за годину</t>
  </si>
  <si>
    <t>9. Стицање сопствених акција и други облици смањења капитала</t>
  </si>
  <si>
    <t xml:space="preserve">10. Објављене дивиденде </t>
  </si>
  <si>
    <t>11. Други облици расподјеле добити и покриће губитка</t>
  </si>
  <si>
    <t>12. Остале промјене</t>
  </si>
  <si>
    <t>14. Ефекти промјена у рачуноводственим политикама</t>
  </si>
  <si>
    <t>17. Добит/(губитак) за годину</t>
  </si>
  <si>
    <t>20. Емисија акцијског капитала и други облици повећања капитала</t>
  </si>
  <si>
    <t>21. Стицање сопствених акција и други облици смањења капитала</t>
  </si>
  <si>
    <t xml:space="preserve">22. Објављене дивиденде </t>
  </si>
  <si>
    <t>23. Други облици расподјеле добити и покриће губитка</t>
  </si>
  <si>
    <t>24. Остале промјене</t>
  </si>
  <si>
    <t>B. DUGOROČNA REZERVISANJA I DUGOROČNE OBAVEZE (133 + 137 + 145)</t>
  </si>
  <si>
    <t>I DUGOROČNA REZERVISANJA (134 do 136)</t>
  </si>
  <si>
    <t xml:space="preserve"> G. KRATKOROČNE OBAVEZE I KRATKOROČNA REZERVISANJA(148 + 155 + 161 + 162 + 163 + 164 + 165 + 166 + 167 + 168)</t>
  </si>
  <si>
    <t>III RAZGRANIČENI PRIHODI I PRIMLJENE DONACIJE</t>
  </si>
  <si>
    <t>VIII NEGATIVNI EFEKTI VREDNOVANJA FINANSIJSKIH SREDSTAVA KOJA SE VREDNUJU PO FER VRIJEDNOSTI KROZ OSTALI UKUPNI REZULTAT</t>
  </si>
  <si>
    <t>Proceeds from sale and advances (prepayments) on domestic market</t>
  </si>
  <si>
    <t>Proceeds from sale and advances (prepayments) on foreign market</t>
  </si>
  <si>
    <t>Proceeds from premiums, subventions, grants, etc.</t>
  </si>
  <si>
    <t>Other proceeds from operating activities</t>
  </si>
  <si>
    <t>Cash outflows from operating activities (507 to 512)</t>
  </si>
  <si>
    <t>Payments to suppliers and given advances (prepayments) on domestic market</t>
  </si>
  <si>
    <t>Payments to suppliers and given advances (prepayments) on foreign market</t>
  </si>
  <si>
    <t>Payment of interests</t>
  </si>
  <si>
    <t>Payments for employee wages, salaries, and other employee benefits</t>
  </si>
  <si>
    <t>Payment of income taxes</t>
  </si>
  <si>
    <t>Other payments of operating activities</t>
  </si>
  <si>
    <t>Net inflow of cash from operating activities (501 - 506)</t>
  </si>
  <si>
    <t>Net outflow of cash from operating activities (506 - 501)</t>
  </si>
  <si>
    <t>Proceeds from sale of shares and capital stakes in subsidiaries, affiliates and joint ventures</t>
  </si>
  <si>
    <t>Proceeds from sale of real-estates, plant and equipment</t>
  </si>
  <si>
    <t>Proceeds from sale of investment properties</t>
  </si>
  <si>
    <t>Proceeds from sale of biological assets</t>
  </si>
  <si>
    <t>Proceeds from sale of intangible assets</t>
  </si>
  <si>
    <t>Proceeds from sale of fixed assets available for sale</t>
  </si>
  <si>
    <t>Proceeds from financial assets held at fair value through other comprehensive income</t>
  </si>
  <si>
    <t>Proceeds from financial assets held at fair value through profit or loss</t>
  </si>
  <si>
    <t>Proceeds from other financial assets at amortised cost</t>
  </si>
  <si>
    <t>Proceeds from lease (principal)</t>
  </si>
  <si>
    <t>Proceeds from lease (interest)</t>
  </si>
  <si>
    <t>Proceeds from interests</t>
  </si>
  <si>
    <t>Proceeds from dividends and participation in profit</t>
  </si>
  <si>
    <t>Proceeds from financial derivatives</t>
  </si>
  <si>
    <t>Other proceeds from investment activities</t>
  </si>
  <si>
    <t>Cash outflow from investing activities  (532 to 541)</t>
  </si>
  <si>
    <t>Outflows from purchase of shares and capital stakes in subsidiaries, affiliates and joint ventures</t>
  </si>
  <si>
    <t>Оutflows from purchase of real-estates, plant and equipment</t>
  </si>
  <si>
    <t>Outflows from purchase of investment properties</t>
  </si>
  <si>
    <t>Outflows from purchase of biological assets</t>
  </si>
  <si>
    <t>Outflows from purchase of intangible assets</t>
  </si>
  <si>
    <t>Outflows from financial assets held at fair value through other comprehensive income</t>
  </si>
  <si>
    <t>Outflows from financial assets held at fair value through profit or loss</t>
  </si>
  <si>
    <t>Outflows from other financial assets at amortised cost</t>
  </si>
  <si>
    <t>Outflows from financial derivatives</t>
  </si>
  <si>
    <t>Outflows arising from other investment activities</t>
  </si>
  <si>
    <t>Net cash inflow from investing activities (515-531)</t>
  </si>
  <si>
    <t>Net cash outflow from investing activities (531 – 515)</t>
  </si>
  <si>
    <t>Inflows from increase in share capital</t>
  </si>
  <si>
    <t>Inflows from sale of redeemed shares</t>
  </si>
  <si>
    <t>Inflows from long-term loans</t>
  </si>
  <si>
    <t>Inflows from short-term loans</t>
  </si>
  <si>
    <t>Inflows from issued debt instruments</t>
  </si>
  <si>
    <t>Other inflows from financing activities</t>
  </si>
  <si>
    <t>Cash outflow from financing activities (552 to 558)</t>
  </si>
  <si>
    <t>Outflow from redemption of own shares and capital stakes</t>
  </si>
  <si>
    <t xml:space="preserve">Outflow from long-term loans </t>
  </si>
  <si>
    <t>Outflow from short-term loans</t>
  </si>
  <si>
    <t>Outflow from finance lease</t>
  </si>
  <si>
    <t>Outflow from debt instruments</t>
  </si>
  <si>
    <t>Outflow arising from dividends</t>
  </si>
  <si>
    <t>Other outflows from financing activities</t>
  </si>
  <si>
    <t xml:space="preserve">Net outflow of cash from financing activities (551 – 544) </t>
  </si>
  <si>
    <t>TOTAL CASH INFLOW (501 + 515 + 544)</t>
  </si>
  <si>
    <t>TOTAL CASH OUTFLOW (506 + 531 + 551)</t>
  </si>
  <si>
    <t>NET CASH INFLOW (561 – 562)</t>
  </si>
  <si>
    <t>NET CASH OUTFLOW (562 – 561)</t>
  </si>
  <si>
    <t>CASH AT THE BEGINNING OF REPORTING PERIOD</t>
  </si>
  <si>
    <t>FOREIGN EXCHANGE GAINS FROM TRANSLATION OF CASH</t>
  </si>
  <si>
    <t>FOREIGN EXCHANGE LOSSES FROM TRANSLATION OF CASH</t>
  </si>
  <si>
    <t>CASH AT THE END OF REPORTING PERIOD (565 + 563 – 564 + 566 – 567)</t>
  </si>
  <si>
    <t>III REAL ESTATES INVESTMENT</t>
  </si>
  <si>
    <t>4. Financial assets at fair value through other comprehensive income (031 + 032)</t>
  </si>
  <si>
    <t>1. Inventory of materials</t>
  </si>
  <si>
    <t>2. Inventories of work in progress, unfinished products and services</t>
  </si>
  <si>
    <t>3. Inventory of finished products</t>
  </si>
  <si>
    <t>4. Inventory of merchandise goods</t>
  </si>
  <si>
    <t>5. Fixed assets and assests of discontinued operations available for sale</t>
  </si>
  <si>
    <t>6. Advances paid (prepayments)</t>
  </si>
  <si>
    <t>1. Short-term receivables (046 to 051)</t>
  </si>
  <si>
    <t>1.1. Customers - related legal entities</t>
  </si>
  <si>
    <t>1.2. Domestic customers</t>
  </si>
  <si>
    <t>1.3. Foreign customers</t>
  </si>
  <si>
    <t>1.4. Receivables from specific operations</t>
  </si>
  <si>
    <t>1.5. Other short-term receivables</t>
  </si>
  <si>
    <t>1.6. Receivables for overpaid income tax</t>
  </si>
  <si>
    <t>2.1. Financial assets at amortised value (054 to 057)</t>
  </si>
  <si>
    <t>a) Short-term loans to related legal entities</t>
  </si>
  <si>
    <t>b) Domestic short-term loans</t>
  </si>
  <si>
    <t>c) Short-term loans abroad</t>
  </si>
  <si>
    <t>d) Other financial assets at amortised value</t>
  </si>
  <si>
    <t>2.2. Financial assets at fair value through profit and loss</t>
  </si>
  <si>
    <t>2.3. Financial leasing receivables</t>
  </si>
  <si>
    <t>2.4. Derivative financial assets</t>
  </si>
  <si>
    <t>3. Cash equivalents and cash (062 + 063)</t>
  </si>
  <si>
    <t>3.1. Cash equivalents</t>
  </si>
  <si>
    <t>3.2. Cash</t>
  </si>
  <si>
    <t>4. Value added tax</t>
  </si>
  <si>
    <t>5. Short-term accruals</t>
  </si>
  <si>
    <t>2.3 Потраживања по финансијском лизингу</t>
  </si>
  <si>
    <t>2.4  Дериватна финансијска средства</t>
  </si>
  <si>
    <t xml:space="preserve">3.1 Готовински еквиваленти </t>
  </si>
  <si>
    <t>3. Готовински еквиваленти и готовина (062 + 063)</t>
  </si>
  <si>
    <t>3.2 Готовина</t>
  </si>
  <si>
    <t xml:space="preserve"> 4. Порез на додату вриједност</t>
  </si>
  <si>
    <t>5. Краткорочна разграничења</t>
  </si>
  <si>
    <t>1.1. Share capital - common shares</t>
  </si>
  <si>
    <t>1.2. Share capital - preferred shares</t>
  </si>
  <si>
    <t>2. Shares in limited liability company</t>
  </si>
  <si>
    <t>3. Stakes</t>
  </si>
  <si>
    <t>4. State-owned capital</t>
  </si>
  <si>
    <t>5. Other share capital</t>
  </si>
  <si>
    <t>1. Repurchased owned shares</t>
  </si>
  <si>
    <t>2. Subscribed capital unpaid</t>
  </si>
  <si>
    <t xml:space="preserve">III  ISSUANCE PREMIUM </t>
  </si>
  <si>
    <t>IV  ISSUANCE LOSS</t>
  </si>
  <si>
    <t>1. Revaluation reserves for real estates, plant, equipment and intangible assets</t>
  </si>
  <si>
    <t>2. Other revaluation reserves</t>
  </si>
  <si>
    <t>VII POSITIVE EFFECTS OF FINANCIAL ASSETS HELD AT THE FAIR VALUE THROUGH OTHER COMPREHENSIVE INCOME</t>
  </si>
  <si>
    <t>VIII NEGATIVE EFFECTS OF FINANCIAL ASSETS HELD AT THE FAIR VALUE THROUGH OTHER COMPREHENSIVE INCOME</t>
  </si>
  <si>
    <t>1. Profit from previous years</t>
  </si>
  <si>
    <t>2.  Profit for the financial year</t>
  </si>
  <si>
    <t>3.  Net income of enterpreneurs</t>
  </si>
  <si>
    <t>1. Loss of previous year</t>
  </si>
  <si>
    <t>1. Loss of current year</t>
  </si>
  <si>
    <t>XI STAKES WITHOUT THE CONTROL RIGHT</t>
  </si>
  <si>
    <t>B. LONG-TERM PROVISIONS AND LIABILITIES (133 + 137 + 145)</t>
  </si>
  <si>
    <t>I LONG-TERM PROVISIONS (134 to 136)</t>
  </si>
  <si>
    <t>1. For expenses in warranty period</t>
  </si>
  <si>
    <t>2. For employees wages and benefits</t>
  </si>
  <si>
    <t>3. Other long-term provisions</t>
  </si>
  <si>
    <t>II LONG-TERM LIABILITIES (138 to 144)</t>
  </si>
  <si>
    <t>1. Liabilities toward related legal entities</t>
  </si>
  <si>
    <t>2. Domestic long-term debt (borrowings)</t>
  </si>
  <si>
    <t>3. Long-term debt (borrowings) abroad</t>
  </si>
  <si>
    <t>4. Long- term securities payable</t>
  </si>
  <si>
    <t>5. Long-term liabilities from financial leasing</t>
  </si>
  <si>
    <t>6. Other long-term liabilities at amortised value</t>
  </si>
  <si>
    <t>III ACCURED REVENUES AND RECEIVED DONATIONS</t>
  </si>
  <si>
    <t>C. DEFERRED TAX LIABILITIES</t>
  </si>
  <si>
    <t>II - SHORT-TERM LIABILITIES AND PROVISIONS (148 + 155 + 161 + 162 + 163 + 164 + 165 + 166 + 167 + 168)</t>
  </si>
  <si>
    <t>1. Short-term financial liabilities (149 to 154)</t>
  </si>
  <si>
    <t>1.1. Short-term liabilities toward related legal entities</t>
  </si>
  <si>
    <t>1.2. Short-term borrowings and liabilities from short-term securities</t>
  </si>
  <si>
    <t>1.3. Short-term liabilities from financial leasing</t>
  </si>
  <si>
    <t>1.4. Short-term liabilities at fair value through profit and loss</t>
  </si>
  <si>
    <t>1.5. Derivative financial liabilities</t>
  </si>
  <si>
    <t>1.6. Other short-term financial liabilities at amortised value</t>
  </si>
  <si>
    <t>2. Operating liabilities (156 to 160)</t>
  </si>
  <si>
    <t>2.1. Prepayments, deposits and bails received</t>
  </si>
  <si>
    <t>2.2. Suppliers-related legal entities</t>
  </si>
  <si>
    <t>2.3. Domestic suppliers</t>
  </si>
  <si>
    <t>2.4. Foreign suppliers</t>
  </si>
  <si>
    <t>2.5. Other operating liabilities</t>
  </si>
  <si>
    <t>3. Liabilities from specific operations</t>
  </si>
  <si>
    <t>4. Wages (salaries) and salaries (salaries compensations) payable</t>
  </si>
  <si>
    <t>5. Other liabilities</t>
  </si>
  <si>
    <t>6. Value added tax</t>
  </si>
  <si>
    <t>7. Other taxes, contributions and other fees payable</t>
  </si>
  <si>
    <t>8. Profit tax liabilities</t>
  </si>
  <si>
    <t>9. Short-term accruals</t>
  </si>
  <si>
    <t>10. Short-term provisions</t>
  </si>
  <si>
    <t>D. BALANCE SHEET EQUITY AND LIABILITIES(101 + 132 + 146 + 147)</t>
  </si>
  <si>
    <t>part 33</t>
  </si>
  <si>
    <t>331 and 334</t>
  </si>
  <si>
    <t>350 or 352</t>
  </si>
  <si>
    <t>351 or 353</t>
  </si>
  <si>
    <t>part 40</t>
  </si>
  <si>
    <t>401, 402, 403, part 409</t>
  </si>
  <si>
    <t>part 409, 410, 419</t>
  </si>
  <si>
    <t>421 to 424</t>
  </si>
  <si>
    <t>425 and 426</t>
  </si>
  <si>
    <t>430 and 436</t>
  </si>
  <si>
    <t>49, except 496</t>
  </si>
  <si>
    <t>dio 33</t>
  </si>
  <si>
    <t>340 или 342</t>
  </si>
  <si>
    <t>341 или 343</t>
  </si>
  <si>
    <t>dio 40</t>
  </si>
  <si>
    <t>401, 402, 403, dio 409</t>
  </si>
  <si>
    <t>dio 409, 410, 419</t>
  </si>
  <si>
    <t>421 do 424</t>
  </si>
  <si>
    <t>425 i 426</t>
  </si>
  <si>
    <t>49, osim 496</t>
  </si>
  <si>
    <t>331 i 334</t>
  </si>
  <si>
    <t>350 ili 352</t>
  </si>
  <si>
    <t>351 ili 353</t>
  </si>
  <si>
    <t>418</t>
  </si>
  <si>
    <t>430 i 436</t>
  </si>
  <si>
    <t>A. OPERATING INCOME AND EXPENSES I OPERATING INCOME (202 + 206 + 210 + 214 - 215 + 216 - 217 + 218)</t>
  </si>
  <si>
    <t>a) Income from sale of products to related legal entities</t>
  </si>
  <si>
    <t>b) Income from sale of products on domestic market</t>
  </si>
  <si>
    <t>c) Income from sale of products on foreign market</t>
  </si>
  <si>
    <t>3. Income from services (2011 to 213)</t>
  </si>
  <si>
    <t>a) Income from services to related entities</t>
  </si>
  <si>
    <t>b) Income from services on domestic market</t>
  </si>
  <si>
    <t>c) Income from services on foreign market</t>
  </si>
  <si>
    <t>4. Increase of value of products in stock</t>
  </si>
  <si>
    <t>5. Decrease of value of products in stock</t>
  </si>
  <si>
    <t>6. Increase of the value of investment real estates and biological assets that are not subject to depreciation</t>
  </si>
  <si>
    <t>7. Decrease of the value of investment real estates and biological assets that are not subject to depreciation</t>
  </si>
  <si>
    <t>8. Other operating income</t>
  </si>
  <si>
    <t>1. Merchandise goods sold at cost</t>
  </si>
  <si>
    <t>2. Materials expenses</t>
  </si>
  <si>
    <t>3. Fuel and energy expenses</t>
  </si>
  <si>
    <t>4. Wages, salaries and other employee benefits expenses (224 + 225)</t>
  </si>
  <si>
    <t>5. Services expense</t>
  </si>
  <si>
    <t>6. Depreciation and provisions expenses (224 + 225)</t>
  </si>
  <si>
    <t>a) Depreciation of real estates, plants and equipment</t>
  </si>
  <si>
    <t>b) Depreciation of investment real estates</t>
  </si>
  <si>
    <t>c) Depreciation of leased assets</t>
  </si>
  <si>
    <t>d) Depreciation of other assets</t>
  </si>
  <si>
    <t>6.2 Provisions expenses</t>
  </si>
  <si>
    <t>7. Immaterial expense (excluding taxes and contribution)</t>
  </si>
  <si>
    <t>8. Tax expense</t>
  </si>
  <si>
    <t>9. Contribution expense</t>
  </si>
  <si>
    <t>B. OPERATING INCOME (201 - 219)</t>
  </si>
  <si>
    <t>C. OPERATING LOSS (219 - 201)</t>
  </si>
  <si>
    <t>D. FINANCE INCOME AND EXPENSES  I FINANCE INCOME (240 to 243)</t>
  </si>
  <si>
    <t>1. Interest income</t>
  </si>
  <si>
    <t>2. Foreign exchange gains</t>
  </si>
  <si>
    <t>3. Incomes from currency clause</t>
  </si>
  <si>
    <t>4. Other finance income</t>
  </si>
  <si>
    <t>1. Interests expense</t>
  </si>
  <si>
    <t>2. Foreign exchange losses</t>
  </si>
  <si>
    <t>3. Currency clause expenses</t>
  </si>
  <si>
    <t>4. Other finance expense</t>
  </si>
  <si>
    <t>1. Net income from sale of intangible investments, real estates, plant and equipment</t>
  </si>
  <si>
    <t>2. Net income from sale of investment real estates</t>
  </si>
  <si>
    <t>3. Net income from sale of biological assets</t>
  </si>
  <si>
    <t>4. Net income from sale of fixed assets for sale and discontinued operations assets</t>
  </si>
  <si>
    <t>5. Net income from sale of financial assets and investments in related legal entities</t>
  </si>
  <si>
    <t>6. Net income from sale of materials</t>
  </si>
  <si>
    <t>7. Surpluses</t>
  </si>
  <si>
    <t>8. Other incomes and gains</t>
  </si>
  <si>
    <t>9. Net income form derivative financial instruments</t>
  </si>
  <si>
    <t>1. Net losses arising from disposal of intangible assets, real estates, plants and equipment</t>
  </si>
  <si>
    <t>2. Net losses arising from disposal of investment property</t>
  </si>
  <si>
    <t>3. Net losses arising from disposal of biological assets</t>
  </si>
  <si>
    <t>4. Net losses arising from disposal of fixed assets for sale and discontinued operations assets</t>
  </si>
  <si>
    <t>5. Net losses from disposal of financial assets and investments in releted legal entities</t>
  </si>
  <si>
    <t>6. Net losses from sale of materials</t>
  </si>
  <si>
    <t>7. Deficits</t>
  </si>
  <si>
    <t>8. Net lossed from derivative financial instruments</t>
  </si>
  <si>
    <t>9. Other expenses and losses</t>
  </si>
  <si>
    <t>H. GAIN FROM OTHER INCOMES AND EXPENSES (251 - 261)</t>
  </si>
  <si>
    <t>I. LOSS FROM OTHER INCOMES AND EXPENSES (261 - 251)</t>
  </si>
  <si>
    <t>1. Net income from revaluation of assets (except financial) (275 to 280)</t>
  </si>
  <si>
    <t>2. Net income from revaluation of financial assets (282 to 285)</t>
  </si>
  <si>
    <t>2.1 Net income from revaluation of long-term financial assets</t>
  </si>
  <si>
    <t>2.2 Net income from revaluation of short-term financial assets (except custumers receivables)</t>
  </si>
  <si>
    <t>2.3 Net income form decrease of earlier recognized loans losses due to the impairment of customers receivables</t>
  </si>
  <si>
    <t>2.4 Net income from revaluation of other financial assets</t>
  </si>
  <si>
    <t>1. Expenses from revaluation of assets (except financial assets) (288 to 293)</t>
  </si>
  <si>
    <t>2. Net losses from revaluation of financial assets (295 to 298)</t>
  </si>
  <si>
    <t>2.1 Net losses from revaluation of long-term financial assets</t>
  </si>
  <si>
    <t>2.2 Net losses from revaluation of short-term financial assets (except custumers receivables)</t>
  </si>
  <si>
    <t>2.3 Net losses from revaluation of customers receivables</t>
  </si>
  <si>
    <t xml:space="preserve">2.4. Net losses from revaluation of other financial assets </t>
  </si>
  <si>
    <t>K. GAIN FROM THE REVALUATION OF PROPERTY VALUE (273 - 286)</t>
  </si>
  <si>
    <t>L. LOSS FROM THE REVALUATION OF PROPERTY VALUE (286 - 273)</t>
  </si>
  <si>
    <t>M. Incomes from changes in accounting policies and corrections from previous year</t>
  </si>
  <si>
    <t>N. Losses from changes in accounting policies and corrections from previous year</t>
  </si>
  <si>
    <t xml:space="preserve">Share in profit of associated company and joint venture using equity method </t>
  </si>
  <si>
    <t xml:space="preserve">Share in loss of associated company and joint venture using equity method </t>
  </si>
  <si>
    <t>TOTAL INCOME (201 + 239 + 251 + 273 + 301+ 303)</t>
  </si>
  <si>
    <t>TOTAL EXPENSES (219 + 244 + 261 + 286 + 302+ 304)</t>
  </si>
  <si>
    <t>2. Loss before taxes (306-305)</t>
  </si>
  <si>
    <t>P. CURRENT AND DEFERRED INCOME TAX  1.Tax expenses of reporting period</t>
  </si>
  <si>
    <t>2. Deffered tax expense of reporting period (311+312)</t>
  </si>
  <si>
    <t>3. Deffered income tax of reporting period (314+315)</t>
  </si>
  <si>
    <t>Q. NET INCOME AND NET LOSS OF THE PERIOD 1. Net income of the current year (307-309-310+313) and 307&gt;0 or (313-308-309-310) and 308&gt;0</t>
  </si>
  <si>
    <t>2. Net loss of the current year (308+309+310-313)&gt;0 and 308&gt;0  or (309+310-307-313)&gt;0 and 307&gt;0</t>
  </si>
  <si>
    <t>R. Interim dividends and other forms of net income distribution during reporting period</t>
  </si>
  <si>
    <t>part 540</t>
  </si>
  <si>
    <t>56 except 555 и 556</t>
  </si>
  <si>
    <t>part 69</t>
  </si>
  <si>
    <t>621, 622, 623, part 625</t>
  </si>
  <si>
    <t>614, part 615</t>
  </si>
  <si>
    <t>610, partо 615</t>
  </si>
  <si>
    <t>604, part 605</t>
  </si>
  <si>
    <t>600, part 605</t>
  </si>
  <si>
    <t>601, 602, 603, part 605</t>
  </si>
  <si>
    <t>670, 570 Net amount</t>
  </si>
  <si>
    <t>671, 571 Net amount</t>
  </si>
  <si>
    <t>672, 572 Net amount</t>
  </si>
  <si>
    <t>673, 573, Net amount</t>
  </si>
  <si>
    <t>674, 574 Net amount</t>
  </si>
  <si>
    <t>675, 575 Net amount</t>
  </si>
  <si>
    <t>570, 670 Net amount</t>
  </si>
  <si>
    <t>571, 671 Net amount</t>
  </si>
  <si>
    <t>572, 672 Net amount</t>
  </si>
  <si>
    <t>573, 673, Net amount</t>
  </si>
  <si>
    <t>574, 674 Net amount</t>
  </si>
  <si>
    <t>575, 675 Net amount</t>
  </si>
  <si>
    <t>577, 678 Net amount</t>
  </si>
  <si>
    <t>680, 580 Net amount</t>
  </si>
  <si>
    <t>681, 581 Net amount</t>
  </si>
  <si>
    <t>682, 582 Net amount</t>
  </si>
  <si>
    <t>683, 583 Net amount</t>
  </si>
  <si>
    <t>685, 585 Net amount</t>
  </si>
  <si>
    <t>684, 584 Net amount</t>
  </si>
  <si>
    <t>686, 585 Net amount</t>
  </si>
  <si>
    <t>687, 587 Net amount</t>
  </si>
  <si>
    <t>part 689, part 589 Net amount</t>
  </si>
  <si>
    <t>581, 681 Net amount</t>
  </si>
  <si>
    <t>585, 685 Net amount</t>
  </si>
  <si>
    <t>588, part 589, 688, part 690</t>
  </si>
  <si>
    <t>587, 687 Net amount</t>
  </si>
  <si>
    <t>part 589, part 689 Net amount</t>
  </si>
  <si>
    <t xml:space="preserve">A. NET INCOME OR NET LOSS OF PERIOD </t>
  </si>
  <si>
    <t>1.2. Effects resulting from hedging transactions</t>
  </si>
  <si>
    <t>1.3. Share in the other comprehensive income of the associated company and joint venture using the equity method</t>
  </si>
  <si>
    <t>1.4. Gains or losses arising from translation of financial statements in foreign operations</t>
  </si>
  <si>
    <t>1.5. Other items that can be reclassified in the income statement</t>
  </si>
  <si>
    <t>1.6. Deferred income tax related to these items</t>
  </si>
  <si>
    <t>2. Items that will not be reclassified in the income statement (± 409± 410 ± 411 ± 412 ± 413 ± 414)</t>
  </si>
  <si>
    <t>2.1. Revaluation of real estate, plant, equipment and intangible assets</t>
  </si>
  <si>
    <t>2.2. Increase/(decrease) in the fair value of equity instruments at fair value through other comprehensive income</t>
  </si>
  <si>
    <t>2.3. Actuarial gains/(losses) from defined benefit plans</t>
  </si>
  <si>
    <t>2.4. Share in the other comprehensive income of the associated company and joint venture using the equity method</t>
  </si>
  <si>
    <t>2.5. Other items that will not be reclassified in the income statement</t>
  </si>
  <si>
    <t>2.6. Deferred income tax related to these items</t>
  </si>
  <si>
    <t>B. OTHER GAINS AND LOSSES OF THE PERIOD (± 401 ± 408)</t>
  </si>
  <si>
    <t>C. TOTAL PROFIT / (LOSS) (400± 415)</t>
  </si>
  <si>
    <t>I  НЕМАТЕРИАЛЬНЫЕ СРЕДСТВА  (003 до 007)</t>
  </si>
  <si>
    <t>1. Вложения в развитие</t>
  </si>
  <si>
    <t>2. Концессии, патенты, лицензии, программное обеспечение и прочие права</t>
  </si>
  <si>
    <t>4. Прочие нематериальные средства</t>
  </si>
  <si>
    <t>5. Авансы и нематериальные средства на стадии подготовки</t>
  </si>
  <si>
    <t xml:space="preserve">II  НЕДВИЖИМОСТЬ, УСТАНОВКИ И ОБОРУДОВАНИЕ (009 до 014) </t>
  </si>
  <si>
    <t>1. Земельные участки</t>
  </si>
  <si>
    <t>2. Строительные участки</t>
  </si>
  <si>
    <t>3. Установки и оборудование</t>
  </si>
  <si>
    <t>4. Прочая недвижимость, установки и оборудование</t>
  </si>
  <si>
    <t>5. Вложения в чужую недвижимость, установки и оборудование</t>
  </si>
  <si>
    <t>6. Авансы и недвижимость, установки и оборудование на стадии подготовки</t>
  </si>
  <si>
    <t>III ИНВЕСТИЦИОННАЯ НЕДВИЖИМОСТЬ</t>
  </si>
  <si>
    <t>IV СРЕДСТВА, ВЗЯТЫЕ В АРЕНДУ</t>
  </si>
  <si>
    <t>V БИОЛОГИЧЕСКИЕ СРЕДСТВА   (018 до 021)</t>
  </si>
  <si>
    <t xml:space="preserve">1. Леса </t>
  </si>
  <si>
    <t>2. Многолетние насаждения</t>
  </si>
  <si>
    <t>3. Основное стадо и прочие биологические  средства</t>
  </si>
  <si>
    <t>4. Авансы и биологические средства на стадии подготовки</t>
  </si>
  <si>
    <t>VI  ДОЛГОСРОЧНЫЕ ФИНАНСОВЫЕ РАЗМЕЩЕНИЯ (023 + 024 + 025 + 030 + 033)</t>
  </si>
  <si>
    <t>1. Участие в капитале зависимых субъектов</t>
  </si>
  <si>
    <t>2. Участие в капитале ассоциированных субъектов и совместных предприятий</t>
  </si>
  <si>
    <t>3. Финансовые средства по амортизированной стоимости (026 до 029)</t>
  </si>
  <si>
    <t>3.1. Долгосрочные кредиты аффилированным юридическим лицам</t>
  </si>
  <si>
    <t>3.2. Долгосрочные кредиты в стране</t>
  </si>
  <si>
    <t>3.3. Долгосрочные кредиты за рубежом</t>
  </si>
  <si>
    <t>3.4. Прочие финансовые средства по амортизированной стоимости</t>
  </si>
  <si>
    <t>4. Финансовые средства по справедливой стоимости через прочий совокупный результат (031 + 032)</t>
  </si>
  <si>
    <t>4.1. Долевые инструменты</t>
  </si>
  <si>
    <t>4.2. Долговые инструменты</t>
  </si>
  <si>
    <t>5. Дебиторская задолженность по финансовому лизингу</t>
  </si>
  <si>
    <t>VII ПРОЧИЕ ДОЛГОСРОЧНЫЕ СРЕДСТВА И РАЗГРАНИЧЕНИЯ</t>
  </si>
  <si>
    <t>Б. ОТЛОЖЕННЫЕ НАЛОГОВЫЕ  СРЕДСТВА</t>
  </si>
  <si>
    <t>В. ТЕКУЩИЕ СРЕДСТВА (037 + 044)</t>
  </si>
  <si>
    <t>I   ЗАПАСЫ, ВНЕОБОРОТНЫЕ СРЕДСТВА, ПРЕДНАЗНАЧЕННЫЕ ДЛЯ ПРОДАЖИ, И СРЕДСТВА ПРЕКРАЩАЕМОЙ ДЕЯТЕЛЬНОСТИ (038 до 043)</t>
  </si>
  <si>
    <t>1. Запасы материалов</t>
  </si>
  <si>
    <t>2. Запасы незавершенного производства, полуфабрикатов и незавершенных услуг</t>
  </si>
  <si>
    <t>3. Запасы готовой продукции</t>
  </si>
  <si>
    <t>4. Запасы товаров</t>
  </si>
  <si>
    <t>5. Внеоборотные средства, предназначенные для продажи, и средства прекращаемой деятельности</t>
  </si>
  <si>
    <t>6. Выданные авансы</t>
  </si>
  <si>
    <t>II  КРАТКОСРОЧНЫЕ СРЕДСТВА, КРОМЕ ЗАПАСОВ И ВНЕОБОРОТНЫХ  СРЕДСТВ, ПРЕДНАЗНАЧЕННЫХ ДЛЯ ПРОДАЖИ (045 + 052 + 061 + 064 + 065)</t>
  </si>
  <si>
    <t>1. Краткосрочная дебиторская задолженность  (046 до 051)</t>
  </si>
  <si>
    <t>2. Краткосрочные финансовые размещения  (053 + 058 + 059 + 060)</t>
  </si>
  <si>
    <t>а) Краткосрочные кредиты аффилированным юридическим лицам</t>
  </si>
  <si>
    <t>б) Краткосрочные кредиты в стране</t>
  </si>
  <si>
    <t>в) Краткосрочные кредиты за рубежом</t>
  </si>
  <si>
    <t>г) Прочие финансовые средства по амортизированной стоимости</t>
  </si>
  <si>
    <t>3. Денежные средства и их эквиваленты (062 + 063)</t>
  </si>
  <si>
    <t>4. Налог на добавленную стоимость</t>
  </si>
  <si>
    <t>5. Краткосрочные разграничения</t>
  </si>
  <si>
    <t>Г. БАЛАНСОВЫЕ АКТИВЫ  (001 + 035 + 036)</t>
  </si>
  <si>
    <t>Д. ЗАБАЛАНСОВЫЕ АКТИВЫ</t>
  </si>
  <si>
    <t>БАЛАНСОВЫЕ ПАССИВЫ   
А. КАПИТАЛ (102 – 110 + 113 – 114 + 115 + 119 + 122 – 123 + 124 – 128 + 131)</t>
  </si>
  <si>
    <t>I  ОСНОВНОЙ КАПИТАЛ (103+106+107+108+109)</t>
  </si>
  <si>
    <t>1. Акционерный капитал (104+105)</t>
  </si>
  <si>
    <t>2. Доли общества с ограниченной ответственностью</t>
  </si>
  <si>
    <t>3. Доли</t>
  </si>
  <si>
    <t>4. Государственный капитал</t>
  </si>
  <si>
    <t>5. Прочий основной капитал</t>
  </si>
  <si>
    <t>II  ВЫКУПЛЕННЫЕ СОБСТВЕННЫЕ АКЦИИ И ЗАРЕГИСТРИРОВАННЫЙ НЕОПЛАЧЕННЫЙ КАПИТАЛ (111+112)</t>
  </si>
  <si>
    <t>1. Выкупленные собственные акции и доли</t>
  </si>
  <si>
    <t>2. Зарегистрированный неоплаченный  капитал</t>
  </si>
  <si>
    <t>III  ЭМИССИОННАЯ ПРЕМИЯ</t>
  </si>
  <si>
    <t>IV ЭМИССИОННЫЙ УБЫТОК</t>
  </si>
  <si>
    <t xml:space="preserve">V  РЕЗЕРВЫ (116 до 118) </t>
  </si>
  <si>
    <t>VI РЕЗЕРВЫ ПЕРЕОЦЕНКИ (120 + 121)</t>
  </si>
  <si>
    <t>1. Переоценочные резервы на недвижимость, установки, оборудование и нематериальные средства</t>
  </si>
  <si>
    <t>2. Прочие переоценочные резервы</t>
  </si>
  <si>
    <t>VII  ПОЛОЖИТЕЛЬНЫЕ ЭФФЕКТЫ ОЦЕНКИ ФИНАНСОВЫХ СРЕДСТВ, ОЦЕНИВАЕМЫХ ПО СПРАВЕДЛИВОЙ СТОИМОСТИ ЧЕРЕЗ ПРОЧИЙ СОВОКУПНЫЙ РЕЗУЛЬТАТ</t>
  </si>
  <si>
    <t>VIII ОТРИЦАТЕЛЬНЫЕ ЭФФЕКТЫ ОЦЕНКИ ФИНАНСОВЫХ СРЕДСТВ, ОЦЕНИВАЕМЫХ ПО СПРАВЕДЛИВОЙ СТОИМОСТИ ЧЕРЕЗ ПРОЧИЙ СОВОКУПНЫЙ РЕЗУЛЬТАТ</t>
  </si>
  <si>
    <t>IX  НЕРАСПРЕДЕЛЕННАЯ ПРИБЫЛЬ (125 до 127)</t>
  </si>
  <si>
    <t>1. Нераспределенная прибыль прошлых лет / Нераспределенная сумма превышения доходов над расходами прошлых лет</t>
  </si>
  <si>
    <t>3. Нетто доход от самостоятельной деятельности</t>
  </si>
  <si>
    <t>X УБЫТОК (129 + 130)</t>
  </si>
  <si>
    <t>1. Убыток прошлых лет / Превышение  расходов над доходами прошлых лет</t>
  </si>
  <si>
    <t>2. Убыток текущего года /Превышение расходов над доходами текущего года</t>
  </si>
  <si>
    <t>XI УЧАСТИЯ БЕЗ ПРАВА КОНТРОЛЯ</t>
  </si>
  <si>
    <t>Б. ДОЛГОСРОЧНЫЕ РЕЗЕРВЫ И ДОЛГОСРОЧНЫЕ ОБЯЗАТЕЛЬСТВА (133 + 137 + 145)</t>
  </si>
  <si>
    <t>1. Резервы на расходы в гарантийный период</t>
  </si>
  <si>
    <t>2. Резервы на компенсации и льготы работников</t>
  </si>
  <si>
    <t>3. Прочие долгосрочные резервы</t>
  </si>
  <si>
    <t>III. РАЗГРАНИЧЕННЫЕ ДОХОДЫ И  ПОЛУЧЕННЫЕ ДОТАЦИИ</t>
  </si>
  <si>
    <t>В. ОТЛОЖЕННЫЕ НАЛОГОВЫЕ ОБЯЗАТЕЛЬСТВА</t>
  </si>
  <si>
    <t>Г. КРАТКОСРОЧНЫE ОБЯЗАТЕЛЬСТВА И КРАТКОСРОЧНЫЕ РЕЗЕРВЫ (148 + 155 + 161 + 162 + 163 + 164 + 165 + 166 + 167 + 168)</t>
  </si>
  <si>
    <t>1. Краткосрочные финансовые обязательства (149 до 154)</t>
  </si>
  <si>
    <t>2. Обязательства в рамках деятельности (156 до 160)</t>
  </si>
  <si>
    <t>3. Обязательства в рамках специфической деятельности</t>
  </si>
  <si>
    <t>4. Обязательства по заработным платам и компенсациям заработных плат</t>
  </si>
  <si>
    <t>5. Прочие обязательства</t>
  </si>
  <si>
    <t>6. Налог на добавленную стоимость</t>
  </si>
  <si>
    <t>7. Обязательства по прочим налогам, взносам и иным платежам</t>
  </si>
  <si>
    <t>8. Обязательства по налогу на прибыль</t>
  </si>
  <si>
    <t>9. Краткосрочные разграничения</t>
  </si>
  <si>
    <t>10. Краткосрочные резервы</t>
  </si>
  <si>
    <t>Д. БАЛАНСОВЫЕ ПАССИВЫ (101 + 132 + 146 + 147)</t>
  </si>
  <si>
    <t>Ђ. ЗАБАЛАНСОВЫЕ ПАССИВЫ</t>
  </si>
  <si>
    <t>а) Доходы от продажи товаров аффилированным юридическим лицам</t>
  </si>
  <si>
    <t>б) Доходы от продажи товаров на внутреннем рынке</t>
  </si>
  <si>
    <t>в) Доходы от продажи товаров на иностранном рынке</t>
  </si>
  <si>
    <t>а) Доходы от продажи продукции аффилированным юридическим лицам</t>
  </si>
  <si>
    <t>б) Доходы от продажи продукции на внутреннем рынке</t>
  </si>
  <si>
    <t>в) Доходы от продажи продукции на иностранном рынке</t>
  </si>
  <si>
    <t>а) Доходы от услуг, оказанных аффилированным юридическим лицам</t>
  </si>
  <si>
    <t>б) Доходы от услуг, оказанных на внутреннем рынке</t>
  </si>
  <si>
    <t>в) Доходы от услуг, оказанных на иностранном рынке</t>
  </si>
  <si>
    <t>8. Прочие доходы от деятельности</t>
  </si>
  <si>
    <t>II  РАСХОДЫ В РАМКАХ ДЕЯТЕЛЬНОСТИ  (220 + 221 + 222 + 223 + 226 + 227 + 234 + 235 + 236)</t>
  </si>
  <si>
    <t>а) Расходы на брутто заработные платы и брутто компенсации заработных плат</t>
  </si>
  <si>
    <t>б) Расходы на прочие личные доходы</t>
  </si>
  <si>
    <t>а) Амортизация недвижимости, установок и оборудования</t>
  </si>
  <si>
    <t>в) Амортизация средств, взятых в аренду</t>
  </si>
  <si>
    <t>г) Амортизация прочих средств</t>
  </si>
  <si>
    <t>Б.  ПРИБЫЛЬ ОТ ДЕЯТЕЛЬНОСТИ (201 – 219)</t>
  </si>
  <si>
    <t>В.  УБЫТОК ОТ ДЕЯТЕЛЬНОСТИ (219 – 201)</t>
  </si>
  <si>
    <t>II  ФИНАНСОВЫЕ РАСХОДЫ (245 до 248)</t>
  </si>
  <si>
    <t xml:space="preserve">Д. ПРИБЫЛЬ ОТ РЕГУЛЯРНОЙ ДЕЯТЕЛЬНОСТИ   (237 + 239 – 244) или (239-244-238) </t>
  </si>
  <si>
    <t xml:space="preserve">Ђ. УБЫТОК ОТ РЕГУЛЯРНОЙ ДЕЯТЕЛЬНОСТИ  (238 + 244 -239) или (244-239-237) </t>
  </si>
  <si>
    <t>II  ПРОЧИЕ РАСХОДЫ И УБЫТКИ (262 до 270)</t>
  </si>
  <si>
    <t>Ж. ПРИБЫЛЬ ОТ ПРОЧИХ ДОХОДОВ И РАСХОДОВ (251 – 261)</t>
  </si>
  <si>
    <t>З. УБЫТОК ОТ ПРОЧИХ ДОХОДОВ И РАСХОДОВ (261 – 251)</t>
  </si>
  <si>
    <t>II  РАСХОДЫ ОТ СОГЛАСОВАНИЯ  СТОИМОСТИ АКТИВОВ (287 + 294)</t>
  </si>
  <si>
    <t xml:space="preserve">Ј. ПРИБЫЛЬ ОТ СОГЛАСОВАНИЯ СТОИМОСТИ АКТИВОВ (273 – 286) </t>
  </si>
  <si>
    <t>К. УБЫТОК ОТ СОГЛАСОВАНИЯ СТОИМОСТИ АКТИВОВ (286 – 273)</t>
  </si>
  <si>
    <t>Љ. РАСХОДЫ ОТ ИЗМЕНЕНИЯ УЧЕТНОЙ ПОЛИТИКИ И ИСПРАВЛЕНИЯ ОШИБОК ПРОШЛЫХ ЛЕТ</t>
  </si>
  <si>
    <t>Доля в прибыли ассоциированного общества и совместного предприятия по методу долевого участия</t>
  </si>
  <si>
    <t>Доля в убытке ассоциированного общества и совместного предприятия по методу долевого участия</t>
  </si>
  <si>
    <t>СОВОКУПНЫЕ ДОХОДЫ (201+239+251+273+301+303)</t>
  </si>
  <si>
    <t>СОВОКУПНЫЕ РАСХОДЫ (219+244+261+286+302+304)</t>
  </si>
  <si>
    <t>2. Убыток до налогообложения  (306 – 305)</t>
  </si>
  <si>
    <t>2. Отложенные налоговые расходы (311 + 312)</t>
  </si>
  <si>
    <t>3. Отложенные налоговые доходы (314 + 315)</t>
  </si>
  <si>
    <t>3.1 Эффект увеличения отложенных налоговых средств</t>
  </si>
  <si>
    <t>3.2 Эффект уменьшения отложенных налоговых обязательств</t>
  </si>
  <si>
    <t>2. Нетто убыток текущего года (308+309+310-313)&gt;0 и 308&gt;0 или (309+310-307-313)&gt;0 и 307&gt;0</t>
  </si>
  <si>
    <t>О. ПРОМЕЖУТОЧНЫЕ ДИВИДЕНДЫ И ИНЫЕ ВИДЫ РАСПРЕДЕЛЕНИЯ ПРИБЫЛИ В ТЕЧЕНИЕ ПЕРИОДА</t>
  </si>
  <si>
    <t>Часть нетто прибыли/убытка,  принадлежащая мажоритарным собственникам</t>
  </si>
  <si>
    <t>Часть нетто прибыли/убытка,  принадлежащая миноритарным собственникам</t>
  </si>
  <si>
    <t>Обыкновенная прибыль на акцию</t>
  </si>
  <si>
    <t>Разводненная прибыль на акцию</t>
  </si>
  <si>
    <t>Средняя численность работников на основании часов работы</t>
  </si>
  <si>
    <t>Средняя численность работников на основании состояния в конце месяца</t>
  </si>
  <si>
    <t>Русский</t>
  </si>
  <si>
    <t>Сведения в заголовке:</t>
  </si>
  <si>
    <t>Данные ниже отчета:</t>
  </si>
  <si>
    <t>Название банка</t>
  </si>
  <si>
    <t>Счета в банке:</t>
  </si>
  <si>
    <t>Основной счет:</t>
  </si>
  <si>
    <t>Навигация</t>
  </si>
  <si>
    <t>День</t>
  </si>
  <si>
    <t>Месяц</t>
  </si>
  <si>
    <t>Год</t>
  </si>
  <si>
    <t>Адрес и номер:</t>
  </si>
  <si>
    <t>Интернет-адрес:</t>
  </si>
  <si>
    <t>Адрес электронной почты:</t>
  </si>
  <si>
    <t>Телефон:</t>
  </si>
  <si>
    <t>Факс:</t>
  </si>
  <si>
    <t>Выберите язык | Choose language</t>
  </si>
  <si>
    <t>Отчетный период:</t>
  </si>
  <si>
    <t>Начало отчетного периода:</t>
  </si>
  <si>
    <t>Конец отчетного периода:</t>
  </si>
  <si>
    <t>Вид отчета:</t>
  </si>
  <si>
    <t>Первый квартал</t>
  </si>
  <si>
    <t>Полугодовой</t>
  </si>
  <si>
    <t>Третий квартал</t>
  </si>
  <si>
    <t>Годовой</t>
  </si>
  <si>
    <t xml:space="preserve">Специфический </t>
  </si>
  <si>
    <t>Наименование хозяйственного общества, кооператива, иного юридического лица или предпринимателя:</t>
  </si>
  <si>
    <t>Адрес головного офиса:</t>
  </si>
  <si>
    <t>Единый идентификационный номер:</t>
  </si>
  <si>
    <t>Операционные счета:</t>
  </si>
  <si>
    <t>Консолидированный отчет:</t>
  </si>
  <si>
    <t>Предприятие консолидации</t>
  </si>
  <si>
    <t>Место:</t>
  </si>
  <si>
    <t>Дата:</t>
  </si>
  <si>
    <t>Лицо с лицензией:</t>
  </si>
  <si>
    <t>№ лицензии:</t>
  </si>
  <si>
    <t>Лицо, уполномоченное на представление:</t>
  </si>
  <si>
    <t>Консолидированный</t>
  </si>
  <si>
    <t>Бухгалтерский баланс</t>
  </si>
  <si>
    <t>(Отчет о финансовом положении)</t>
  </si>
  <si>
    <t>Отчет о прибылях и убытках</t>
  </si>
  <si>
    <t>(Отчет о совокупном результате  за период)</t>
  </si>
  <si>
    <t>Отчет</t>
  </si>
  <si>
    <t>о прочих прибылях и убытках периода</t>
  </si>
  <si>
    <t>Отчет о движении денежных средств</t>
  </si>
  <si>
    <t>(Отчет  о денежных потоках)</t>
  </si>
  <si>
    <t>Дополнение</t>
  </si>
  <si>
    <t>(Дополнительный бухгалтерский отчет)</t>
  </si>
  <si>
    <t>Отчет об изменении капитала</t>
  </si>
  <si>
    <t xml:space="preserve">Инструкция для заполнения </t>
  </si>
  <si>
    <t>Основные сведения</t>
  </si>
  <si>
    <t>01) Бухгалтерский баланс</t>
  </si>
  <si>
    <t>02a) Отчет о прибылях и убытках</t>
  </si>
  <si>
    <t>02b) Отчет о прочих прибылях и убытках за период</t>
  </si>
  <si>
    <t>03) Отчет о движении денежных средств</t>
  </si>
  <si>
    <t>04) Дополнение</t>
  </si>
  <si>
    <t>05) Отчет об изменении капитала</t>
  </si>
  <si>
    <t>Группа счетов, счет</t>
  </si>
  <si>
    <t>СТАТЬЯ</t>
  </si>
  <si>
    <t>Порядковый номер</t>
  </si>
  <si>
    <t>Сумма на дату баланса текущего года</t>
  </si>
  <si>
    <t>Брутто</t>
  </si>
  <si>
    <t>Корректировка стоимости</t>
  </si>
  <si>
    <t>Сумма на дату баланса предыдущего года (PS)</t>
  </si>
  <si>
    <t>Сумма</t>
  </si>
  <si>
    <t>Текущий год</t>
  </si>
  <si>
    <t>Предыдущий год</t>
  </si>
  <si>
    <t>в конвертируемых марках</t>
  </si>
  <si>
    <t>Часть капитала, принадлежащая собственникам материнского хозяйственного общества</t>
  </si>
  <si>
    <t xml:space="preserve">Вид изменения капитала </t>
  </si>
  <si>
    <t>Акционерный капитал и доли в обществе с ограниченной ответственностью</t>
  </si>
  <si>
    <t>Переоценочные резервы (МСБУ 16, МСБУ 21 и МСБУ 38)</t>
  </si>
  <si>
    <t>Нереализаванные прибыли/убытки по финансовым средствам, располагаемым для продажи</t>
  </si>
  <si>
    <t xml:space="preserve">Прочие резервы (эмиссионная премия, законные и уставные резервы, защита денежных потоков) </t>
  </si>
  <si>
    <t>Накопленная нераспределенная прибыль /непокрытый убыток</t>
  </si>
  <si>
    <t>Миноритарная доля</t>
  </si>
  <si>
    <t>СОВОКУПНЫЙ КАПИТАЛ</t>
  </si>
  <si>
    <t>Обязательный ввод данных в форме!</t>
  </si>
  <si>
    <t>Неправильный ввод данных!</t>
  </si>
  <si>
    <t>Пересмотренный отчет:</t>
  </si>
  <si>
    <t>Заключение аудитора:</t>
  </si>
  <si>
    <t>Сведения об аудиторской компании:</t>
  </si>
  <si>
    <t>Название аудиторской компании:</t>
  </si>
  <si>
    <t>Положительное мнение</t>
  </si>
  <si>
    <t xml:space="preserve">Мнение с оговоркой </t>
  </si>
  <si>
    <t xml:space="preserve">Отрицательное мнение </t>
  </si>
  <si>
    <t>Отказ от выражения мнения</t>
  </si>
  <si>
    <t xml:space="preserve">Обозначение для </t>
  </si>
  <si>
    <t>АОП</t>
  </si>
  <si>
    <t>Grupa Rus</t>
  </si>
  <si>
    <t>3. Ulozi</t>
  </si>
  <si>
    <t>4. Državni kapital</t>
  </si>
  <si>
    <t>3. Улози</t>
  </si>
  <si>
    <t>4. Државни капитал</t>
  </si>
  <si>
    <t>BILANSNA PASIVA
A. KAPITAL  (102 -110 + 113 - 114 + 115 + 119 + 122 - 123 + 124 - 128 + 131)</t>
  </si>
  <si>
    <t>KAPITAL KOJI PRIPADA VLASNICIMA MATIČNOG DRUŠTVA</t>
  </si>
  <si>
    <t>4. Obaveze za plate i naknade plata</t>
  </si>
  <si>
    <t>4. Обавезе за плате и накнаде плата</t>
  </si>
  <si>
    <t>a) Prihodi od prodaje robe povezanim pravnim licima</t>
  </si>
  <si>
    <t>II ОТКУПЉЕНЕ СОПСТВЕНЕ АКЦИЈЕ И УПИСАНИ НЕУПЛАЋЕНИ КАПИТАЛ (111 + 112)</t>
  </si>
  <si>
    <t>J. INCOME AND LOSSES FROM REVALUATION OF PROPERTY VALUE 
I INCOME FROM REVALUATION OF PROPERTY VALUE (274+281)</t>
  </si>
  <si>
    <t>И. ПРИХОДИ И РАСХОДИ ОД УСКЛАЂИВАЊА ВРИЈЕДНОСТИ ИМОВИНЕ
 I   ПРИХОДИ ОД УСКЛАЂИВАЊА ВРИЈЕДНОСТИ ИМОВИНЕ (274 + 281)</t>
  </si>
  <si>
    <t>Ђ. ГУБИТАК РЕДОВНЕ АКТИВНОСТИ 
(238 + 244 -239) или (244-239-237)</t>
  </si>
  <si>
    <t xml:space="preserve">Д. ДОБИТАК РЕДОВНЕ АКТИВНОСТИ      
(237 + 239 – 244) или (239-244-238)     </t>
  </si>
  <si>
    <t xml:space="preserve">E. OPERATING INCOME (237 + 239 - 244) or (239 - 244 - 238)  </t>
  </si>
  <si>
    <t xml:space="preserve">Н. ТЕКУЋИ И ОДЛОЖЕНИ ПОРЕЗ НА ДОБИТ
1. Порески расходи периода </t>
  </si>
  <si>
    <t xml:space="preserve">N. TEKUĆI I ODLOŽENI POREZ NA DOBIT
1. Poreski rashodi perioda </t>
  </si>
  <si>
    <t>Њ. НЕТО ДОБИТ И НЕТО ГУБИТАК ПЕРИОДА  
1. Нето добит текуће године (307-309-310+313)&gt;0 и 307&gt;0 или (313-308-309-310)&gt;0 и 308&gt;0</t>
  </si>
  <si>
    <t>Л. ДОХОДЫ ОТ ИЗМЕНЕНИЯ  УЧЕТНОЙ ПОЛИТИКИ 
И ИСПРАВЛЕНИЯ ОШИБОК ПРОШЛЫХ ЛЕТ</t>
  </si>
  <si>
    <t>Г. ФИНАНСОВЫЕ ДОХОДЫ И РАСХОДЫ                                                      
 I  ФИНАНСОВЫЕ ДОХОДЫ (240 до 243)</t>
  </si>
  <si>
    <t>А. ДОХОДЫ И РАСХОДЫ В РАМКАХ ДЕЯТЕЛЬНОСТИ                                            
I   ДОХОДЫ ОТ ДЕЯТЕЛЬНОСТИ  (202 + 206 + 210 + 214 – 215 + 216 – 217 + 218)</t>
  </si>
  <si>
    <t>М. ПРИБЫЛЬ И УБЫТОК ДО НАЛОГООБЛОЖЕНИЯ                                        
1. Прибыль до налогообложения  (305 – 306)</t>
  </si>
  <si>
    <t xml:space="preserve">Н. ТЕКУЩИЙ И ОТЛОЖЕННЫЙ НАЛОГ НА ПРИБЫЛЬ                                               
1. Налоговые расходы периода </t>
  </si>
  <si>
    <t>Њ. НЕТТО ПРИБЫЛЬ И НЕТТО УБЫТОК ПЕРИОДА                                                    
1. Нетто прибыль текущего года (307-309-310+313)&gt;0 и 307&gt;0 или (313-308-309-310)&gt;0 и 308&gt;0</t>
  </si>
  <si>
    <t xml:space="preserve">Ј. ДОБИТАК ПО ОСНОВУ УСКЛАЂИВАЊА ВРИЈЕДНОСТИ ИМОВИНЕ (273 – 286) </t>
  </si>
  <si>
    <t>К. ГУБИТАК ПО ОСНОВУ УСКЛАЂИВАЊА ВРИЈЕДНОСТИ ИМОВИНЕ (286 – 273)</t>
  </si>
  <si>
    <t xml:space="preserve">D. DOBITAK REDOVNE AKTIVNOSTI  (237 + 239 – 244) ili (239-244-238)     </t>
  </si>
  <si>
    <t>Đ. GUBITAK REDOVNE AKTIVNOSTI (238 + 244 -239) ili (244-239-237)</t>
  </si>
  <si>
    <t>КАПИТАЛ КОЈИ ПРИПАДА ВЛАСНИЦИМА МАТИЧНОГ ДРУШТВА</t>
  </si>
  <si>
    <t>ВРСТА ПРОМЈЕНЕ НА КАПИТАЛУ</t>
  </si>
  <si>
    <t>Акцијски капитал - _x000D_
власнички удјели</t>
  </si>
  <si>
    <t>Емисиона премија</t>
  </si>
  <si>
    <t>Резерве</t>
  </si>
  <si>
    <t>Ревалоризационе _x000D_
резерве за _x000D_
некретнине, _x000D_
постројења и опрему</t>
  </si>
  <si>
    <t>Остале ревалоризационе резерве</t>
  </si>
  <si>
    <t>Акумулирана нераспоређена добит/(непокривени губитак)</t>
  </si>
  <si>
    <t>УКУПНИ КАПИТАЛ_x000D_
(10+11)</t>
  </si>
  <si>
    <t>A  NETO DOBIT ILI NETO GUBITAK PERIODA</t>
  </si>
  <si>
    <t>o ostalom rezultatu u periodu</t>
  </si>
  <si>
    <t xml:space="preserve">o oстaлом резултату у периоду </t>
  </si>
  <si>
    <t xml:space="preserve">ИЗВЈЕШТАЈ О ПРОМЈЕНАМА НА КАПИТАЛУ </t>
  </si>
  <si>
    <t>3. Ефекти исправки грешака</t>
  </si>
  <si>
    <t>8. Емисија акцијског капитала и други облици повећања капитала</t>
  </si>
  <si>
    <t>8. Emisija akcijskog kapitala i drugi oblici povećanja kapitala</t>
  </si>
  <si>
    <t>3. Efekti ispravki grešaka</t>
  </si>
  <si>
    <t>19. Ukupna dobit/(gubitak) (± 917 ± 918)</t>
  </si>
  <si>
    <t>19. Укупна добит/(губитак) (± 917 ± 918)</t>
  </si>
  <si>
    <t>Укупно 
(3+4+5+6±7± 8 ± 9)</t>
  </si>
  <si>
    <t>Ukupno 
(3+4+5+6±7± 8 ± 9)</t>
  </si>
  <si>
    <t>Всего 
(3+4+5+6±7± 8 ± 9)</t>
  </si>
  <si>
    <t>Total 
(3+4+5+6±7± 8 ± 9)</t>
  </si>
  <si>
    <t>CASH FLOWS FROM OPERATING ACTIVITIES                                                                                                                                                 
Cash proceeds from operating activities  (502 to 505)</t>
  </si>
  <si>
    <t>010, часть 019</t>
  </si>
  <si>
    <t>011, 013 и часть 019</t>
  </si>
  <si>
    <t>012, часть 019</t>
  </si>
  <si>
    <t>014, часть 019</t>
  </si>
  <si>
    <t>015, 016 и часть 019</t>
  </si>
  <si>
    <t>020, часть 029</t>
  </si>
  <si>
    <t>021, часть 029</t>
  </si>
  <si>
    <t>022, часть 029</t>
  </si>
  <si>
    <t>023, часть 029</t>
  </si>
  <si>
    <t>024, часть 029</t>
  </si>
  <si>
    <t>025, 026, часть 029</t>
  </si>
  <si>
    <t>050, часть 059</t>
  </si>
  <si>
    <t>051, часть 059</t>
  </si>
  <si>
    <t>052, 053, часть 059</t>
  </si>
  <si>
    <t>055, 056 и часть 059</t>
  </si>
  <si>
    <t>06</t>
  </si>
  <si>
    <t>060, часть 069</t>
  </si>
  <si>
    <t>061, часть 069</t>
  </si>
  <si>
    <t>часть 06</t>
  </si>
  <si>
    <t>062, часть 069</t>
  </si>
  <si>
    <t xml:space="preserve">063, часть 069 </t>
  </si>
  <si>
    <t>064, часть 069</t>
  </si>
  <si>
    <t>065, часть 069</t>
  </si>
  <si>
    <t>066, часть 069</t>
  </si>
  <si>
    <t>067, часть 069</t>
  </si>
  <si>
    <t>068, часть 069</t>
  </si>
  <si>
    <t>090</t>
  </si>
  <si>
    <t>200, часть 209</t>
  </si>
  <si>
    <t>201,202, 203, часть 209</t>
  </si>
  <si>
    <t>204, часть 209</t>
  </si>
  <si>
    <t>группа 21, кроме 214</t>
  </si>
  <si>
    <t>группа 22, кроме 224</t>
  </si>
  <si>
    <t>230, часть 238</t>
  </si>
  <si>
    <t>231, часть 238</t>
  </si>
  <si>
    <t>232, часть 238</t>
  </si>
  <si>
    <t>233, часть 238</t>
  </si>
  <si>
    <t>240, часть 249</t>
  </si>
  <si>
    <t>270 до 279</t>
  </si>
  <si>
    <t>часть 32</t>
  </si>
  <si>
    <t>часть 33</t>
  </si>
  <si>
    <t>часть 40</t>
  </si>
  <si>
    <t>401, 402, 403, часть 409</t>
  </si>
  <si>
    <t>часть 409, 410, 419</t>
  </si>
  <si>
    <t xml:space="preserve">437, 439 </t>
  </si>
  <si>
    <t>460 до 469</t>
  </si>
  <si>
    <t>48, кроме 481</t>
  </si>
  <si>
    <t>49, кроме 496</t>
  </si>
  <si>
    <t>890 до 898</t>
  </si>
  <si>
    <t>600, часть 605</t>
  </si>
  <si>
    <t>601, 602, 603, часть 605</t>
  </si>
  <si>
    <t>604, часть 605</t>
  </si>
  <si>
    <t>610, часть 615</t>
  </si>
  <si>
    <t>611, 612, 613, часть 615</t>
  </si>
  <si>
    <t>614, часть 615</t>
  </si>
  <si>
    <t>620, часть 625</t>
  </si>
  <si>
    <t>621, 622, 623, часть 625</t>
  </si>
  <si>
    <t>624, часть 625</t>
  </si>
  <si>
    <t>часть 540</t>
  </si>
  <si>
    <t>55, кроме 555 и 556</t>
  </si>
  <si>
    <t>670, 570 представлено в нетто</t>
  </si>
  <si>
    <t>671, 571  представлено в нетто</t>
  </si>
  <si>
    <t>672, 572 представлено в нетто</t>
  </si>
  <si>
    <t>673, 573, представлено в нетто</t>
  </si>
  <si>
    <t>674, 574 представлено в нетто</t>
  </si>
  <si>
    <t>675, 575 представлено в нетто</t>
  </si>
  <si>
    <t xml:space="preserve">570, 670 представлено в нетто </t>
  </si>
  <si>
    <t>571, 671 представлено в нетто</t>
  </si>
  <si>
    <t>572, 672 представлено в нетто</t>
  </si>
  <si>
    <t>573, 673, представлено в нетто</t>
  </si>
  <si>
    <t>574, 674 представлено в нетто</t>
  </si>
  <si>
    <t>575, 675 представлено в нетто</t>
  </si>
  <si>
    <t>577, 678 представлено в нетто</t>
  </si>
  <si>
    <t>part 68</t>
  </si>
  <si>
    <t>часть 68</t>
  </si>
  <si>
    <t>680, 580 представлено в нетто</t>
  </si>
  <si>
    <t>681, 581 представлено в нетто</t>
  </si>
  <si>
    <t>682, 582 представлено в нетто</t>
  </si>
  <si>
    <t>683, 583 представлено в нетто</t>
  </si>
  <si>
    <t>685, 585 представлено в нетто</t>
  </si>
  <si>
    <t>688, часть 689, 588, часть 589 представлено в нетто</t>
  </si>
  <si>
    <t>684, 584 представлено в нетто</t>
  </si>
  <si>
    <t>686, 585 представлено в нетто</t>
  </si>
  <si>
    <t>687, 587 представлено в нетто</t>
  </si>
  <si>
    <t>часть 689, часть 589 представлено в нетто</t>
  </si>
  <si>
    <t>580, 680 представлено в нетто</t>
  </si>
  <si>
    <t>581, 681 представлено в нетто</t>
  </si>
  <si>
    <t>582, 682 представлено в нетто</t>
  </si>
  <si>
    <t>583, 683 представлено в нетто</t>
  </si>
  <si>
    <t>585, 685 представлено в нетто</t>
  </si>
  <si>
    <t>588, часть 589, 688, часть 689 представлено в нетто</t>
  </si>
  <si>
    <t>584, 684 представлено в нетто</t>
  </si>
  <si>
    <t>586, 686 представлено в нетто</t>
  </si>
  <si>
    <t>587, 687 представлено в нетто</t>
  </si>
  <si>
    <t>часть 589, часть 689 представлено в нетто</t>
  </si>
  <si>
    <t>А</t>
  </si>
  <si>
    <t>Изменения в 332 и 333</t>
  </si>
  <si>
    <t>Изменение в 331</t>
  </si>
  <si>
    <t>Изменение в 339, часть</t>
  </si>
  <si>
    <t>Изменение в 330</t>
  </si>
  <si>
    <t>Изменение в 332 и 333</t>
  </si>
  <si>
    <t xml:space="preserve">А  НЕТТО ПРИБЫЛЬ ИЛИ НЕТТО УБЫТОК ПЕРИОДА </t>
  </si>
  <si>
    <t>1. Пункты, которые могут быть  переклассифицированы в отчет о прибылях и убытках (± 402 + 403 ± 404 ± 405 ± 406±407)</t>
  </si>
  <si>
    <t>1.1   Увеличение/(уменьшение) справедливой стоимости долговых  инструментов по справедливой стоимости через прочий совокупный результат</t>
  </si>
  <si>
    <t>1.2   Эффекты от операций хеджирования (hedging)</t>
  </si>
  <si>
    <t>1.3   Доля в прочем общем результате ассоциированного общества и совместного предприятия с использованием метода долевого участия</t>
  </si>
  <si>
    <t>1.4   Прибыль или убытки на основе конвертации финансовой отчетности  операций в иностранной валюте</t>
  </si>
  <si>
    <t>1.5   Прочие пункты, которые могут быть переклассифицированы в отчет о прибылях и убытках</t>
  </si>
  <si>
    <t>1.6   Отложенный налог на прибыль, относящуюся к пунктам с 1.1. по 1.4</t>
  </si>
  <si>
    <t>2. Пункты, которые не будут переклассифицированы в отчет о прибылях и убытках (± 409± 410 ± 411 ± 412 ± 413 ± 414)</t>
  </si>
  <si>
    <t>2.1   Переоценка недвижимости, установок, оборудования и нематериальных активов</t>
  </si>
  <si>
    <t>2.2    Увеличение/(уменьшение) справедливой стоимости долевых инструментов по справедливой стоимости через прочий совокупный результат</t>
  </si>
  <si>
    <t>2.3    Актуарная прибыль/(убытки) от планов с установленными выплатами</t>
  </si>
  <si>
    <t>2.4  Доля в прочем совокупном результате ассоциированного общества и совместного предприятия с использованием метода долевого участия</t>
  </si>
  <si>
    <t>2.5    Прочие пункты, которые не будут переклассифицированы в отчет о прибылях и убытках</t>
  </si>
  <si>
    <t>2.6    Отложенный налог на прибыль, относящуюся к этим пунктам</t>
  </si>
  <si>
    <r>
      <t>Б. ПРОЧАЯ ПРИБЫЛЬ/ УБЫТОК В ПЕРИОД (</t>
    </r>
    <r>
      <rPr>
        <sz val="10"/>
        <color theme="1"/>
        <rFont val="Calibri"/>
        <family val="2"/>
      </rPr>
      <t>±</t>
    </r>
    <r>
      <rPr>
        <sz val="10"/>
        <color theme="1"/>
        <rFont val="Times New Roman"/>
        <family val="1"/>
      </rPr>
      <t>401±408)</t>
    </r>
  </si>
  <si>
    <t>В. СОВОКУПНАЯ ПРИБЫЛЬ / (УБЫТОК) (400 ± 415)</t>
  </si>
  <si>
    <t>Часть совокупной прибыли/убытка, принадлежащая мажоритарным собственникам</t>
  </si>
  <si>
    <t>Часть совокупной прибыли/убытка, принадлежащая миноритарным собственникам</t>
  </si>
  <si>
    <t>Притоки от покупателей и авансы, принятые в стране</t>
  </si>
  <si>
    <t>Притоки от покупателей и авансы, принятые за рубежом</t>
  </si>
  <si>
    <t>Притоки от премий, субвенций, дотаций и т.п.</t>
  </si>
  <si>
    <t>Прочие притоки в рамках операционной деятельности</t>
  </si>
  <si>
    <t>Оттоки денежных средств в рамках операционной деятельности (507 до 512)</t>
  </si>
  <si>
    <t>Оттоки на основании выплат поставщикам и авансы, выданные в стране</t>
  </si>
  <si>
    <t>Оттоки на основании выплат поставщикам и авансы, выданные за рубежом</t>
  </si>
  <si>
    <t>Оттоки на основании оплаченных процентов</t>
  </si>
  <si>
    <t>Оттоки на основании выплат заработных плат, компенсаций заработных плат и прочих личных расходов</t>
  </si>
  <si>
    <t>Оттоки на основании налога на прибыль</t>
  </si>
  <si>
    <t>Прочие оттоки в рамках операционной деятельности</t>
  </si>
  <si>
    <t>Нетто притоки денежных средств в рамках операционной деятельности (501 – 506)</t>
  </si>
  <si>
    <t>Нетто оттоки денежных средств в рамках операционной деятельности (506 – 501)</t>
  </si>
  <si>
    <t>Притоки денежных средств на основании  продаж акций и долей зависимых и ассоциированных обществ и совместных предприятий</t>
  </si>
  <si>
    <t>Притоки на основании продаж  недвижимости, установок и оборудования</t>
  </si>
  <si>
    <t>Притоки на основании продаж инвестиционной недвижимости</t>
  </si>
  <si>
    <t>Притоки на основании продаж  нематериальных средств</t>
  </si>
  <si>
    <t>Притоки на основании продаж внеоборотных средств, предназначенных для продажи</t>
  </si>
  <si>
    <t>Притоки от финансовых средств по справедливой стоимости через прочий совокупный результат</t>
  </si>
  <si>
    <t>Притоки от финансовых средств по справедливой стоимости через отчет о прибылях и убытках</t>
  </si>
  <si>
    <t>Притоки от прочих финансовых  средств по амортизированной стоимости</t>
  </si>
  <si>
    <t>Притоки на основании лизинга (основная сумма)</t>
  </si>
  <si>
    <t>Притоки на основании лизинга (проценты)</t>
  </si>
  <si>
    <t xml:space="preserve">Притоки на основании процентов </t>
  </si>
  <si>
    <t>Притоки от дивидендов и участия в прибыли</t>
  </si>
  <si>
    <t>Притоки на основании производных  финансовых инструментов</t>
  </si>
  <si>
    <t>Прочие притоки в рамках инвестиционной деятельности</t>
  </si>
  <si>
    <t>Оттоки денежных средств в рамках инвестиционной деятельности (532 до 541)</t>
  </si>
  <si>
    <t>Оттоки денежных средств на основании приобретения акций и долей зависимых и ассоциированных обществ и совместных предприятий</t>
  </si>
  <si>
    <t>Оттоки на основании приобретения недвижимости, установок и оборудования</t>
  </si>
  <si>
    <t>Оттоки на основании приобретения  инвестиционной недвижимости</t>
  </si>
  <si>
    <t>Оттоки на основании приобретения  биологических средств</t>
  </si>
  <si>
    <t>Оттоки на основании приобретения  нематериальных средств</t>
  </si>
  <si>
    <t>Оттоки на основании финансовых средств по справедливой стоимости через прочий совокупный результат</t>
  </si>
  <si>
    <t>Оттоки на основании финансовых  средств по справедливой стоимости через отчет о прибылях и убытках</t>
  </si>
  <si>
    <t>Оттоки на основании прочих финансовых средств по амортизированной стоимости</t>
  </si>
  <si>
    <t>Оттоки на основании производных  финансовых инструментов</t>
  </si>
  <si>
    <t>Прочие оттоки в рамках инвестиционной деятельности</t>
  </si>
  <si>
    <t>Нетто приток денежных средств в рамках инвестиционной деятельности (515-531)</t>
  </si>
  <si>
    <t>Нетто отток денежных средств в рамках инвестиционной деятельности (531 – 515)</t>
  </si>
  <si>
    <t>Притоки на основании увеличения основного капитала</t>
  </si>
  <si>
    <t>Притоки от продаж выкупленных собственных акций</t>
  </si>
  <si>
    <t>Притоки на основании долгосрочных кредитов</t>
  </si>
  <si>
    <t>Притоки на основании краткосрочных кредитов</t>
  </si>
  <si>
    <t>Притоки на основании выданных долговых инструментов</t>
  </si>
  <si>
    <t>Прочие притоки в рамках финансовой деятельности</t>
  </si>
  <si>
    <t>Оттоки денежных средств в рамках  финансовой деятельности (552 до 558)</t>
  </si>
  <si>
    <t>Оттоки на основании выкупа собственных акций и долей</t>
  </si>
  <si>
    <t xml:space="preserve">Оттоки на основании долгосрочных  кредитов </t>
  </si>
  <si>
    <t xml:space="preserve">Оттоки на основании краткосрочных кредитов </t>
  </si>
  <si>
    <t xml:space="preserve">Оттоки на основании лизинга </t>
  </si>
  <si>
    <t>Оттоки на основании долговых  инструментов</t>
  </si>
  <si>
    <t>Оттоки на основании выплаченных  дивидендов</t>
  </si>
  <si>
    <t>Прочие оттоки в рамках финансовой деятельности</t>
  </si>
  <si>
    <t>Нетто притоки денежных средств в рамках финансовой деятельности (544 – 551)</t>
  </si>
  <si>
    <t xml:space="preserve">Нетто отток денежных средств в рамках финансовой деятельности (551 – 544) </t>
  </si>
  <si>
    <t>СОВОКУПНЫЕ ПРИТОКИ ДЕНЕЖНЫХ СРЕДСТВ (501 + 515 + 544)</t>
  </si>
  <si>
    <t>СОВОКУПНЫЕ ОТТОКИ ДЕНЕЖНЫХ СРЕДСТВ (506 + 531 + 551)</t>
  </si>
  <si>
    <t>НЕТТО ПРИТОК ДЕНЕЖНЫХ СРЕДСТВ (561 – 562)</t>
  </si>
  <si>
    <t>НЕТТО ОТТОК ДЕНЕЖНЫХ СРЕДСТВ (562 – 561)</t>
  </si>
  <si>
    <t>ДЕНЕЖНЫЕ СРЕДСТВА В НАЧАЛЕ РАСЧЕТНОГО ПЕРИОДА</t>
  </si>
  <si>
    <t>ПОЛОЖИТЕЛЬНЫЕ КУРСОВЫЕ РАЗНИЦЫ НА ОСНОВАНИИ ПЕРЕРАСЧЕТА ДЕНЕЖНЫХ СРЕДСТВ</t>
  </si>
  <si>
    <t>НЕГАТИВНЫЕ КУРСОВЫЕ РАЗНИЦЫ НА ОСНОВАНИИ ПЕРЕРАСЧЕТА ДЕНЕЖНЫХ СРЕДСТВ</t>
  </si>
  <si>
    <t>ДЕНЕЖНЫЕ СРЕДСТВА В КОНЦЕ РАСЧЕТНОГО ПЕРИОДА (565 + 563 – 564 + 566 – 567)</t>
  </si>
  <si>
    <t>15.</t>
  </si>
  <si>
    <t>А                   
 I</t>
  </si>
  <si>
    <t>Б                   
 I</t>
  </si>
  <si>
    <t>В                   
 I</t>
  </si>
  <si>
    <t>2. Эффекты изменений в  учетных политиках</t>
  </si>
  <si>
    <t>3. Эффекты исправления ошибок</t>
  </si>
  <si>
    <t>5. Прибыль/(убыток) за год</t>
  </si>
  <si>
    <t>6. Прочий совокупный результат за год</t>
  </si>
  <si>
    <t>8. Выпуск акционерного капитала и иные формы увеличения капитала</t>
  </si>
  <si>
    <t>9. Приобретение собственных акций и иные формы уменьшения  капитала</t>
  </si>
  <si>
    <t>10. Объявленные дивиденды</t>
  </si>
  <si>
    <t>11. Иные формы распределения прибыли и покрытие убытков</t>
  </si>
  <si>
    <t>12. Прочие изменения</t>
  </si>
  <si>
    <t xml:space="preserve">14. Эффекты изменений в учетных политиках </t>
  </si>
  <si>
    <t>15. Эффекты исправления ошибок</t>
  </si>
  <si>
    <t>17. Прибыль/(убыток) за год</t>
  </si>
  <si>
    <t>18. Прочий совокупный результат за год</t>
  </si>
  <si>
    <t>19. Совокупная прибыль/(убыток) (± 917 ± 918)</t>
  </si>
  <si>
    <t>20. Выпуск акционерного капитала и иные формы увеличения капитала</t>
  </si>
  <si>
    <t>21. Приобретение собственных акций и иные формы уменьшения  капитала</t>
  </si>
  <si>
    <t>22. Обьявленные дивиденды</t>
  </si>
  <si>
    <t>23. Иные формы распределения прибыли и покрытие убытка</t>
  </si>
  <si>
    <t>24. Прочие изменения</t>
  </si>
  <si>
    <t>Pozicija Руски</t>
  </si>
  <si>
    <t>Руски</t>
  </si>
  <si>
    <t>ld</t>
  </si>
  <si>
    <t>061, dio 069</t>
  </si>
  <si>
    <t>061, part 069</t>
  </si>
  <si>
    <t>681, 581 neto prikaz</t>
  </si>
  <si>
    <t>681, 581 нето приказ</t>
  </si>
  <si>
    <t>682, 582 нето приказ</t>
  </si>
  <si>
    <t>682, 582 neto prikaz</t>
  </si>
  <si>
    <t>683, 583 neto prikaz</t>
  </si>
  <si>
    <t>685, 585 neto prikaz</t>
  </si>
  <si>
    <t>685, 585 нето приказ</t>
  </si>
  <si>
    <t>683, 583 нето приказ</t>
  </si>
  <si>
    <t>Promjena na 332 i 333</t>
  </si>
  <si>
    <t>Promjena na 331</t>
  </si>
  <si>
    <t>Promjena na 339, dio</t>
  </si>
  <si>
    <t>Promjena na 330</t>
  </si>
  <si>
    <t>Промјена на 332 и 333</t>
  </si>
  <si>
    <t>Промјена на 331</t>
  </si>
  <si>
    <t>Промјена на 339, дио</t>
  </si>
  <si>
    <t>Промјена на 330</t>
  </si>
  <si>
    <t>Change  332 i 333</t>
  </si>
  <si>
    <t>Change 331</t>
  </si>
  <si>
    <t>Change 339, part</t>
  </si>
  <si>
    <t>Change 330</t>
  </si>
  <si>
    <t>Change 332 i 333</t>
  </si>
  <si>
    <t>ДВИЖЕНИЕ ДЕНЕЖНЫХ СРЕДСТВ В РАМКАХ ИНВЕСТИЦИОННОЙ ДЕЯТЕЛЬНОСТИ         
Притоки денежных средств в рамках   инвестиционной деятельности (516 до 530)</t>
  </si>
  <si>
    <t>ДВИЖЕНИЕ ДЕНЕЖНЫХ СРЕДСТВ В РАМКАХ ОПЕРАЦИОННОЙ ДЕЯТЕЛЬНОСТИ   
Притоки денежных средств от операционной деятельности (502 до 505)</t>
  </si>
  <si>
    <t>ДВИЖЕНИЕ ДЕНЕЖНЫХ СРЕДСТВ В РАМКАХ ФИНАНСОВОЙ ДЕЯТЕЛЬНОСТИ                             
Притоки денежных средств в рамках финансовой деятельности (545 до 550)</t>
  </si>
  <si>
    <t>12.Other changes</t>
  </si>
  <si>
    <t>10. Declared dividends</t>
  </si>
  <si>
    <t>11. Other distributions of the net income and covering the loss</t>
  </si>
  <si>
    <t>5. Profit/(loss) for the year</t>
  </si>
  <si>
    <t>6. Other total result for the year</t>
  </si>
  <si>
    <t>2. Effects of the changes in accounting policies</t>
  </si>
  <si>
    <t>3. Effects of the corrections of material errors</t>
  </si>
  <si>
    <t>8. New issuance of the shareholders equity and other increases in capital</t>
  </si>
  <si>
    <t>9. Acquisition of own shares and other decreases in capital</t>
  </si>
  <si>
    <t>14. Effects of the changes in accounting policies</t>
  </si>
  <si>
    <t>15. Effects of errors corrections</t>
  </si>
  <si>
    <t>17. Profit/(loss) for the year</t>
  </si>
  <si>
    <t>20. New issuance of the shareholders equity and other increases in capital</t>
  </si>
  <si>
    <t>21. Acquisition of own shares and other decreases in capital</t>
  </si>
  <si>
    <t>22. Declared dividends</t>
  </si>
  <si>
    <t>23. Other distributions of the net income and covering the loss</t>
  </si>
  <si>
    <t>19. Total profit/(loss)  (± 917 ± 918)</t>
  </si>
  <si>
    <t>24. Other changes</t>
  </si>
  <si>
    <t>1.1 Акционерный капитал-обыкновенные акции</t>
  </si>
  <si>
    <t>1.2 Акционерный капитал –привилегированные (приоритетные) акции</t>
  </si>
  <si>
    <t>1. Законные резервы</t>
  </si>
  <si>
    <t>2. Уставные резервы</t>
  </si>
  <si>
    <t>3. Прочие резервы</t>
  </si>
  <si>
    <t>2. Нераспределенная прибыль текущего года/ Нераспределенная сумма превышения доходов над расходами текущего года</t>
  </si>
  <si>
    <t>I ДОЛГОСРОЧНЫЕ РЕЗЕРВЫ (134 до 136)</t>
  </si>
  <si>
    <t>II ДОЛГОСРОЧНЫЕ ОБЯЗАТЕЛЬСТВА (138 до 144)</t>
  </si>
  <si>
    <t>1. Доходы от продажи товаров (203 до 205)</t>
  </si>
  <si>
    <t>2.  Доходы от продажи продукции (207 до 209)</t>
  </si>
  <si>
    <t>3.   Доходы от оказанных услуг (211 до 213)</t>
  </si>
  <si>
    <t>1.  Закупочная стоимость проданных товаров</t>
  </si>
  <si>
    <t>2.  Расходы на материалы</t>
  </si>
  <si>
    <t>3.  Расходы на топливо и энергию</t>
  </si>
  <si>
    <t>4.  Расходы на заработные платы, компенсации заработных плат и прочие личные доходы (224 + 225)</t>
  </si>
  <si>
    <t>5.  Расходы производственных услуг</t>
  </si>
  <si>
    <t>6.  Расходы по амортизации и резервам (228 + 233)</t>
  </si>
  <si>
    <t>6.1 Расходы по амортизации (229 до 232)</t>
  </si>
  <si>
    <t>б) Амортизация инвестиционной недвижимости</t>
  </si>
  <si>
    <t>6.2 Расходы по резервам</t>
  </si>
  <si>
    <t>7.  Нематериальные расходы  (без налогов и взносов)</t>
  </si>
  <si>
    <t>8.  Расходы по налогу</t>
  </si>
  <si>
    <t>9.  Расходы на взносы</t>
  </si>
  <si>
    <t>1.  Доходы от процентов</t>
  </si>
  <si>
    <t>2.  Положительные курсовые разницы</t>
  </si>
  <si>
    <t>3.  Доходы от эффектов валютной оговорки</t>
  </si>
  <si>
    <t>4.  Прочие финансовые доходы</t>
  </si>
  <si>
    <t>4.   Прочие финансовые расходы</t>
  </si>
  <si>
    <t>1.      Нетто прибыль от согласования активов (кроме финансовых)  (275 до 280)</t>
  </si>
  <si>
    <t>1.1.   Нетто прибыль от уменьшения ранее признанных убытков вследствие обесценения нематериальных средств</t>
  </si>
  <si>
    <t>1.2.   Нетто прибыль от уменьшения ранее признанных убытков вследствие обесценения недвижимости, установок и оборудования</t>
  </si>
  <si>
    <t>1.3.   Нетто прибыль от уменьшения ранее признанных убытков вследствие обесценения инвестиционной недвижимости, оцениваемой по закупочной стоимости</t>
  </si>
  <si>
    <t>1.4.   Нетто прибыль от уменьшения ранее признанных убытков вследствие  обесценения биологических средств, оцениваемых по закупочной стоимости</t>
  </si>
  <si>
    <t>1.5.   Нетто прибыль от согласования стоимости запасов материалов и товаров</t>
  </si>
  <si>
    <t>1.6.   Нетто прибыль от согласования стоимости внеоборотных средств, предназначенных для продажи, средств прекращаемой деятельности и прочих  нефинансовых средств</t>
  </si>
  <si>
    <t>2.      Нетто прибыль от согласования  стоимости финансовых средств (282 до 285)</t>
  </si>
  <si>
    <t xml:space="preserve">2.1   Нетто прибыль от согласования стоимости долгосрочных финансовых средств </t>
  </si>
  <si>
    <t>2.2   Нетто прибыль от согласования стоимости краткосрочных финансовых средств (кроме дебиторской задолженности покупателей)</t>
  </si>
  <si>
    <t xml:space="preserve">2.3   Нетто прибыль от уменьшения ранее признанных кредитных убытков вследствие обесценения дебиторской задолженности покупателей </t>
  </si>
  <si>
    <t>2.4   Нетто прибыль от согласования стоимости прочих финансовых средств</t>
  </si>
  <si>
    <t>1.      Расходы от согласования стоимости  активов (кроме финансовых) (288 до 293)</t>
  </si>
  <si>
    <t>1.1.   Нетто убытки от обесценения  нематериальных средств</t>
  </si>
  <si>
    <t>1.2.   Нетто убытки от обесценения  недвижимости, установок и оборудования</t>
  </si>
  <si>
    <t>1.3.   Нетто убытки от обесценения  инвестиционной недвижимости, оцениваемой по закупочной стоимости</t>
  </si>
  <si>
    <t>1.4.   Нетто убытки от обесценения  биологических средств, оцениваемых по закупочной стоимости</t>
  </si>
  <si>
    <t>1.5.   Нетто убытки от согласования  стоимости запасов материалов и товаров</t>
  </si>
  <si>
    <t>1.6.   Нетто убытки от согласования стоимости внеоборотных средств, предназначенных для продажи, средств прекращаемой деятельности и прочих  нефинансовых средств</t>
  </si>
  <si>
    <t>2.      Убытки от согласования стоимости  финансовых средств (295 до 298)</t>
  </si>
  <si>
    <t>2.1   Нетто убытки от согласования стоимости долгосрочных финансовых средств</t>
  </si>
  <si>
    <t>2.2   Нетто убытки от согласования стоимости краткосрочных финансовых средств (кроме дебиторской задолженности  покупателей)</t>
  </si>
  <si>
    <t>2.3   Нетто убытки от согласования стоимости дебиторской задолженности покупателей</t>
  </si>
  <si>
    <t>2.4   Нетто убытки от согласования стоимости прочих финансовых средств</t>
  </si>
  <si>
    <t>2.1   Эффект уменьшения отложенных налоговых средств</t>
  </si>
  <si>
    <t>2.2   Эффект увеличения отложенных налоговых обязательств</t>
  </si>
  <si>
    <t>Притоки на основании продаж биологических средств</t>
  </si>
  <si>
    <t>880 do 888</t>
  </si>
  <si>
    <t>880 to 888</t>
  </si>
  <si>
    <t>1. Share capital (104+105)</t>
  </si>
  <si>
    <t>II OWNED SHARES AND SUBSCRIBED CAPITAL UNPAID (111 + 112)</t>
  </si>
  <si>
    <t>890 do 898</t>
  </si>
  <si>
    <t>611, 612, 613, part 615</t>
  </si>
  <si>
    <t>611, 612, 613, дио 615</t>
  </si>
  <si>
    <t>611, 612, 613, dio 615</t>
  </si>
  <si>
    <t>620, part 625</t>
  </si>
  <si>
    <t>624, part 625</t>
  </si>
  <si>
    <t>642 and 643</t>
  </si>
  <si>
    <t>650 to 659</t>
  </si>
  <si>
    <t>500 to 502</t>
  </si>
  <si>
    <t>510 to 512</t>
  </si>
  <si>
    <t>Е. ПРОЧАЯ ПРИБЫЛЬ И УБЫТКИ            
I   ПРОЧИЕ ДОХОДЫ И ПРИБЫЛЬ (252 до 260)</t>
  </si>
  <si>
    <t xml:space="preserve">F. OPERATING LOSS  (238 + 244 -239) or (244-239-237)  </t>
  </si>
  <si>
    <t>дио 689, дио 589 нето приказ</t>
  </si>
  <si>
    <t>684, 584 нето приказ</t>
  </si>
  <si>
    <t>686, 585 нето приказ</t>
  </si>
  <si>
    <t>684, 584 neto prikaz</t>
  </si>
  <si>
    <t>686, 585 neto prikaz</t>
  </si>
  <si>
    <t>581, 681 neto prikaz</t>
  </si>
  <si>
    <t>585, 685 neto prikaz</t>
  </si>
  <si>
    <t>585, 685 нето приказ</t>
  </si>
  <si>
    <t>581, 681 нето приказ</t>
  </si>
  <si>
    <t>690 and 691</t>
  </si>
  <si>
    <t>590 and 591</t>
  </si>
  <si>
    <t>O. INCOME AND LOSS BEFORE TAXES 
1. Income before taxes (305-306)</t>
  </si>
  <si>
    <t>Average number of employees based on the working hour</t>
  </si>
  <si>
    <t xml:space="preserve">Average number of employees according to month ending balance </t>
  </si>
  <si>
    <t>Инвестиции в исследования и развитие (дебиторская задолженность без первоначального состояния)</t>
  </si>
  <si>
    <t>Покупатели из Республики Сербской и покупатели - аффилированные юридические лица из РС (дебиторская задолженность без первоначального состояния)</t>
  </si>
  <si>
    <t>Покупатели из Федерации БиГ и покупатели - аффилированные юридические лица из ФБиГ (оборот дебиторской задолженности без первоначального состояния)</t>
  </si>
  <si>
    <t>Покупатели из Округа Брчко БиГ и покупатели - аффилированные юридические лица из ОБ (дебиторская задолженность без первоначального состояния)</t>
  </si>
  <si>
    <t>Поставщики из Республики Сербской и поставщики - аффилированные юридические лица из РС кредиторская задолженность без первоначального состояния)</t>
  </si>
  <si>
    <t>Поставщики из Федерации БиГ и поставщики - аффилированные юридические лица из ФБиГ (кредиторская задолженность без первоначального состояния)</t>
  </si>
  <si>
    <t>Поставщики из Округа Брчко и поставщики - аффилированные юридические лица из ОБ (кредиторская задолженность без первоначального состояния)</t>
  </si>
  <si>
    <t>Доходы от продажи товара в Республике Сербской и доходы от продажи товара аффилированным юридическим лицам в РС</t>
  </si>
  <si>
    <t>Доходы от продажи товара в Федерации БиГ и доходы от продажи товара аффилированным юридическим лицам в ФБиГ</t>
  </si>
  <si>
    <t>Доходы от продажи товара в Округе Брчко БиГ и доходы от продажи товара аффилированным юридическим лицам в ОБ</t>
  </si>
  <si>
    <t>Доходы от продажи продукции</t>
  </si>
  <si>
    <t>Доходы от продажи услуг</t>
  </si>
  <si>
    <t>Доходы от продажи готовой продукции в Республике Сербской и доходы от продажи готовой продукции аффилированным юридическим лицам в РС</t>
  </si>
  <si>
    <t>Доходы от продажи готовой продукции в Федерации БиГ и доходы от продажи готовой продукции аффилированным юридическим лицам в ФБиГ</t>
  </si>
  <si>
    <t>Доходы от продажи готовой продукции в Округе Брчко БиГ и доходы от продажи готовой продукции аффилированным юридическим лицам в ОБ</t>
  </si>
  <si>
    <t>Доходы от продажи услуг в Республике Сербской</t>
  </si>
  <si>
    <t>а) Доходы от премий, субсидий, дотаций, 13-ой заработной платы, стимуляций и прочего</t>
  </si>
  <si>
    <t>б) Доходы от аренды</t>
  </si>
  <si>
    <t>в) Доходы от дотаций</t>
  </si>
  <si>
    <t>г) Доход от членских взносов</t>
  </si>
  <si>
    <t>д) Доход от тантьем и лицензионных прав</t>
  </si>
  <si>
    <t>ФИНАНСОВЫЕ И ПРОЧИЕ ДОХОДЫ</t>
  </si>
  <si>
    <t>В том числе: доходы от участия в прибыли (дивиденды)</t>
  </si>
  <si>
    <t>Прибыль от продажи недвижимости, построений и оборудования</t>
  </si>
  <si>
    <t>РАСХОДЫ НА ЗАРАБОТНЫЕ ПЛАТЫ, ВОЗМЕЩЕНИЯ И ПРОЧИЕ ИНДИВИДУАЛЬНЫЕ ВЫПЛАТЫ</t>
  </si>
  <si>
    <t>Расходы на брутто компенсации членам совета директоров, контролирующего совета, совета по аудиту и пр.</t>
  </si>
  <si>
    <t>Расходы на проживание, питание и транспорт в служ. командировках</t>
  </si>
  <si>
    <t>Расходы на суточные (командировки)</t>
  </si>
  <si>
    <t>а) Расходы на услуги по изготовлению готовой продукции</t>
  </si>
  <si>
    <t>б) Расходы на транспортные услуги</t>
  </si>
  <si>
    <t>в) Расходы на услуги текущего тех. обслуживания основных средств</t>
  </si>
  <si>
    <t>г) Расходы на услуги инвестиционного обеспечения основных средств</t>
  </si>
  <si>
    <t>д) Расходы на аренду</t>
  </si>
  <si>
    <t>е) Расходы на выставки, рекламу и пропаганду</t>
  </si>
  <si>
    <t>ж) Расходы на НИОКР, которые не капитализируются</t>
  </si>
  <si>
    <t>з) Расходы на прочие услуги</t>
  </si>
  <si>
    <t>В том числе: брутто суммы вознаграждений по договорам с внештатными физическими лицами</t>
  </si>
  <si>
    <t>Расходы на непроизводственные услуги</t>
  </si>
  <si>
    <t>В том числе: расходы на профессиональную подготовку и повышение квалификации сотрудников</t>
  </si>
  <si>
    <t>Представительские расходы</t>
  </si>
  <si>
    <t>Расходы на страховые премии</t>
  </si>
  <si>
    <t>Расходы по платежному обороту</t>
  </si>
  <si>
    <t>Расходы на членские взносы</t>
  </si>
  <si>
    <t>201, часть 200</t>
  </si>
  <si>
    <t>202, часть 200</t>
  </si>
  <si>
    <t>203, часть 200</t>
  </si>
  <si>
    <t>432, часть 431</t>
  </si>
  <si>
    <t>433, часть 431</t>
  </si>
  <si>
    <t>434, часть 431</t>
  </si>
  <si>
    <t>часть 650</t>
  </si>
  <si>
    <t>часть 670</t>
  </si>
  <si>
    <t>522+523</t>
  </si>
  <si>
    <t>часть 525</t>
  </si>
  <si>
    <t>часть 532</t>
  </si>
  <si>
    <t>534+535</t>
  </si>
  <si>
    <t>536+537</t>
  </si>
  <si>
    <t>часть 539</t>
  </si>
  <si>
    <t>часть 550</t>
  </si>
  <si>
    <t>часть 555</t>
  </si>
  <si>
    <t>47, кроме 479</t>
  </si>
  <si>
    <t>27, кроме 279</t>
  </si>
  <si>
    <t>нет счета</t>
  </si>
  <si>
    <t>Прочие нематериальные расходы</t>
  </si>
  <si>
    <t>ОБЯЗАТЕЛЬСТВА И ТРЕБОВАНИЯ</t>
  </si>
  <si>
    <t>Начисленный (по счетам-фактурам) налог НДС (суммарный оборот счетов)</t>
  </si>
  <si>
    <t>Входящий НДС (суммарный оборот счетов)</t>
  </si>
  <si>
    <t>Обязательства по НДС на основании между перечисленным заранее и начисленным НДС (сальдо счёта)</t>
  </si>
  <si>
    <t>Дебиторская задолженность на основании разницы между перечисленным заранее и начисленным НДС (сальдо счёта)</t>
  </si>
  <si>
    <t>НДС, уплаченный при импорте (суммарный оборот счетов)</t>
  </si>
  <si>
    <t>Обязательства по НДС, уплаченному при импорте (суммарный оборот счетов)</t>
  </si>
  <si>
    <t>Обязательства по акцизам (суммарный оборот счетов)</t>
  </si>
  <si>
    <t>Доходы от договоров субподряда</t>
  </si>
  <si>
    <t>Выплаты субподрядчикам за работу, поставленную продукцию и услуги</t>
  </si>
  <si>
    <t xml:space="preserve">Общее количество отработанных часов (фактическое кол-во отработанных часов без больничных, отпусков, гос. праздников и т.п.) </t>
  </si>
  <si>
    <t>Прочие  переоценочные резервы</t>
  </si>
  <si>
    <t>Накопленная  нераспределенная прибыль / (непокрытый убыток)</t>
  </si>
  <si>
    <t>ТОКОВИ ГОТОВИНЕ ИЗ ПОСЛОВНИХ АКТИВНОСТИ 
Приливи готовине из пословне активности (502 до 505)</t>
  </si>
  <si>
    <t>1. Shares in related legal entities</t>
  </si>
  <si>
    <t>2. Shares in associated entities and joint ventures</t>
  </si>
  <si>
    <t>3. Financial assets at amortised value (026 to 029)</t>
  </si>
  <si>
    <t>3.1. Long-term loans to related legal entities</t>
  </si>
  <si>
    <t>3.2. Domestic long-term loans</t>
  </si>
  <si>
    <t>3.3. Long-term loans abroad</t>
  </si>
  <si>
    <t>3.4. Other financial assets at amortised value</t>
  </si>
  <si>
    <t>4.1. Equity instruments</t>
  </si>
  <si>
    <t>4.2. Debt instruments</t>
  </si>
  <si>
    <t>5. Financial leasing receivables</t>
  </si>
  <si>
    <t>1. Research and development investments</t>
  </si>
  <si>
    <t>4. Other intangible assets</t>
  </si>
  <si>
    <t>5. Аdvances (prepayments) and intangible assets in preparation process</t>
  </si>
  <si>
    <t>2. Growing crops</t>
  </si>
  <si>
    <t>3. Live stock and other biological assets</t>
  </si>
  <si>
    <t>4. Advances (prepayments) and biological assets in preparation process</t>
  </si>
  <si>
    <t>1. Land</t>
  </si>
  <si>
    <t>2. Buildings</t>
  </si>
  <si>
    <t>3. Plant and equipment</t>
  </si>
  <si>
    <t>4. Other real estates, plants and equipment</t>
  </si>
  <si>
    <t>5. Investment in real estates, plants and equipment not owned by the company</t>
  </si>
  <si>
    <t>6. Advances (prepayments) and real estates, plant, equipment and investment property in preparation process</t>
  </si>
  <si>
    <t>1. Forest</t>
  </si>
  <si>
    <t>2.3. Potraživanje po finansijskom lizingu</t>
  </si>
  <si>
    <t>1. Legal reserves</t>
  </si>
  <si>
    <t>3. Other reserves</t>
  </si>
  <si>
    <t>2. Statutory reserves</t>
  </si>
  <si>
    <t>VII ПОЗИТИВНИ ЕФЕКТИ ВРЕДНОВАЊА ФИНАНСИЈСКИХ СРЕДСТАВА КОЈА СЕ ВРЕДНУЈУ ПО ФЕР ВРИЈЕДНОСТИ КРОЗ ОСТАЛИ УКУПНИ РЕЗУЛТАТ</t>
  </si>
  <si>
    <t>VII POZITIVNI EFEKTI VREDNOVANJA FINANSIJSKIH SREDSTAVA KOJA SE VREDNUJU PO FER VRIJEDNOSTI KROZ OSTALI UKUPNI REZULTAT</t>
  </si>
  <si>
    <t>а) Приходи од продаје робе повезаним правним лицима</t>
  </si>
  <si>
    <t>c) Prihodi od prodaje robe na inostranom tržištu</t>
  </si>
  <si>
    <t>c) Prihodi od prodaje proizvoda na inostranom tržištu</t>
  </si>
  <si>
    <t>c) Prihodi od pruženih usluga na inostranom tržištu</t>
  </si>
  <si>
    <t>3. Troškovi goriva i energije</t>
  </si>
  <si>
    <t>6.1 Depreciation (229 to 232)</t>
  </si>
  <si>
    <t>c) Amortizacija sredstava uzetih u zakup</t>
  </si>
  <si>
    <t>d) Amortizacija ostalih sredstava</t>
  </si>
  <si>
    <t>3. Neto dobici po osnovu prodaje bioloških sredstava</t>
  </si>
  <si>
    <t xml:space="preserve">L. Prihodi po osnovu promjene računovodstvenih politika i ispravke grešaka iz ranijih godina </t>
  </si>
  <si>
    <t xml:space="preserve">Л. Приходи по основу промјене рачуноводствених политика и исправке грешака из ранијих година </t>
  </si>
  <si>
    <t>Љ. Расходи по основу промјене рачуноводствених политика и исправке грешака из ранијих година</t>
  </si>
  <si>
    <t xml:space="preserve">А  НЕТО ДОБИТ ИЛИ НЕТО ГУБИТАК ПЕРИОДА </t>
  </si>
  <si>
    <t>Share of the total profit/loss which belongs to the majority shareholders</t>
  </si>
  <si>
    <t>Share of the total profit/loss which belongs to the minority shareholders</t>
  </si>
  <si>
    <t>TOKOVI GOTOVINE IZ POSLOVNIH AKTIVNOSTI 
Prilivi gotovine iz poslovne aktivnosti (502 do 505)</t>
  </si>
  <si>
    <t xml:space="preserve">Net inflow of cash from financing activities (544 – 551) </t>
  </si>
  <si>
    <t>II  KRATKOROČNA SREDSTVA IZUZEV ZALIHA I STALNIH SREDSTAVA NAMIJENJENIH PRODAJI (045+052+061+064+065)</t>
  </si>
  <si>
    <t>IX  NERASPOREĐENA DOBIT (125 do 127)</t>
  </si>
  <si>
    <t>V REZERVE (116 do 118)</t>
  </si>
  <si>
    <t>IV ЕМИСИОНИ ГУБИТАК</t>
  </si>
  <si>
    <t>V РЕЗЕРВЕ (116 do 118)</t>
  </si>
  <si>
    <t>V RESERVES (116 to 118)</t>
  </si>
  <si>
    <t>IX RETAINED EARNINGS (125 to 127)</t>
  </si>
  <si>
    <t>VI REVALUATION RESERVES (120 + 121)</t>
  </si>
  <si>
    <t>I SHARE CAPITAL (103 + 106 + 107 + 108 + 109)</t>
  </si>
  <si>
    <t>IX НЕРАСПОРЕЂЕНА ДОБИТ (125 до 127)</t>
  </si>
  <si>
    <t xml:space="preserve">X ГУБИТАК (129 + 130)  </t>
  </si>
  <si>
    <t>X LOSS (129 + 130)</t>
  </si>
  <si>
    <t xml:space="preserve">X GUBITAK (129 + 130)  </t>
  </si>
  <si>
    <t>II FINANCE EXPENSES (245 to 248)</t>
  </si>
  <si>
    <t>015, 016 дио 019</t>
  </si>
  <si>
    <t>067, dio 069</t>
  </si>
  <si>
    <t>067, part 069</t>
  </si>
  <si>
    <t>235 i 236</t>
  </si>
  <si>
    <t>235 and 236</t>
  </si>
  <si>
    <t>640 and 641</t>
  </si>
  <si>
    <t>520 and 523</t>
  </si>
  <si>
    <t>524 to 529</t>
  </si>
  <si>
    <t>530 to 539</t>
  </si>
  <si>
    <t>2. Neraspoređena dobit tekuće godine / Neraspoređeni višak prihoda nad rashodima tekuće godine</t>
  </si>
  <si>
    <t>2. Нераспоређена добит текуће године / Нераспоређени вишак прихода над расходима текуће године</t>
  </si>
  <si>
    <t>U aktivi Bilansa stanja popunjavaju se samo kolone "Bruto" (5) i "Ispravka vrijednosti" (6), dok se kolona "Neto" (7) automatski izračunava.</t>
  </si>
  <si>
    <t>Potrebno je popuniti i kolonu "Iznos prethodne godine (početno stanje)" (8).</t>
  </si>
  <si>
    <t>U Bilansu uspjeha popunjavaju se kolone 5 i 6, dok se zbirovi automatski računaju.</t>
  </si>
  <si>
    <t>U Bilansu tokova gotovine popunjavaju se kolone 5 i 6, dok se zbirovi automatski računaju.</t>
  </si>
  <si>
    <t>Na primjer, ako je iskazano 31.12.2021. godine u bilansu stanja iskazano 1.000 KM neraporedjene dobiti i 100 KM gubitka iz prethodnih perioda unosi se neto 900 KM.</t>
  </si>
  <si>
    <t>Gubitak grupa računa 35 (AOP 128) obuhvata gubitak ranijih godina, račun 350 i gubitak tekuće godine, račun 351.</t>
  </si>
  <si>
    <t xml:space="preserve">U koloni 9 se unosi saldo nerasporedjenog dobitka, odnosno gubitka. </t>
  </si>
  <si>
    <t>Obrazac je zaštićen i nisu dozvoljene izmjene i zloupotrebe obrasca.</t>
  </si>
  <si>
    <t>Maтични брoj</t>
  </si>
  <si>
    <t>ID Number</t>
  </si>
  <si>
    <t>Основной регистрационный номер</t>
  </si>
  <si>
    <t>Matični broj</t>
  </si>
  <si>
    <t>Šifra djelatnosti</t>
  </si>
  <si>
    <t>Шифрa дjeлaтности</t>
  </si>
  <si>
    <t>Code of Industry</t>
  </si>
  <si>
    <t>Код деятельности</t>
  </si>
  <si>
    <t>BILANSNA AKTIVA
A. STALNA SREDSTVA (002+008+015+016+017+022+034)</t>
  </si>
  <si>
    <t xml:space="preserve"> БИЛАНСНА АКТИВА 
А. СТАЛНА СРЕДСТВА (002 + 008 + 015 + 016 + 017 + 022 + 034)</t>
  </si>
  <si>
    <t>A. FIXED ASSETS (002 + 008 + 015 + 016 + 017 + 022 + 034)</t>
  </si>
  <si>
    <t>БАЛАНСОВЫЕ АКТИВЫ
А. ВНЕОБОРОТНЫЕ СРЕДСТВА (002 + 008 + 015 + 016 + 017 + 022 + 034)</t>
  </si>
  <si>
    <t>Контакт подаци:</t>
  </si>
  <si>
    <t>Contact:</t>
  </si>
  <si>
    <t>Контактная информация:</t>
  </si>
  <si>
    <t>Kontakti</t>
  </si>
  <si>
    <t xml:space="preserve">II  NEKRETNINE, POSTROJENJA I OPREMA (009 do 014) </t>
  </si>
  <si>
    <t>I   ZALIHE, STALNA SREDSTVA NAMIJENJENA PRODAJI I SREDSTVA POSLOVANJA KOJE SE OBUSTAVLJA (038 do 043)</t>
  </si>
  <si>
    <t>A. POSLOVNI PRIHODI I RASHODI
I POSLOVNI PRIHODI 
(202 + 206 + 210 + 214 – 215 + 216 – 217 + 218)</t>
  </si>
  <si>
    <t>Е. ОСТАЛИ ДОБИЦИ И ГУБИЦИ I ОСТАЛИ ПРИХОДИ И ДОБИЦИ (252 до 260)</t>
  </si>
  <si>
    <t>G. OTHER INCOME AND EXPENSES I OTHER INCOME AND GAINS (252 to 260)</t>
  </si>
  <si>
    <t>I. PRIHODI I RASHODI OD USKLAĐIVANJA VRIJEDNOSTI IMOVINE 
I   PRIHODI OD USKLAĐIVANJA VRIJEDNOSTI IMOVINE (274 + 281)</t>
  </si>
  <si>
    <t>II  RASHODI OD USKLAĐIVANJA VRIJEDNOSTI IMOVINE (287 + 294)</t>
  </si>
  <si>
    <t>K. GUBITAK PO OSNOVU USKLAĐIVANJA VRIJEDNOSTI IMOVINE (286 – 273)</t>
  </si>
  <si>
    <t xml:space="preserve">J. DOBITAK PO OSNOVU USKLAĐIVANJA VRIJEDNOSTI IMOVINE (273 – 286) </t>
  </si>
  <si>
    <t>2.1. Finansijska sredstva po amortizovanoj vrijednosti (054 do 057)</t>
  </si>
  <si>
    <t>IV EMISIONI GUBITAK</t>
  </si>
  <si>
    <t>II OTKUPLJENE SOPSTVENE AKCIJE I UPISANI NEUPLAĆENI KAPITAL (111 + 112)</t>
  </si>
  <si>
    <t xml:space="preserve">Naziv privrednog društva, zadruge, drugog pravnog lica ili preduzetnika: </t>
  </si>
  <si>
    <t>Нaзив приврeднoг друштвa, зaдругe, другoг прaвнoг лицa или прeдузeтникa:</t>
  </si>
  <si>
    <t>2.2. Finansijska sredstva po fer vrijednosti kroz bilans uspjeha</t>
  </si>
  <si>
    <t xml:space="preserve">2.2. Финансијска средства по фер вриједности кроз биланс успјеха </t>
  </si>
  <si>
    <t>7. Other long-term liabilities, including accruals</t>
  </si>
  <si>
    <t>7.  Прочие долгосрочные обязательства, включая разграничения</t>
  </si>
  <si>
    <t>1. Income from sales of merchandise goods (203 to 205)</t>
  </si>
  <si>
    <t>2. Income from sale of products (207 to 209)</t>
  </si>
  <si>
    <t>II OPERATING EXPENSES (220 + 221 + 222 + 223 + 226 + 227 + 234 + 235 + 236)</t>
  </si>
  <si>
    <t>VI LONG TERM FINANCIAL INVESTMENTS (023 + 024 + 025 + 030 +033)</t>
  </si>
  <si>
    <t>II REAL ESTATES, PLANT, EQUIPMENT AND INVESTMENT PROPERTY (009 to 014)</t>
  </si>
  <si>
    <t>I INTANGIBLE ASSETS (003 to 007)</t>
  </si>
  <si>
    <t>B  POSTPONED TAX FUNDS</t>
  </si>
  <si>
    <t>C. CURRENT ASSETS (037 + 044)</t>
  </si>
  <si>
    <t>I INVENTORIES, FIXED ASSETS AVAILABLE FOR SALE AND ASSETS OF DISCONTINUED OPERATIONS (038 to 043)</t>
  </si>
  <si>
    <t>II OTHER EXPENSES AND LOSSES (262 to 270)</t>
  </si>
  <si>
    <t>II EXPENSES FROM REVALUATION OF PROPERTY VALUE (287 + 294)</t>
  </si>
  <si>
    <t>1.4. Net losses due to the impairment of biological assets valued which are valued at cost price</t>
  </si>
  <si>
    <t>1.5. Net losses due to the revaluation of inventories of materials and goods</t>
  </si>
  <si>
    <t>1.1. Net losses due to the impairment of intangible assests</t>
  </si>
  <si>
    <t>1.2. Net losses due to the impairment of real estates, plant and equipment</t>
  </si>
  <si>
    <t>1.3. Net losses due to the impairment of investment real estates which are valued at cost price</t>
  </si>
  <si>
    <t>1.6. Net losses from revaluation of fixed assest for sale, discontinued operations assets and other non-financial  assets</t>
  </si>
  <si>
    <t>1.1. Net income from decrease of earlier recognized losses due to the impairment of intangible assets</t>
  </si>
  <si>
    <t>1.2. Net income from decrease of earlier recognized losses due to the impairment of real estates, plant and equipment</t>
  </si>
  <si>
    <t>1.3. Net income from decrease of earlier recognized losses due to the impairment of investment property which are valued at cost price</t>
  </si>
  <si>
    <t>1.4. Net income from decrease of earlier recognized losses due to the impairment of biological assets which are valued at cost price</t>
  </si>
  <si>
    <t>1.5. Net income from revaluation inventories of material and goods</t>
  </si>
  <si>
    <t>1.6. Net income from revaluation of fixed assest for sale, discontinued operations assets and other non-financial  assets</t>
  </si>
  <si>
    <t>2.1.   Effect of reduction of deffered tax assets</t>
  </si>
  <si>
    <t>2.2.   Effect of increase of deffered tax assets</t>
  </si>
  <si>
    <t>3.1. Effect of increase of deffered tax assets</t>
  </si>
  <si>
    <t>3.2. Effect of reduction of deffered tax liabilities</t>
  </si>
  <si>
    <t>1.1.  Increase/(decrease) in the fair value of debt instruments at fair value through other comprehensive income</t>
  </si>
  <si>
    <t>1.6. Neto gubici od usklađivanja vrijednosti stalnih sredstava namijenjenih prodaji, sredstava poslovanja koje se obustavlja i ostalih nefinansijskih sredstava</t>
  </si>
  <si>
    <t>1.1. Покупатели – аффилированные юридические лица</t>
  </si>
  <si>
    <t>1.2. Покупатели в стране</t>
  </si>
  <si>
    <t>1.3. Покупатели за рубежом</t>
  </si>
  <si>
    <t>1.4. Дебиторская задолженность в рамках  специфической деятельности</t>
  </si>
  <si>
    <t>1.5.Прочая краткосрочная дебиторская задолженность</t>
  </si>
  <si>
    <t>1.6. Дебиторская задолженность по излишне уплаченному налогу на прибыль</t>
  </si>
  <si>
    <t>2.1 Финансовые средства по амортизированной стоимости (054 до 057)</t>
  </si>
  <si>
    <t>2.2. Финансовые средства по справедливой стоимости через отчет о прибылях и убытках</t>
  </si>
  <si>
    <t>2.3  Дебиторская задолженность по финансовому лизингу</t>
  </si>
  <si>
    <t>2.4 Производные финансовые средства</t>
  </si>
  <si>
    <t>3.1 Эквиваленты денежных средств</t>
  </si>
  <si>
    <t>3.2  Денежные средства</t>
  </si>
  <si>
    <t>1.4. Краткосрочные обязательства по справедливой стоимости через отчет о прибылях и убытках</t>
  </si>
  <si>
    <t>1.5. Производные финансовые обязательства</t>
  </si>
  <si>
    <t>1.6. Прочие обязательства по амортизированной стоимости</t>
  </si>
  <si>
    <t xml:space="preserve">1.3. Краткосрочные обязательтва по лизингу </t>
  </si>
  <si>
    <t>1.1. Краткосрочные финансовые обязательства перед аффилированными  юридическими лицами</t>
  </si>
  <si>
    <t>1.2. Краткосрочные кредиты и обязательства по выпущенным краткосрочным ценным бумагам</t>
  </si>
  <si>
    <t>2.5. Прочие обязательства в рамках деятельности</t>
  </si>
  <si>
    <t>2.4. Поставщики за рубежом</t>
  </si>
  <si>
    <t>2.3.   Поставщики в стране</t>
  </si>
  <si>
    <t>2.2.  Поставщики – аффилированные юридические лица</t>
  </si>
  <si>
    <t>2.1.  Полученные авансы, депозиты и залоги</t>
  </si>
  <si>
    <t>1.  Обязательства перед аффилированными юридическими лицами</t>
  </si>
  <si>
    <t>2.  Долгосрочные кредиты в стране</t>
  </si>
  <si>
    <t>3.  Долгосрочные кредиты за рубежом</t>
  </si>
  <si>
    <t>4. Обязательства по выпущенным долговым инструментам</t>
  </si>
  <si>
    <t>5. Долгосрочные обязательства по лизингу</t>
  </si>
  <si>
    <t>6. Прочие долгосрочные финансовые обязательства по амортизированной стоимости</t>
  </si>
  <si>
    <t>4. Увеличение стоимости запасов готовой продукции</t>
  </si>
  <si>
    <t>5. Уменьшение стоимости запасов готовой продукции</t>
  </si>
  <si>
    <t>6. Увеличение стоимости  инвестиционной недвижимости и биологических средств, которые не амортизируются</t>
  </si>
  <si>
    <t>7. Уменьшение стоимости  инвестиционной недвижимости и биологических средств, которые не амортизируются</t>
  </si>
  <si>
    <t>2. Негативные курсовые разницы</t>
  </si>
  <si>
    <t>1. Расходы по процентам</t>
  </si>
  <si>
    <t>3. Расходы на основании валютной оговорки</t>
  </si>
  <si>
    <t>1. Нетто прибыль от продажи  нематериальных средств, недвижимости, установок и оборудования</t>
  </si>
  <si>
    <t>2. Нетто прибыль от продажи  инвестиционной недвижимости</t>
  </si>
  <si>
    <t>3. Нетто прибыль от продажи  биологических средств</t>
  </si>
  <si>
    <t>5. Нетто прибыль от продажи  финансовых средств и вложений в связанные лица</t>
  </si>
  <si>
    <t>6. Нетто прибыль от продажи материалов</t>
  </si>
  <si>
    <t xml:space="preserve">7. Излишки </t>
  </si>
  <si>
    <t>8. Прочие доходы и прибыль</t>
  </si>
  <si>
    <t>4. Нетто прибыль от продажи внеоборотных средств, прдназначенных для продажи, и средств прекращаемой деятельности</t>
  </si>
  <si>
    <t xml:space="preserve">9. Нетто прибыль от производных  финансовых инструментов </t>
  </si>
  <si>
    <t>1. Нетто убытки от отчуждения  нематериальных средств, недвижимости, установок и оборудования</t>
  </si>
  <si>
    <t>2. Нетто убытки от отчуждения  инвестиционной недвижимости</t>
  </si>
  <si>
    <t>3. Нетто убытки от отчуждения  биологических средств</t>
  </si>
  <si>
    <t>4. Нетто убытки от отчуждения внеоборотных средств, предназначенных для продажи, и средств прекращаемой деятельности</t>
  </si>
  <si>
    <t>5. Нетто убытки от отчуждения финансовых средств и вложения в связанные лица</t>
  </si>
  <si>
    <t>6. Нетто убытки от продажи материалов</t>
  </si>
  <si>
    <t>7. Недостачи</t>
  </si>
  <si>
    <t>9. Прочие расходы и убытки</t>
  </si>
  <si>
    <t>8. Нетто убытки от производных  финансовых инструментов</t>
  </si>
  <si>
    <t>Reserves</t>
  </si>
  <si>
    <t xml:space="preserve">Issuance Premium </t>
  </si>
  <si>
    <t>И. ДОХОДЫ И РАСХОДЫ ОТ СОГЛАСОВАНИЯ СТОИМОСТИ 
 I   ДОХОДЫ ОТ СОГЛАСОВАНИЯ СТОИМОСТИ АКТИВОВ (274 + 281)</t>
  </si>
  <si>
    <t>CASH FLOWS FROM INVESTING ACTIVITIES  Cash proceeds from investing activities  (516 to 530)</t>
  </si>
  <si>
    <t>CASH FLOW FROM FINANCING ACTIVITIES  Cash inflow from financing activities  (545 to 550)</t>
  </si>
  <si>
    <r>
      <rPr>
        <b/>
        <sz val="10"/>
        <rFont val="Calibri"/>
        <family val="2"/>
      </rPr>
      <t>М. ДОБИТ И ГУБИТАК ПРИЈЕ ОПОРЕЗИВАЊА</t>
    </r>
    <r>
      <rPr>
        <sz val="10"/>
        <rFont val="Calibri"/>
        <family val="2"/>
      </rPr>
      <t xml:space="preserve">
1. Добит прије опорезивања (305 – 306)</t>
    </r>
  </si>
  <si>
    <t>Нeтo (5-6)</t>
  </si>
  <si>
    <t>Net (5-6)</t>
  </si>
  <si>
    <t>Нетто (5-6)</t>
  </si>
  <si>
    <t>Neto (5-6)</t>
  </si>
  <si>
    <t>VII OSTALA DUGOROČNA SREDSTVA I RAZGRANIČENJA</t>
  </si>
  <si>
    <t>TOKOVI GOTOVINE IZ AKTIVNOSTI INVESTIRANJA
Prilivi gotovine iz aktivnosti investiranja (516 do 530)</t>
  </si>
  <si>
    <t>TOKOVI GOTOVINE IZ AKTIVNOSTI FINANSIRANJA
Prilivi gotovine iz aktivnosti finansiranja (545 do 550)</t>
  </si>
  <si>
    <t>M. DOBIT I GUBITAK PRIJE OPOREZIVANJA
1. Dobit prije oporezivanja (305 – 306)</t>
  </si>
  <si>
    <t>LJ. Rashodi po osnovu promjene računovodstvenih politika i ispravke grešaka iz ranijih godina</t>
  </si>
  <si>
    <t>NJ. NETO DOBIT I NETO GUBITAK PERIODA
 1. Neto dobit tekuće godine (307-309-310+313)&gt;0 i 307&gt;0 ili (313-308-309-310)&gt;0 i 308&gt;0</t>
  </si>
  <si>
    <t>Procedura za kreiranje txt fajla koji se importuje u APIF-ovu aplikaciju za elektrоnsko dostavljanje FI.</t>
  </si>
  <si>
    <t>Banjalučka berza i Interfin SoftLab. Sva prava zadržana.</t>
  </si>
  <si>
    <t>7. Ukupna dobit/(gubitak) (± 905 ± 906)</t>
  </si>
  <si>
    <t>7. Total profit/(loss) (± 905 ± 906)</t>
  </si>
  <si>
    <t>7. Совокупная прибыль/(убыток) (± 905 ± 906)"</t>
  </si>
  <si>
    <t>7. Укупна добит/(губитак) (± 905 ± 906)</t>
  </si>
  <si>
    <t xml:space="preserve">AOP 066 (kolona 7, odnosno 8) = AOP 169 (kolona 5, odnosno 6) </t>
  </si>
  <si>
    <t xml:space="preserve">AOP 067 (kolona 7, odnosno 8) = AOP 170 (kolona 5, odnosno 6) </t>
  </si>
  <si>
    <r>
      <t xml:space="preserve">AOP 316 (kolona 5, odnosno 6) = AOP 126 (kolona 5, odnosno 6). </t>
    </r>
    <r>
      <rPr>
        <sz val="9"/>
        <rFont val="Calibri"/>
        <family val="2"/>
      </rPr>
      <t>U pojedinim slučajevima (međudividenda i sl.) je dozvoljena razlika.</t>
    </r>
  </si>
  <si>
    <r>
      <t xml:space="preserve">AOP 317 (kolona 5, odnosno 6) = AOP 130 (kolona 5, odnosno 6). </t>
    </r>
    <r>
      <rPr>
        <sz val="9"/>
        <rFont val="Calibri"/>
        <family val="2"/>
      </rPr>
      <t>U pojedinim slučajevima (međudividenda i sl.) je dozvoljena razlika.</t>
    </r>
  </si>
  <si>
    <t>AOP 568 (kolona 4, odnosno 5) = AOP 061 (kolona 7, odnosno 8).</t>
  </si>
  <si>
    <t>30</t>
  </si>
  <si>
    <t>460 do 469</t>
  </si>
  <si>
    <t>460 to 469</t>
  </si>
  <si>
    <t>Ako je AOP 101 (kolona 6) &gt; 0, onda je AOP 913 (kolona 10) = AOP 101 (kolona 6).</t>
  </si>
  <si>
    <t>Ako je AOP 101 (kolona 5) &gt; 0, onda je AOP 925 (kolona 10) = AOP 101 (kolona 5).</t>
  </si>
  <si>
    <t>1. Stavke koje mogu biti reklasifikovane u bilans uspjeha (±402+403±404±405±406±407)</t>
  </si>
  <si>
    <t>1. Ставке које могу бити рекласификоване у биланс успјеха (±402+403±404±405±406±407)</t>
  </si>
  <si>
    <t>18. Ostali ukupni rezultat za godinu</t>
  </si>
  <si>
    <t>18. Остали укупни резултат за годину</t>
  </si>
  <si>
    <t>18. Other total result  for the year</t>
  </si>
  <si>
    <t>1. Items that can be reclassified in the income statement (±402+403±404±405±406±407)</t>
  </si>
  <si>
    <t>584, 684 neto prikaz</t>
  </si>
  <si>
    <t>586, 686 neto prikaz</t>
  </si>
  <si>
    <t>586, 686 нето приказ</t>
  </si>
  <si>
    <t>586, 686 Net amount</t>
  </si>
  <si>
    <t>582, 682 neto prikaz</t>
  </si>
  <si>
    <t>583, 683 neto prikaz</t>
  </si>
  <si>
    <t>582, 682 нето приказ</t>
  </si>
  <si>
    <t>583, 683 нето приказ</t>
  </si>
  <si>
    <t>582, 682 Net amount</t>
  </si>
  <si>
    <t>583, 683 Net amount</t>
  </si>
  <si>
    <t>dio 689, dio 589 neto prikaz</t>
  </si>
  <si>
    <t>Obveznici koji u izvještajnom periodu nisu ostvarili ostale dobitke i gubitke, odnosno dobitke i gubitke utvrđene direktno u kapitalu nisu obavezni da prezentuju Izvještaj o ostalom rezultatu u periodu.</t>
  </si>
  <si>
    <t>Izvještaj o ostalom rezultatu u periodu</t>
  </si>
  <si>
    <t>6. Avansi i nekretnine, postrojenja i oprema u pripremi</t>
  </si>
  <si>
    <t>E. OSTALI DOBICI I GUBICI 
I OSTALI PRIHODI I DOBICI (252 do 260)</t>
  </si>
  <si>
    <t>580, 680 neto prikaz</t>
  </si>
  <si>
    <t>588, dio 589, 688, dio 689 neto prikaz</t>
  </si>
  <si>
    <t>15. Efekti ispravki grešaka</t>
  </si>
  <si>
    <t>15. Ефекти исправки грешака</t>
  </si>
  <si>
    <t>Revalorizacione rezerve za finansijska sredstva vrednovana po fer vrijednosti kroz ostali ukupni rezultat</t>
  </si>
  <si>
    <t>Ревалоризационе резерве за финансијска средства вреднована по фер вриједности кроз остали укупни резултат</t>
  </si>
  <si>
    <t>UDJELI KOJI NEMAJU KONTROLU (MANJINSKI INTERESI)</t>
  </si>
  <si>
    <t>УДЈЕЛИ КОЈИ НЕМАЈУ КОНТРОЛУ (МАЊИНСКИ ИНТЕРЕСИ)</t>
  </si>
  <si>
    <t>Odlivi po osnovu isplata plata, naknada plata i ostalih ličnih rashoda</t>
  </si>
  <si>
    <t>Одливи по основу исплата плата, накнада плата и осталих личних расхода</t>
  </si>
  <si>
    <t>Kolone 11 I 12 popunjavaju samo pravna lica koja sastavljaju konsolidovani finansijski izvještaj.</t>
  </si>
  <si>
    <t>601, дио 600, дио 605</t>
  </si>
  <si>
    <t>601, part 600, part 605</t>
  </si>
  <si>
    <t>603, dio 600, dio 605</t>
  </si>
  <si>
    <t>601, dio 600, dio 605</t>
  </si>
  <si>
    <t>602, dio 600, dio 605</t>
  </si>
  <si>
    <t>602, дио 600, дио 605</t>
  </si>
  <si>
    <t>603, дио 600, дио 605</t>
  </si>
  <si>
    <t>602, part 600, part 605</t>
  </si>
  <si>
    <t>603, part 600, part 605</t>
  </si>
  <si>
    <t>601, часть 600, часть 605</t>
  </si>
  <si>
    <t>602, часть 600, часть 605</t>
  </si>
  <si>
    <t>603, часть 600, часть 605</t>
  </si>
  <si>
    <t>Prihodi od prodaje proizvoda u Republici Srpskoj i prihodi od prodaje proizvoda povezanim pravnim licima u Republici Srpskoj</t>
  </si>
  <si>
    <t>611, dio 610, dio 615</t>
  </si>
  <si>
    <t>612, dio 610, dio 615</t>
  </si>
  <si>
    <t>613, dio 610, dio 615</t>
  </si>
  <si>
    <t>611, дио 610, дио 615</t>
  </si>
  <si>
    <t>612, дио 610, дио 615</t>
  </si>
  <si>
    <t>613, дио 610, дио 615</t>
  </si>
  <si>
    <t>612, part 610, part 615</t>
  </si>
  <si>
    <t>613, part 610, part 615</t>
  </si>
  <si>
    <t>611, part 610, part 615</t>
  </si>
  <si>
    <t xml:space="preserve"> 611, часть 610, часть 615</t>
  </si>
  <si>
    <t xml:space="preserve"> 612, часть 610, часть 615</t>
  </si>
  <si>
    <t xml:space="preserve"> 613, часть 610, часть 615</t>
  </si>
  <si>
    <t>Prihodi od prodaje proizvoda u Federaciji BiH i prihodi od prodaje proizvoda povezanim pravnim licima u Federaciji BiH</t>
  </si>
  <si>
    <t>Prihodi od prodaje proizvoda u Brčko Distriktu BiH i prihodi od prodaje učinaka povezanim pravnim licima u Brčko Distriktu BiH</t>
  </si>
  <si>
    <t>Prihodi od pruženih usluga u Federaciji BiH i prihodi od pruženih usluga povezanim pravnim licima u Federaciji BiH</t>
  </si>
  <si>
    <t>Prihodi od pruženih usluga u Brčko Distriktu BiH i prihodi od pruženih usluga povezanim pravnim licima u Brčko Distriktu BiH</t>
  </si>
  <si>
    <t>621, dio 620, dio 625</t>
  </si>
  <si>
    <t>622, dio 620, dio 625</t>
  </si>
  <si>
    <t>623, dio 620, dio 625</t>
  </si>
  <si>
    <t>621, дио 620, дио 625</t>
  </si>
  <si>
    <t>622, дио 620, дио 625</t>
  </si>
  <si>
    <t>623, дио 620, дио 625</t>
  </si>
  <si>
    <t>621, part 620, part 625</t>
  </si>
  <si>
    <t>622, part 620, part 625</t>
  </si>
  <si>
    <t>623, part 620, part 625</t>
  </si>
  <si>
    <t>621, часть 620, часть 625</t>
  </si>
  <si>
    <t>622, часть 620, часть 625</t>
  </si>
  <si>
    <t>623, часть 620, часть 625</t>
  </si>
  <si>
    <t>OSTALI POSLOVNI PRIHODI (618 + 621 + 622 + 623 + 624 + 625 + 626 + 627 + 628)</t>
  </si>
  <si>
    <t>OTHER OPERATING INCOME (618 + 621 + 622 + 623 + 624 + 625 + 626 + 627 + 628)</t>
  </si>
  <si>
    <t>ОСТАЛИ ПОСЛОВНИ ПРИХОДИ (618 + 621 + 622 + 623 + 624 + 625 + 626 + 627 + 628)</t>
  </si>
  <si>
    <t>ПРОЧИЕ ОПЕРАЦИОННЫЕ ДОХОДЫ (618 + 621 + 622 + 623 + 624 + 625 + 626 + 627 + 628)</t>
  </si>
  <si>
    <t>656</t>
  </si>
  <si>
    <t>657</t>
  </si>
  <si>
    <t xml:space="preserve">Od toga: dobici po osnovu prodaje nekretnina, postrojenja i opreme </t>
  </si>
  <si>
    <t>Dobici od derivatnih finansijskih instrumenata</t>
  </si>
  <si>
    <t>678</t>
  </si>
  <si>
    <t>TROŠKOVI PLATA, NAKNADA PLATA I OSTALIH LIČNIH PRIMANJA</t>
  </si>
  <si>
    <t>ТРОШКОВИ ПРОИЗВОДНИХ УСЛУГА (637 + 638 + 639 + 640 + 641 + 642 + 643 + 644)</t>
  </si>
  <si>
    <t>РАСХОДЫ НА ПРОИЗВОДСТВЕННЫЕ УСЛУГИ (637 + 638 + 639 + 640 + 641 + 642 + 643 + 644)</t>
  </si>
  <si>
    <t>TROŠKOVI PROIZVODNIH USLUGA (637 + 638 + 639 + 640 + 641 + 642 + 643 + 644)</t>
  </si>
  <si>
    <t>NEMATERIJALNI TROŠKOVI (647 + 650 + 651 + 652 + 653 + 654 + 655 + 656)</t>
  </si>
  <si>
    <t>НЕМАТЕРИЈАЛНИ ТРОШКОВИ (647 + 650 + 651 + 652 + 653 + 654 + 655 + 656)</t>
  </si>
  <si>
    <t>NON-MATERIAL EXPENSES (647 + 650 + 651 + 652 + 653 + 654 + 655 + 656)</t>
  </si>
  <si>
    <t>НЕМАТЕРИАЛЬНЫЕ РАСХОДЫ (647 + 650 + 651 + 652 + 653 + 654 + 655 + 656)</t>
  </si>
  <si>
    <t>a) Troškovi ostalih usluga</t>
  </si>
  <si>
    <t>а) Трошкови осталих услуга</t>
  </si>
  <si>
    <t>ТРОШКОВИ ПЛАТА, НАКНАДА ЗАРАДА И ОСТАЛИХ ЛИЧНИХ ПРИМАЊА</t>
  </si>
  <si>
    <t>Од тога: добици по основу продаје некретнина, постројења и опреме</t>
  </si>
  <si>
    <t>Добици од дериватних финансијских инструмената</t>
  </si>
  <si>
    <t>ж) Приходи од активирања или потрошње робе, готових производа или услуга</t>
  </si>
  <si>
    <t>Приходи од продаје производа у Федерацији БиХ и приходи од продаје производа повезаним правним лицима у Федерацији БиХ</t>
  </si>
  <si>
    <t>Приходи од продаје производа у Републици Српској и приходи од продаје производа повезаним правним лицима у Републици Српско</t>
  </si>
  <si>
    <t>Приходи од продаје производа у Брчко Дистрикту и приходи од продаје производа повезаним правним лицима у Брчко Дистрикту</t>
  </si>
  <si>
    <t>Приходи од пружених услуга  у Федерацији БиХ и приходи од пружених услуга повезаним правним лицима у Федерацији БиХ</t>
  </si>
  <si>
    <t>Приходи од пружених услуга  у Брчко Дистрикту и приходи од пружених услуга повезаним правним лицима у Брчко Дистрикту</t>
  </si>
  <si>
    <t>Приходи од пружених услуга  у Републици Српској и приходи од пружених услуга повезаним правним лицима у Републици Српској</t>
  </si>
  <si>
    <t xml:space="preserve">Prihodi od pruženih usluga u Republici Srpskoj i prihodi od pruženih usluga povezanim pravnim licima u Republici Srpskoj  </t>
  </si>
  <si>
    <t>Income from sales of products in RS and income from sales of products to related legal entities in RS</t>
  </si>
  <si>
    <t>Income from sales of products in FBiH and income from sales of products to related legal entities in FBiH</t>
  </si>
  <si>
    <t>Income from sales of products in BD and income from sales of products to related legal entities in BD</t>
  </si>
  <si>
    <t>Income from sales of services in RS and income from sales of services  to related legal entities in RS</t>
  </si>
  <si>
    <t>Income from sales of services in FBIH and income from sales of services  to related legal entities in FBIH</t>
  </si>
  <si>
    <t>Income from sales of services in BD and income from sales of services  to related legal entities in BD</t>
  </si>
  <si>
    <t>g) Dividend income</t>
  </si>
  <si>
    <t>h) Revenues from the activation or consumption of goods, finished products or services</t>
  </si>
  <si>
    <t>Of which: gains from the sale of real estate, plant and equipment</t>
  </si>
  <si>
    <t>Gains from derivative financial instruments</t>
  </si>
  <si>
    <t>COSTS OF SALARIES, WAGE COMPENSATION AND OTHER PERSONAL INCOME</t>
  </si>
  <si>
    <t>EXPENSES OF PRODUCTION SERVICES (637 + 638 + 639 + 640 + 641 + 642 + 643 + 644)</t>
  </si>
  <si>
    <t>a) Other services expenses</t>
  </si>
  <si>
    <t>Calculated (invoiced) value added tax (cumulative turnover of account)</t>
  </si>
  <si>
    <r>
      <t>e) Troškovi poreza na proizvodnju</t>
    </r>
    <r>
      <rPr>
        <vertAlign val="superscript"/>
        <sz val="10"/>
        <rFont val="Calibri"/>
        <family val="2"/>
      </rPr>
      <t>4</t>
    </r>
    <r>
      <rPr>
        <sz val="10"/>
        <rFont val="Calibri"/>
        <family val="2"/>
      </rPr>
      <t>: na imovinu, na zemljište, za korišćenje voda i šuma, za protivpožarnu zaštitu i sl.</t>
    </r>
  </si>
  <si>
    <r>
      <t>đ) Troškovi poreza na proizvode</t>
    </r>
    <r>
      <rPr>
        <vertAlign val="superscript"/>
        <sz val="10"/>
        <rFont val="Calibri"/>
        <family val="2"/>
      </rPr>
      <t>3</t>
    </r>
    <r>
      <rPr>
        <sz val="10"/>
        <rFont val="Calibri"/>
        <family val="2"/>
      </rPr>
      <t>, carine, boravišne takse, porez na igre na sreću i sl.</t>
    </r>
  </si>
  <si>
    <r>
      <t>Od toga: prihodi po osnovu subvencija na proizvode</t>
    </r>
    <r>
      <rPr>
        <vertAlign val="superscript"/>
        <sz val="10"/>
        <rFont val="Calibri"/>
        <family val="2"/>
      </rPr>
      <t>1</t>
    </r>
    <r>
      <rPr>
        <sz val="10"/>
        <rFont val="Calibri"/>
        <family val="2"/>
      </rPr>
      <t xml:space="preserve"> (subvencije koje se mogu prikazati po jedinici proizvoda, npr. vozna karta, brašno, hljeb, mlijeko i dr.)</t>
    </r>
  </si>
  <si>
    <r>
      <t>Od toga: prihodi po osnovu subvencija na proizvodnju</t>
    </r>
    <r>
      <rPr>
        <vertAlign val="superscript"/>
        <sz val="10"/>
        <rFont val="Calibri"/>
        <family val="2"/>
      </rPr>
      <t>2</t>
    </r>
    <r>
      <rPr>
        <sz val="10"/>
        <rFont val="Calibri"/>
        <family val="2"/>
      </rPr>
      <t xml:space="preserve"> (na zapošljavanje, platu, kamatnu stopu, za smanjenje zagađenja i dr.)</t>
    </r>
  </si>
  <si>
    <r>
      <t>Од тога: приходи по основу субвенција на производе</t>
    </r>
    <r>
      <rPr>
        <vertAlign val="superscript"/>
        <sz val="10"/>
        <rFont val="Calibri"/>
        <family val="2"/>
      </rPr>
      <t>1</t>
    </r>
    <r>
      <rPr>
        <sz val="10"/>
        <rFont val="Calibri"/>
        <family val="2"/>
      </rPr>
      <t xml:space="preserve"> (субвенције које се могу приказати по јединици производа, нпр. возна карта, брашно, хљеб, млијеко и др.)</t>
    </r>
  </si>
  <si>
    <r>
      <t>Од тога: приходи по основу субвенција на производњу</t>
    </r>
    <r>
      <rPr>
        <vertAlign val="superscript"/>
        <sz val="10"/>
        <rFont val="Calibri"/>
        <family val="2"/>
      </rPr>
      <t>2</t>
    </r>
    <r>
      <rPr>
        <sz val="10"/>
        <rFont val="Calibri"/>
        <family val="2"/>
      </rPr>
      <t xml:space="preserve"> (на запошљавање, плату, каматну стопу, за смањење загађења и др.)</t>
    </r>
  </si>
  <si>
    <r>
      <t>Of which: income from product subsidies</t>
    </r>
    <r>
      <rPr>
        <vertAlign val="superscript"/>
        <sz val="10"/>
        <rFont val="Calibri"/>
        <family val="2"/>
      </rPr>
      <t>1</t>
    </r>
    <r>
      <rPr>
        <sz val="10"/>
        <rFont val="Calibri"/>
        <family val="2"/>
      </rPr>
      <t xml:space="preserve"> (subsidies that could be displayed per product unit, e.g. traveler ticket, flour, bread, milk, etc.)</t>
    </r>
  </si>
  <si>
    <r>
      <t>Of which: income from subsidies given for production</t>
    </r>
    <r>
      <rPr>
        <vertAlign val="superscript"/>
        <sz val="10"/>
        <rFont val="Calibri"/>
        <family val="2"/>
      </rPr>
      <t>2</t>
    </r>
    <r>
      <rPr>
        <sz val="10"/>
        <rFont val="Calibri"/>
        <family val="2"/>
      </rPr>
      <t xml:space="preserve"> (hiring, salary, interest rate, reduction of pollution, etc.)</t>
    </r>
  </si>
  <si>
    <r>
      <t xml:space="preserve"> В том числе: доходы от субсидий на продукцию</t>
    </r>
    <r>
      <rPr>
        <vertAlign val="superscript"/>
        <sz val="10"/>
        <rFont val="Calibri"/>
        <family val="2"/>
        <charset val="238"/>
      </rPr>
      <t>1</t>
    </r>
    <r>
      <rPr>
        <sz val="10"/>
        <rFont val="Calibri"/>
        <family val="2"/>
        <charset val="238"/>
      </rPr>
      <t xml:space="preserve"> (субсидии, которые могут отображаться по единице продукции, например, проездной билет, мука, хлеб, молоко и т.д.)</t>
    </r>
  </si>
  <si>
    <r>
      <t xml:space="preserve"> Доходы от субсидий на производство</t>
    </r>
    <r>
      <rPr>
        <vertAlign val="superscript"/>
        <sz val="10"/>
        <rFont val="Calibri"/>
        <family val="2"/>
        <charset val="238"/>
      </rPr>
      <t>2</t>
    </r>
    <r>
      <rPr>
        <sz val="10"/>
        <rFont val="Calibri"/>
        <family val="2"/>
        <charset val="238"/>
      </rPr>
      <t xml:space="preserve"> (на трудоустройство, заработную плату, процентные ставки, на уменьшение загрязнения и т.д.)</t>
    </r>
  </si>
  <si>
    <r>
      <t>ђ) Трошкови пореза на производе</t>
    </r>
    <r>
      <rPr>
        <vertAlign val="superscript"/>
        <sz val="10"/>
        <rFont val="Calibri"/>
        <family val="2"/>
      </rPr>
      <t>3</t>
    </r>
    <r>
      <rPr>
        <sz val="10"/>
        <rFont val="Calibri"/>
        <family val="2"/>
      </rPr>
      <t>, царине, боравишне таксе, порез на игре на срећу и сл.</t>
    </r>
  </si>
  <si>
    <r>
      <t>е) Трошкови пореза на производњу</t>
    </r>
    <r>
      <rPr>
        <vertAlign val="superscript"/>
        <sz val="10"/>
        <rFont val="Calibri"/>
        <family val="2"/>
      </rPr>
      <t>4</t>
    </r>
    <r>
      <rPr>
        <sz val="10"/>
        <rFont val="Calibri"/>
        <family val="2"/>
      </rPr>
      <t>: на имовину, на земљиште, за коришћење вода и шума, за противпожарну заштиту и сл.</t>
    </r>
  </si>
  <si>
    <r>
      <t>f) Taxes on products</t>
    </r>
    <r>
      <rPr>
        <vertAlign val="superscript"/>
        <sz val="10"/>
        <rFont val="Calibri"/>
        <family val="2"/>
      </rPr>
      <t>3</t>
    </r>
    <r>
      <rPr>
        <sz val="10"/>
        <rFont val="Calibri"/>
        <family val="2"/>
      </rPr>
      <t>, duties, residential tax, gambling tax, etc.</t>
    </r>
  </si>
  <si>
    <r>
      <t>g) Taxes on production</t>
    </r>
    <r>
      <rPr>
        <vertAlign val="superscript"/>
        <sz val="10"/>
        <rFont val="Calibri"/>
        <family val="2"/>
      </rPr>
      <t>4</t>
    </r>
    <r>
      <rPr>
        <sz val="10"/>
        <rFont val="Calibri"/>
        <family val="2"/>
      </rPr>
      <t>: property and land taxes, taxes for water and forest, fire protection, etc.</t>
    </r>
  </si>
  <si>
    <r>
      <t>Расходы по налогам на продукцию</t>
    </r>
    <r>
      <rPr>
        <vertAlign val="superscript"/>
        <sz val="10"/>
        <rFont val="Calibri"/>
        <family val="2"/>
        <charset val="238"/>
      </rPr>
      <t>3</t>
    </r>
    <r>
      <rPr>
        <sz val="10"/>
        <rFont val="Calibri"/>
        <family val="2"/>
        <charset val="238"/>
      </rPr>
      <t>, тамож. расходы, жилищный налог, налог на лотерею и т.п.</t>
    </r>
  </si>
  <si>
    <r>
      <t>Расходы по налогам на производство</t>
    </r>
    <r>
      <rPr>
        <vertAlign val="superscript"/>
        <sz val="10"/>
        <rFont val="Calibri"/>
        <family val="2"/>
        <charset val="238"/>
      </rPr>
      <t>4</t>
    </r>
    <r>
      <rPr>
        <sz val="10"/>
        <rFont val="Calibri"/>
        <family val="2"/>
        <charset val="238"/>
      </rPr>
      <t>: на имущество, землю, использование леса, воды, противопожарную защиту и т.п.</t>
    </r>
  </si>
  <si>
    <t>Напомена 1.</t>
  </si>
  <si>
    <t>Напомена 2.</t>
  </si>
  <si>
    <t>Напомена 3.</t>
  </si>
  <si>
    <t>Напомена 4.</t>
  </si>
  <si>
    <t>Napomena 1.</t>
  </si>
  <si>
    <t>Napomena 2.</t>
  </si>
  <si>
    <t>Napomena 3.</t>
  </si>
  <si>
    <t>Napomena 4.</t>
  </si>
  <si>
    <t>Note 4.</t>
  </si>
  <si>
    <t>Note 2.</t>
  </si>
  <si>
    <t>Note 1.</t>
  </si>
  <si>
    <t>Note 3.</t>
  </si>
  <si>
    <t>Napomene</t>
  </si>
  <si>
    <t>Nota_1</t>
  </si>
  <si>
    <t>Nota_2</t>
  </si>
  <si>
    <t>Nota_3</t>
  </si>
  <si>
    <t>Nota_4</t>
  </si>
  <si>
    <r>
      <rPr>
        <vertAlign val="superscript"/>
        <sz val="10"/>
        <rFont val="Calibri"/>
        <family val="2"/>
      </rPr>
      <t>1</t>
    </r>
    <r>
      <rPr>
        <sz val="10"/>
        <rFont val="Calibri"/>
        <family val="2"/>
      </rPr>
      <t xml:space="preserve"> Product subsidies include subsidies that can be shown per product unit, i.e. The amount of these subsidies depends on the volume of production (e.g. train ticket, flour, bread, milk, etc.).</t>
    </r>
  </si>
  <si>
    <r>
      <rPr>
        <vertAlign val="superscript"/>
        <sz val="10"/>
        <rFont val="Calibri"/>
        <family val="2"/>
      </rPr>
      <t xml:space="preserve">2 </t>
    </r>
    <r>
      <rPr>
        <sz val="10"/>
        <rFont val="Calibri"/>
        <family val="2"/>
      </rPr>
      <t>Production subsidies include subsidies that cannot be shown per unit of product or service (e.g. employment, salary, interest rate, for reducing pollution, etc.).</t>
    </r>
  </si>
  <si>
    <r>
      <rPr>
        <vertAlign val="superscript"/>
        <sz val="10"/>
        <rFont val="Calibri"/>
        <family val="2"/>
      </rPr>
      <t>3</t>
    </r>
    <r>
      <rPr>
        <sz val="10"/>
        <rFont val="Calibri"/>
        <family val="2"/>
      </rPr>
      <t xml:space="preserve"> Taxes on products depend on the quantity or value of goods and services produced (e.g. customs duties, residence taxes, tax on games of chance, etc.).</t>
    </r>
  </si>
  <si>
    <r>
      <rPr>
        <vertAlign val="superscript"/>
        <sz val="10"/>
        <rFont val="Calibri"/>
        <family val="2"/>
      </rPr>
      <t xml:space="preserve">4 </t>
    </r>
    <r>
      <rPr>
        <sz val="10"/>
        <rFont val="Calibri"/>
        <family val="2"/>
      </rPr>
      <t>Taxes on production include all taxes charged by the reporting entity due to engagement in production, regardless of the quantity or value of derived goods and services (e.g. on property, on land, for the use of water and forests, for fire protection, etc.).</t>
    </r>
  </si>
  <si>
    <r>
      <rPr>
        <vertAlign val="superscript"/>
        <sz val="10"/>
        <rFont val="Calibri"/>
        <family val="2"/>
      </rPr>
      <t xml:space="preserve">3 </t>
    </r>
    <r>
      <rPr>
        <sz val="10"/>
        <rFont val="Calibri"/>
        <family val="2"/>
      </rPr>
      <t>Налоги на продукты зависят от количества или стоимости произведенных товаров и услуг (например: таможенные пошлины, налоги на проживание, налог на азартные игры и т. д.).</t>
    </r>
  </si>
  <si>
    <t>е) Доход от дивидендов</t>
  </si>
  <si>
    <t>ж) Доходы от реализации или потребления товаров, готовой продукции или услуг</t>
  </si>
  <si>
    <t>ђ) Доходы от целевых источников финансирования (из бюджета, фондов и т.п.)</t>
  </si>
  <si>
    <t>з) Прочие операционные доходы по иным основаниям</t>
  </si>
  <si>
    <r>
      <rPr>
        <vertAlign val="superscript"/>
        <sz val="11"/>
        <rFont val="Calibri"/>
        <family val="2"/>
      </rPr>
      <t>2</t>
    </r>
    <r>
      <rPr>
        <sz val="10"/>
        <rFont val="Calibri"/>
        <family val="2"/>
      </rPr>
      <t xml:space="preserve"> Производственные субсидии включают субсидии, которые не могут быть указаны на единицу продукции или услуги (на пример: на занятость, заработную плату, процентную ставку, на снижение загрязнения и т. д.).</t>
    </r>
  </si>
  <si>
    <r>
      <rPr>
        <vertAlign val="superscript"/>
        <sz val="10"/>
        <rFont val="Calibri"/>
        <family val="2"/>
      </rPr>
      <t xml:space="preserve">2 </t>
    </r>
    <r>
      <rPr>
        <sz val="10"/>
        <rFont val="Calibri"/>
        <family val="2"/>
      </rPr>
      <t>Субвенције на производњу обухватају субвенције које се не могу исказати по јединици производа или услуге  (нпр. запошљавање, плату, каматну стопу, за смањење загађења и сл.).</t>
    </r>
  </si>
  <si>
    <r>
      <rPr>
        <vertAlign val="superscript"/>
        <sz val="10"/>
        <rFont val="Calibri"/>
        <family val="2"/>
      </rPr>
      <t>1</t>
    </r>
    <r>
      <rPr>
        <sz val="10"/>
        <rFont val="Calibri"/>
        <family val="2"/>
      </rPr>
      <t xml:space="preserve"> Субвенције на производе обухватају субвенције које се могу исказати по јединици производа, тј. износ ових субвенција зависи од обима производње (нпр. возна карта, брашно, хљеб, млијеко и сл.).</t>
    </r>
  </si>
  <si>
    <r>
      <rPr>
        <vertAlign val="superscript"/>
        <sz val="10"/>
        <rFont val="Calibri"/>
        <family val="2"/>
      </rPr>
      <t>3</t>
    </r>
    <r>
      <rPr>
        <sz val="10"/>
        <rFont val="Calibri"/>
        <family val="2"/>
      </rPr>
      <t xml:space="preserve"> Порези на производе зависе од количине или вриједности произведених добара и услуга (нпр. царине, боравишне таксе, порез на игре на срећу и сл.).</t>
    </r>
  </si>
  <si>
    <r>
      <rPr>
        <vertAlign val="superscript"/>
        <sz val="10"/>
        <rFont val="Calibri"/>
        <family val="2"/>
      </rPr>
      <t>4</t>
    </r>
    <r>
      <rPr>
        <sz val="10"/>
        <rFont val="Calibri"/>
        <family val="2"/>
      </rPr>
      <t xml:space="preserve"> Порези на производњу укључују све порезе који терете извјештајни ентитет због ангажовања у производњи, независно од количине или вриједности произведених добара и услуга (нпр. на имовину, на земљиште, за коришћење вода и шума, за противпожарну заштиту и сл.).</t>
    </r>
  </si>
  <si>
    <r>
      <rPr>
        <vertAlign val="superscript"/>
        <sz val="10"/>
        <rFont val="Calibri"/>
        <family val="2"/>
      </rPr>
      <t xml:space="preserve">2 </t>
    </r>
    <r>
      <rPr>
        <sz val="10"/>
        <rFont val="Calibri"/>
        <family val="2"/>
      </rPr>
      <t>Subvencije na proizvodnju obuhvataju subvencije koje se ne mogu iskazati po jedinici proizvoda ili usluge  (npr. zapošljavanje, platu, kamatnu stopu, za smanjenje zagađenja i sl.).</t>
    </r>
  </si>
  <si>
    <r>
      <rPr>
        <vertAlign val="superscript"/>
        <sz val="10"/>
        <rFont val="Calibri"/>
        <family val="2"/>
      </rPr>
      <t>1</t>
    </r>
    <r>
      <rPr>
        <sz val="10"/>
        <rFont val="Calibri"/>
        <family val="2"/>
      </rPr>
      <t xml:space="preserve"> Subvencije na proizvode obuhvataju subvencije koje se mogu iskazati po jedinici proizvoda, tj. iznos ovih subvencija zavisi od obima proizvodnje (npr. vozna karta, brašno, hljeb, mlijeko i sl.).</t>
    </r>
  </si>
  <si>
    <r>
      <rPr>
        <vertAlign val="superscript"/>
        <sz val="10"/>
        <rFont val="Calibri"/>
        <family val="2"/>
      </rPr>
      <t>3</t>
    </r>
    <r>
      <rPr>
        <sz val="10"/>
        <rFont val="Calibri"/>
        <family val="2"/>
      </rPr>
      <t xml:space="preserve"> Porezi na proizvode zavise od količine ili vrijednosti proizvedenih dobara i usluga (npr. carine, boravišne takse, porez na igre na sreću i sl.).</t>
    </r>
  </si>
  <si>
    <r>
      <rPr>
        <vertAlign val="superscript"/>
        <sz val="10"/>
        <rFont val="Calibri"/>
        <family val="2"/>
      </rPr>
      <t>4</t>
    </r>
    <r>
      <rPr>
        <sz val="10"/>
        <rFont val="Calibri"/>
        <family val="2"/>
      </rPr>
      <t xml:space="preserve"> Porezi na proizvodnju uključuju sve poreze koji terete izvještajni entitet zbog angažovanja u proizvodnji, nezavisno od količine ili vrijednosti proizvedenih dobara i usluga (npr. na imovinu, na zemljište, za korišćenje voda i šuma, za protivpožarnu zaštitu i sl.).</t>
    </r>
  </si>
  <si>
    <r>
      <rPr>
        <vertAlign val="superscript"/>
        <sz val="10"/>
        <rFont val="Calibri"/>
        <family val="2"/>
      </rPr>
      <t xml:space="preserve">1 </t>
    </r>
    <r>
      <rPr>
        <sz val="10"/>
        <rFont val="Calibri"/>
        <family val="2"/>
      </rPr>
      <t>Субсидии на продукты включают субсидии, которые могут быть указаны на единицу продукта, т.е. размер этих субсидий зависит от объема производства (например: железнодорожный билет, мука, хлеб, молоко и т. д.).</t>
    </r>
  </si>
  <si>
    <r>
      <rPr>
        <vertAlign val="superscript"/>
        <sz val="10"/>
        <rFont val="Calibri"/>
        <family val="2"/>
      </rPr>
      <t>4</t>
    </r>
    <r>
      <rPr>
        <sz val="10"/>
        <rFont val="Calibri"/>
        <family val="2"/>
      </rPr>
      <t xml:space="preserve"> Налоги на производство включают все налоги, которые взимают с отчитывающейся организации, участвующей в производстве, независимо от количества или стоимости предоставленных товаров и услуг (например, на имущество, на землю, за использование воды и сточных вод, за противопожарную защиту и т. д.). </t>
    </r>
  </si>
  <si>
    <t>е) Приходи од дивиденди</t>
  </si>
  <si>
    <t>з) Остали пословни приходи по другим основима</t>
  </si>
  <si>
    <t>i) Other operating incomes from other sources</t>
  </si>
  <si>
    <t>v) Prihod od donacija</t>
  </si>
  <si>
    <t>g) Prihod od članarina</t>
  </si>
  <si>
    <t>d) Prihod od tantijema i licencnih prava</t>
  </si>
  <si>
    <t>đ) Prihod iz namjenskih izvora finansiranja (iz budžeta, fondova i dr.)</t>
  </si>
  <si>
    <t>e) Prihodi od dividendi</t>
  </si>
  <si>
    <t>ž) Prihodi od aktiviranja ili potrošnje robe, gotovih proizvoda ili usluga</t>
  </si>
  <si>
    <t>z) Ostali poslovni prihodi po drugim osnovima</t>
  </si>
  <si>
    <t>2. Concessions, patents, licenses, software and similar rights</t>
  </si>
  <si>
    <t>Čistoća AD Banja Luka</t>
  </si>
  <si>
    <t>Braće Podgornika 2 Banja Luka</t>
  </si>
  <si>
    <t>Banja Luci</t>
  </si>
  <si>
    <t>Ljupko Miletić</t>
  </si>
  <si>
    <t>SR-1057/26</t>
  </si>
  <si>
    <t>Aleksandar Bajić</t>
  </si>
  <si>
    <t>Braće Podgornika 2</t>
  </si>
  <si>
    <t>www.cistocabl.com</t>
  </si>
  <si>
    <t>cistoca@teol.net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</si>
</sst>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0"/>
    <numFmt numFmtId="166" formatCode="General;;"/>
    <numFmt numFmtId="167" formatCode="000;;"/>
    <numFmt numFmtId="168" formatCode="#,##0;;"/>
    <numFmt numFmtId="169" formatCode="#;;"/>
    <numFmt numFmtId="170" formatCode=";;;@"/>
    <numFmt numFmtId="171" formatCode="&quot;Da&quot;;\ \-\ ;\ &quot;Ne&quot;"/>
    <numFmt numFmtId="172" formatCode="#,##0.0000"/>
    <numFmt numFmtId="173" formatCode="_-* #,##0_-;\-* #,##0_-;_-* &quot;-&quot;??_-;_-@_-"/>
  </numFmts>
  <fonts count="51" x14ac:knownFonts="1">
    <font>
      <sz val="10"/>
      <name val="Calibri"/>
      <family val="2"/>
    </font>
    <font>
      <sz val="11"/>
      <color theme="1"/>
      <name val="Calibri"/>
      <family val="2"/>
      <scheme val="minor"/>
    </font>
    <font>
      <sz val="8"/>
      <name val="Arial"/>
      <family val="2"/>
      <charset val="238"/>
    </font>
    <font>
      <b/>
      <sz val="11"/>
      <name val="Calibri"/>
      <family val="2"/>
    </font>
    <font>
      <b/>
      <sz val="12"/>
      <name val="Calibri"/>
      <family val="2"/>
    </font>
    <font>
      <b/>
      <sz val="10"/>
      <name val="Calibri"/>
      <family val="2"/>
    </font>
    <font>
      <sz val="10"/>
      <name val="Calibri"/>
      <family val="2"/>
    </font>
    <font>
      <sz val="11"/>
      <name val="Calibri"/>
      <family val="2"/>
    </font>
    <font>
      <u/>
      <sz val="11"/>
      <name val="Calibri"/>
      <family val="2"/>
    </font>
    <font>
      <sz val="9"/>
      <color indexed="81"/>
      <name val="Tahoma"/>
      <family val="2"/>
    </font>
    <font>
      <b/>
      <u/>
      <sz val="11"/>
      <name val="Calibri"/>
      <family val="2"/>
    </font>
    <font>
      <b/>
      <sz val="10.5"/>
      <name val="Calibri"/>
      <family val="2"/>
    </font>
    <font>
      <b/>
      <sz val="10"/>
      <color rgb="FFFA7D00"/>
      <name val="Calibri"/>
      <family val="2"/>
      <charset val="238"/>
      <scheme val="minor"/>
    </font>
    <font>
      <sz val="11"/>
      <color rgb="FF006100"/>
      <name val="Calibri"/>
      <family val="2"/>
      <charset val="238"/>
      <scheme val="minor"/>
    </font>
    <font>
      <u/>
      <sz val="10"/>
      <color theme="10"/>
      <name val="Arial"/>
      <family val="2"/>
    </font>
    <font>
      <sz val="11"/>
      <color theme="1"/>
      <name val="Calibri"/>
      <family val="2"/>
      <scheme val="minor"/>
    </font>
    <font>
      <b/>
      <sz val="10"/>
      <color theme="0"/>
      <name val="Calibri"/>
      <family val="2"/>
    </font>
    <font>
      <sz val="10"/>
      <color rgb="FF006100"/>
      <name val="Calibri"/>
      <family val="2"/>
      <charset val="238"/>
      <scheme val="minor"/>
    </font>
    <font>
      <b/>
      <sz val="11"/>
      <color rgb="FF454F67"/>
      <name val="Calibri"/>
      <family val="2"/>
    </font>
    <font>
      <b/>
      <sz val="14"/>
      <color rgb="FF454F67"/>
      <name val="Calibri"/>
      <family val="2"/>
    </font>
    <font>
      <sz val="11"/>
      <color theme="5" tint="-0.249977111117893"/>
      <name val="Calibri"/>
      <family val="2"/>
    </font>
    <font>
      <sz val="11"/>
      <color theme="5"/>
      <name val="Calibri"/>
      <family val="2"/>
    </font>
    <font>
      <b/>
      <sz val="11"/>
      <color theme="1"/>
      <name val="Calibri"/>
      <family val="2"/>
      <scheme val="minor"/>
    </font>
    <font>
      <b/>
      <sz val="12"/>
      <color theme="1"/>
      <name val="Calibri"/>
      <family val="2"/>
      <scheme val="minor"/>
    </font>
    <font>
      <sz val="9"/>
      <name val="Calibri"/>
      <family val="2"/>
    </font>
    <font>
      <sz val="11"/>
      <color rgb="FF3F3F76"/>
      <name val="Calibri"/>
      <family val="2"/>
      <charset val="238"/>
      <scheme val="minor"/>
    </font>
    <font>
      <sz val="10"/>
      <color theme="1"/>
      <name val="Calibri"/>
      <family val="2"/>
    </font>
    <font>
      <sz val="8"/>
      <name val="Calibri"/>
      <family val="2"/>
    </font>
    <font>
      <sz val="10"/>
      <color theme="1"/>
      <name val="Times New Roman"/>
      <family val="1"/>
    </font>
    <font>
      <sz val="10"/>
      <color theme="1"/>
      <name val="Calibri"/>
      <family val="2"/>
      <scheme val="minor"/>
    </font>
    <font>
      <b/>
      <sz val="10"/>
      <color theme="1"/>
      <name val="Calibri"/>
      <family val="2"/>
      <scheme val="minor"/>
    </font>
    <font>
      <sz val="9"/>
      <color theme="1"/>
      <name val="Calibri"/>
      <family val="2"/>
      <scheme val="minor"/>
    </font>
    <font>
      <b/>
      <sz val="9"/>
      <color theme="0"/>
      <name val="Calibri"/>
      <family val="2"/>
    </font>
    <font>
      <b/>
      <sz val="10"/>
      <color rgb="FFFA7D00"/>
      <name val="Calibri"/>
      <family val="2"/>
      <scheme val="minor"/>
    </font>
    <font>
      <b/>
      <sz val="10"/>
      <color theme="1"/>
      <name val="Times New Roman"/>
      <family val="1"/>
    </font>
    <font>
      <u/>
      <sz val="10"/>
      <name val="Calibri"/>
      <family val="2"/>
    </font>
    <font>
      <sz val="10"/>
      <name val="Calibri"/>
      <family val="2"/>
      <scheme val="minor"/>
    </font>
    <font>
      <sz val="10"/>
      <name val="Calibri"/>
      <family val="2"/>
      <charset val="238"/>
      <scheme val="minor"/>
    </font>
    <font>
      <sz val="10"/>
      <name val="Calibri"/>
      <family val="2"/>
      <charset val="238"/>
    </font>
    <font>
      <sz val="9"/>
      <name val="Calibri"/>
      <family val="2"/>
      <charset val="238"/>
    </font>
    <font>
      <b/>
      <sz val="10"/>
      <name val="Calibri"/>
      <family val="2"/>
      <charset val="238"/>
    </font>
    <font>
      <b/>
      <sz val="9"/>
      <color indexed="81"/>
      <name val="Tahoma"/>
      <family val="2"/>
      <charset val="238"/>
    </font>
    <font>
      <sz val="9"/>
      <color indexed="81"/>
      <name val="Tahoma"/>
      <family val="2"/>
      <charset val="238"/>
    </font>
    <font>
      <b/>
      <sz val="9"/>
      <name val="Calibri"/>
      <family val="2"/>
    </font>
    <font>
      <sz val="10"/>
      <color rgb="FFFF0000"/>
      <name val="Calibri"/>
      <family val="2"/>
    </font>
    <font>
      <sz val="11"/>
      <color rgb="FFFF0000"/>
      <name val="Calibri"/>
      <family val="2"/>
    </font>
    <font>
      <b/>
      <sz val="10"/>
      <color rgb="FFFF0000"/>
      <name val="Calibri"/>
      <family val="2"/>
    </font>
    <font>
      <vertAlign val="superscript"/>
      <sz val="10"/>
      <name val="Calibri"/>
      <family val="2"/>
    </font>
    <font>
      <vertAlign val="superscript"/>
      <sz val="10"/>
      <name val="Calibri"/>
      <family val="2"/>
      <charset val="238"/>
    </font>
    <font>
      <vertAlign val="superscript"/>
      <sz val="11"/>
      <name val="Calibri"/>
      <family val="2"/>
    </font>
    <font>
      <sz val="8"/>
      <name val="Segoe UI"/>
      <family val="2"/>
    </font>
  </fonts>
  <fills count="23">
    <fill>
      <patternFill patternType="none"/>
    </fill>
    <fill>
      <patternFill patternType="gray125"/>
    </fill>
    <fill>
      <patternFill patternType="solid">
        <fgColor indexed="45"/>
      </patternFill>
    </fill>
    <fill>
      <patternFill patternType="solid">
        <fgColor indexed="61"/>
        <bgColor indexed="64"/>
      </patternFill>
    </fill>
    <fill>
      <patternFill patternType="solid">
        <fgColor indexed="45"/>
        <bgColor indexed="64"/>
      </patternFill>
    </fill>
    <fill>
      <patternFill patternType="solid">
        <fgColor indexed="65"/>
      </patternFill>
    </fill>
    <fill>
      <patternFill patternType="solid">
        <fgColor rgb="FFF2F2F2"/>
      </patternFill>
    </fill>
    <fill>
      <patternFill patternType="solid">
        <fgColor rgb="FFC6EFCE"/>
      </patternFill>
    </fill>
    <fill>
      <patternFill patternType="lightGray">
        <fgColor rgb="FFDDDDDD"/>
      </patternFill>
    </fill>
    <fill>
      <patternFill patternType="lightGray">
        <fgColor rgb="FFC0C0C0"/>
      </patternFill>
    </fill>
    <fill>
      <patternFill patternType="solid">
        <fgColor rgb="FFEAEAEA"/>
        <bgColor indexed="64"/>
      </patternFill>
    </fill>
    <fill>
      <patternFill patternType="solid">
        <fgColor rgb="FFFFFF00"/>
        <bgColor indexed="64"/>
      </patternFill>
    </fill>
    <fill>
      <patternFill patternType="solid">
        <fgColor rgb="FF454F67"/>
        <bgColor indexed="64"/>
      </patternFill>
    </fill>
    <fill>
      <patternFill patternType="solid">
        <fgColor rgb="FFFFCC99"/>
      </patternFill>
    </fill>
    <fill>
      <patternFill patternType="solid">
        <fgColor theme="8"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E4E4E4"/>
        <bgColor indexed="64"/>
      </patternFill>
    </fill>
    <fill>
      <patternFill patternType="solid">
        <fgColor theme="0" tint="-4.9989318521683403E-2"/>
        <bgColor indexed="64"/>
      </patternFill>
    </fill>
    <fill>
      <patternFill patternType="solid">
        <fgColor rgb="FFE8E8E8"/>
        <bgColor indexed="64"/>
      </patternFill>
    </fill>
  </fills>
  <borders count="16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style="dashed">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bottom/>
      <diagonal/>
    </border>
    <border>
      <left style="thin">
        <color indexed="22"/>
      </left>
      <right style="thin">
        <color indexed="8"/>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bottom style="dashed">
        <color indexed="64"/>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64"/>
      </bottom>
      <diagonal/>
    </border>
    <border>
      <left/>
      <right/>
      <top style="thin">
        <color indexed="64"/>
      </top>
      <bottom/>
      <diagonal/>
    </border>
    <border>
      <left style="thin">
        <color indexed="64"/>
      </left>
      <right style="thin">
        <color indexed="22"/>
      </right>
      <top/>
      <bottom/>
      <diagonal/>
    </border>
    <border>
      <left/>
      <right/>
      <top style="thin">
        <color indexed="64"/>
      </top>
      <bottom style="thin">
        <color indexed="64"/>
      </bottom>
      <diagonal/>
    </border>
    <border>
      <left/>
      <right style="thin">
        <color indexed="22"/>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22"/>
      </top>
      <bottom style="thin">
        <color indexed="22"/>
      </bottom>
      <diagonal/>
    </border>
    <border>
      <left style="thin">
        <color indexed="64"/>
      </left>
      <right style="thin">
        <color indexed="22"/>
      </right>
      <top style="thin">
        <color indexed="64"/>
      </top>
      <bottom/>
      <diagonal/>
    </border>
    <border>
      <left/>
      <right/>
      <top style="thin">
        <color indexed="22"/>
      </top>
      <bottom style="thin">
        <color indexed="64"/>
      </bottom>
      <diagonal/>
    </border>
    <border>
      <left style="thin">
        <color indexed="22"/>
      </left>
      <right/>
      <top style="thin">
        <color indexed="64"/>
      </top>
      <bottom/>
      <diagonal/>
    </border>
    <border>
      <left/>
      <right style="thin">
        <color indexed="22"/>
      </right>
      <top style="thin">
        <color indexed="64"/>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indexed="22"/>
      </left>
      <right style="thin">
        <color indexed="64"/>
      </right>
      <top/>
      <bottom style="thin">
        <color indexed="22"/>
      </bottom>
      <diagonal/>
    </border>
    <border>
      <left/>
      <right/>
      <top/>
      <bottom style="thin">
        <color indexed="22"/>
      </bottom>
      <diagonal/>
    </border>
    <border>
      <left style="thin">
        <color rgb="FF7F7F7F"/>
      </left>
      <right style="thin">
        <color rgb="FF7F7F7F"/>
      </right>
      <top style="thin">
        <color rgb="FF7F7F7F"/>
      </top>
      <bottom style="thin">
        <color rgb="FF7F7F7F"/>
      </bottom>
      <diagonal/>
    </border>
    <border>
      <left style="thin">
        <color rgb="FFDDDDDD"/>
      </left>
      <right style="thin">
        <color rgb="FFDDDDDD"/>
      </right>
      <top style="thin">
        <color rgb="FFDDDDDD"/>
      </top>
      <bottom style="thin">
        <color rgb="FFDDDDDD"/>
      </bottom>
      <diagonal/>
    </border>
    <border>
      <left style="thin">
        <color rgb="FFDDDDDD"/>
      </left>
      <right style="thin">
        <color indexed="64"/>
      </right>
      <top style="thin">
        <color rgb="FFDDDDDD"/>
      </top>
      <bottom style="thin">
        <color rgb="FFDDDDDD"/>
      </bottom>
      <diagonal/>
    </border>
    <border>
      <left style="thin">
        <color indexed="64"/>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indexed="64"/>
      </right>
      <top style="thin">
        <color rgb="FFC0C0C0"/>
      </top>
      <bottom style="thin">
        <color rgb="FFC0C0C0"/>
      </bottom>
      <diagonal/>
    </border>
    <border>
      <left style="thin">
        <color indexed="64"/>
      </left>
      <right style="thin">
        <color rgb="FFC0C0C0"/>
      </right>
      <top style="thin">
        <color rgb="FFC0C0C0"/>
      </top>
      <bottom style="thin">
        <color indexed="64"/>
      </bottom>
      <diagonal/>
    </border>
    <border>
      <left style="thin">
        <color rgb="FFC0C0C0"/>
      </left>
      <right style="thin">
        <color rgb="FFC0C0C0"/>
      </right>
      <top style="thin">
        <color rgb="FFC0C0C0"/>
      </top>
      <bottom style="thin">
        <color indexed="64"/>
      </bottom>
      <diagonal/>
    </border>
    <border>
      <left style="thin">
        <color indexed="64"/>
      </left>
      <right style="thin">
        <color rgb="FFDDDDDD"/>
      </right>
      <top style="thin">
        <color rgb="FFDDDDDD"/>
      </top>
      <bottom/>
      <diagonal/>
    </border>
    <border>
      <left style="thin">
        <color rgb="FFDDDDDD"/>
      </left>
      <right style="thin">
        <color rgb="FFDDDDDD"/>
      </right>
      <top style="thin">
        <color rgb="FFDDDDDD"/>
      </top>
      <bottom/>
      <diagonal/>
    </border>
    <border>
      <left style="thin">
        <color rgb="FFDDDDDD"/>
      </left>
      <right style="thin">
        <color indexed="64"/>
      </right>
      <top style="thin">
        <color rgb="FFDDDDDD"/>
      </top>
      <bottom/>
      <diagonal/>
    </border>
    <border>
      <left style="thin">
        <color indexed="64"/>
      </left>
      <right style="thin">
        <color rgb="FFC0C0C0"/>
      </right>
      <top style="thin">
        <color indexed="64"/>
      </top>
      <bottom style="thin">
        <color rgb="FFC0C0C0"/>
      </bottom>
      <diagonal/>
    </border>
    <border>
      <left style="thin">
        <color rgb="FFC0C0C0"/>
      </left>
      <right style="thin">
        <color rgb="FFC0C0C0"/>
      </right>
      <top style="thin">
        <color indexed="64"/>
      </top>
      <bottom style="thin">
        <color rgb="FFC0C0C0"/>
      </bottom>
      <diagonal/>
    </border>
    <border>
      <left style="thin">
        <color rgb="FFC0C0C0"/>
      </left>
      <right style="thin">
        <color indexed="64"/>
      </right>
      <top style="thin">
        <color indexed="64"/>
      </top>
      <bottom style="thin">
        <color rgb="FFC0C0C0"/>
      </bottom>
      <diagonal/>
    </border>
    <border>
      <left style="thin">
        <color rgb="FFC0C0C0"/>
      </left>
      <right style="thin">
        <color indexed="64"/>
      </right>
      <top style="thin">
        <color rgb="FFC0C0C0"/>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bottom style="thick">
        <color theme="0"/>
      </bottom>
      <diagonal/>
    </border>
    <border>
      <left style="thin">
        <color theme="0"/>
      </left>
      <right/>
      <top style="thin">
        <color theme="0"/>
      </top>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DDDDDD"/>
      </left>
      <right style="thin">
        <color rgb="FFDDDDDD"/>
      </right>
      <top style="thin">
        <color indexed="64"/>
      </top>
      <bottom style="thin">
        <color rgb="FFDDDDDD"/>
      </bottom>
      <diagonal/>
    </border>
    <border>
      <left style="thin">
        <color rgb="FFDDDDDD"/>
      </left>
      <right style="thin">
        <color indexed="64"/>
      </right>
      <top style="thin">
        <color indexed="64"/>
      </top>
      <bottom style="thin">
        <color rgb="FFDDDDDD"/>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indexed="64"/>
      </left>
      <right style="thin">
        <color rgb="FFDDDDDD"/>
      </right>
      <top style="thin">
        <color indexed="64"/>
      </top>
      <bottom style="thin">
        <color rgb="FFDDDDDD"/>
      </bottom>
      <diagonal/>
    </border>
    <border>
      <left style="thin">
        <color indexed="64"/>
      </left>
      <right style="thin">
        <color rgb="FFDDDDDD"/>
      </right>
      <top style="thin">
        <color rgb="FFDDDDDD"/>
      </top>
      <bottom style="thin">
        <color rgb="FFDDDDDD"/>
      </bottom>
      <diagonal/>
    </border>
    <border>
      <left style="thin">
        <color rgb="FFC0C0C0"/>
      </left>
      <right/>
      <top style="thin">
        <color indexed="64"/>
      </top>
      <bottom style="thin">
        <color rgb="FFC0C0C0"/>
      </bottom>
      <diagonal/>
    </border>
    <border>
      <left/>
      <right/>
      <top style="thin">
        <color indexed="64"/>
      </top>
      <bottom style="thin">
        <color rgb="FFC0C0C0"/>
      </bottom>
      <diagonal/>
    </border>
    <border>
      <left/>
      <right style="thin">
        <color rgb="FFC0C0C0"/>
      </right>
      <top style="thin">
        <color indexed="64"/>
      </top>
      <bottom style="thin">
        <color rgb="FFC0C0C0"/>
      </bottom>
      <diagonal/>
    </border>
    <border>
      <left style="thin">
        <color rgb="FFC0C0C0"/>
      </left>
      <right/>
      <top style="thin">
        <color rgb="FFC0C0C0"/>
      </top>
      <bottom style="thin">
        <color indexed="64"/>
      </bottom>
      <diagonal/>
    </border>
    <border>
      <left/>
      <right/>
      <top style="thin">
        <color rgb="FFC0C0C0"/>
      </top>
      <bottom style="thin">
        <color indexed="64"/>
      </bottom>
      <diagonal/>
    </border>
    <border>
      <left/>
      <right style="thin">
        <color rgb="FFC0C0C0"/>
      </right>
      <top style="thin">
        <color rgb="FFC0C0C0"/>
      </top>
      <bottom style="thin">
        <color indexed="64"/>
      </bottom>
      <diagonal/>
    </border>
    <border>
      <left style="thin">
        <color indexed="64"/>
      </left>
      <right style="thin">
        <color indexed="22"/>
      </right>
      <top/>
      <bottom style="thin">
        <color indexed="22"/>
      </bottom>
      <diagonal/>
    </border>
    <border>
      <left style="medium">
        <color indexed="64"/>
      </left>
      <right style="medium">
        <color indexed="64"/>
      </right>
      <top/>
      <bottom style="medium">
        <color indexed="64"/>
      </bottom>
      <diagonal/>
    </border>
    <border>
      <left/>
      <right style="thin">
        <color indexed="22"/>
      </right>
      <top style="thin">
        <color indexed="22"/>
      </top>
      <bottom/>
      <diagonal/>
    </border>
    <border>
      <left style="thin">
        <color indexed="22"/>
      </left>
      <right/>
      <top style="thin">
        <color indexed="22"/>
      </top>
      <bottom/>
      <diagonal/>
    </border>
    <border>
      <left/>
      <right/>
      <top style="thin">
        <color indexed="22"/>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rgb="FFC0C0C0"/>
      </left>
      <right style="thin">
        <color indexed="64"/>
      </right>
      <top style="thin">
        <color indexed="22"/>
      </top>
      <bottom style="thin">
        <color indexed="22"/>
      </bottom>
      <diagonal/>
    </border>
    <border>
      <left style="thin">
        <color rgb="FFDDDDDD"/>
      </left>
      <right style="thin">
        <color rgb="FFDDDDDD"/>
      </right>
      <top style="thin">
        <color indexed="64"/>
      </top>
      <bottom/>
      <diagonal/>
    </border>
    <border>
      <left style="thin">
        <color rgb="FFDDDDDD"/>
      </left>
      <right style="thin">
        <color rgb="FFDDDDDD"/>
      </right>
      <top/>
      <bottom style="thin">
        <color rgb="FFDDDDDD"/>
      </bottom>
      <diagonal/>
    </border>
    <border>
      <left style="thin">
        <color rgb="FFDDDDDD"/>
      </left>
      <right/>
      <top style="thin">
        <color rgb="FFDDDDDD"/>
      </top>
      <bottom style="thin">
        <color indexed="64"/>
      </bottom>
      <diagonal/>
    </border>
    <border>
      <left/>
      <right/>
      <top style="thin">
        <color rgb="FFDDDDDD"/>
      </top>
      <bottom style="thin">
        <color indexed="64"/>
      </bottom>
      <diagonal/>
    </border>
    <border>
      <left/>
      <right style="thin">
        <color rgb="FFDDDDDD"/>
      </right>
      <top style="thin">
        <color rgb="FFDDDDDD"/>
      </top>
      <bottom style="thin">
        <color indexed="64"/>
      </bottom>
      <diagonal/>
    </border>
    <border>
      <left style="thin">
        <color rgb="FFDDDDDD"/>
      </left>
      <right/>
      <top style="thin">
        <color indexed="64"/>
      </top>
      <bottom/>
      <diagonal/>
    </border>
    <border>
      <left/>
      <right style="thin">
        <color rgb="FFDDDDDD"/>
      </right>
      <top style="thin">
        <color indexed="64"/>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indexed="64"/>
      </left>
      <right style="thin">
        <color rgb="FFDDDDDD"/>
      </right>
      <top style="thin">
        <color indexed="64"/>
      </top>
      <bottom/>
      <diagonal/>
    </border>
    <border>
      <left style="thin">
        <color indexed="64"/>
      </left>
      <right style="thin">
        <color rgb="FFDDDDDD"/>
      </right>
      <top/>
      <bottom style="thin">
        <color rgb="FFDDDDDD"/>
      </bottom>
      <diagonal/>
    </border>
    <border>
      <left style="thin">
        <color rgb="FFDDDDDD"/>
      </left>
      <right/>
      <top style="thin">
        <color indexed="64"/>
      </top>
      <bottom style="thin">
        <color rgb="FFDDDDDD"/>
      </bottom>
      <diagonal/>
    </border>
    <border>
      <left/>
      <right style="thin">
        <color indexed="64"/>
      </right>
      <top style="thin">
        <color indexed="64"/>
      </top>
      <bottom style="thin">
        <color rgb="FFDDDDDD"/>
      </bottom>
      <diagonal/>
    </border>
    <border>
      <left/>
      <right style="thin">
        <color rgb="FFDDDDDD"/>
      </right>
      <top style="thin">
        <color indexed="64"/>
      </top>
      <bottom style="thin">
        <color rgb="FFDDDDDD"/>
      </bottom>
      <diagonal/>
    </border>
    <border>
      <left/>
      <right style="thin">
        <color indexed="64"/>
      </right>
      <top style="thin">
        <color indexed="22"/>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22"/>
      </right>
      <top style="thin">
        <color indexed="22"/>
      </top>
      <bottom style="thin">
        <color rgb="FFC0C0C0"/>
      </bottom>
      <diagonal/>
    </border>
    <border>
      <left style="thin">
        <color indexed="64"/>
      </left>
      <right style="thin">
        <color indexed="22"/>
      </right>
      <top style="thin">
        <color rgb="FFC0C0C0"/>
      </top>
      <bottom style="thin">
        <color rgb="FFC0C0C0"/>
      </bottom>
      <diagonal/>
    </border>
    <border>
      <left style="thin">
        <color indexed="64"/>
      </left>
      <right style="thin">
        <color indexed="22"/>
      </right>
      <top style="thin">
        <color rgb="FFC0C0C0"/>
      </top>
      <bottom style="thin">
        <color indexed="64"/>
      </bottom>
      <diagonal/>
    </border>
    <border>
      <left style="thin">
        <color indexed="64"/>
      </left>
      <right style="thin">
        <color indexed="22"/>
      </right>
      <top style="thin">
        <color indexed="22"/>
      </top>
      <bottom style="thin">
        <color auto="1"/>
      </bottom>
      <diagonal/>
    </border>
    <border>
      <left style="thin">
        <color indexed="22"/>
      </left>
      <right style="thin">
        <color rgb="FFC0C0C0"/>
      </right>
      <top style="thin">
        <color rgb="FFC0C0C0"/>
      </top>
      <bottom style="thin">
        <color indexed="64"/>
      </bottom>
      <diagonal/>
    </border>
    <border>
      <left style="thin">
        <color indexed="22"/>
      </left>
      <right style="thin">
        <color indexed="8"/>
      </right>
      <top style="thin">
        <color indexed="22"/>
      </top>
      <bottom style="thin">
        <color indexed="64"/>
      </bottom>
      <diagonal/>
    </border>
    <border>
      <left style="thin">
        <color rgb="FFDDDDDD"/>
      </left>
      <right style="thin">
        <color indexed="64"/>
      </right>
      <top style="thin">
        <color rgb="FFDDDDDD"/>
      </top>
      <bottom style="thin">
        <color indexed="64"/>
      </bottom>
      <diagonal/>
    </border>
    <border>
      <left style="thin">
        <color rgb="FFC0C0C0"/>
      </left>
      <right style="thin">
        <color rgb="FFC0C0C0"/>
      </right>
      <top/>
      <bottom style="thin">
        <color rgb="FFC0C0C0"/>
      </bottom>
      <diagonal/>
    </border>
    <border>
      <left style="thin">
        <color rgb="FFC0C0C0"/>
      </left>
      <right style="thin">
        <color indexed="64"/>
      </right>
      <top/>
      <bottom style="thin">
        <color rgb="FFC0C0C0"/>
      </bottom>
      <diagonal/>
    </border>
    <border>
      <left style="thin">
        <color rgb="FFDDDDDD"/>
      </left>
      <right style="thin">
        <color rgb="FFDDDDDD"/>
      </right>
      <top style="thin">
        <color rgb="FFDDDDDD"/>
      </top>
      <bottom style="thin">
        <color indexed="64"/>
      </bottom>
      <diagonal/>
    </border>
    <border>
      <left/>
      <right style="thin">
        <color rgb="FFC0C0C0"/>
      </right>
      <top/>
      <bottom style="thin">
        <color theme="0" tint="-0.249977111117893"/>
      </bottom>
      <diagonal/>
    </border>
    <border>
      <left style="thin">
        <color rgb="FFC0C0C0"/>
      </left>
      <right style="thin">
        <color indexed="22"/>
      </right>
      <top style="thin">
        <color rgb="FFC0C0C0"/>
      </top>
      <bottom style="thin">
        <color theme="0" tint="-0.249977111117893"/>
      </bottom>
      <diagonal/>
    </border>
    <border>
      <left style="thin">
        <color rgb="FFC0C0C0"/>
      </left>
      <right style="thin">
        <color rgb="FFC0C0C0"/>
      </right>
      <top style="thin">
        <color indexed="22"/>
      </top>
      <bottom style="thin">
        <color theme="0" tint="-0.249977111117893"/>
      </bottom>
      <diagonal/>
    </border>
    <border>
      <left style="thin">
        <color rgb="FFC0C0C0"/>
      </left>
      <right style="thin">
        <color rgb="FFC0C0C0"/>
      </right>
      <top/>
      <bottom style="thin">
        <color theme="0" tint="-0.249977111117893"/>
      </bottom>
      <diagonal/>
    </border>
    <border>
      <left/>
      <right/>
      <top/>
      <bottom style="thin">
        <color theme="1"/>
      </bottom>
      <diagonal/>
    </border>
    <border>
      <left style="thin">
        <color rgb="FFDDDDDD"/>
      </left>
      <right style="thin">
        <color indexed="64"/>
      </right>
      <top style="thin">
        <color rgb="FFDDDDDD"/>
      </top>
      <bottom style="thin">
        <color theme="1"/>
      </bottom>
      <diagonal/>
    </border>
    <border>
      <left style="thin">
        <color rgb="FFDDDDDD"/>
      </left>
      <right style="thin">
        <color rgb="FFDDDDDD"/>
      </right>
      <top style="thin">
        <color rgb="FFDDDDDD"/>
      </top>
      <bottom style="thin">
        <color theme="1"/>
      </bottom>
      <diagonal/>
    </border>
    <border>
      <left style="thin">
        <color rgb="FFC0C0C0"/>
      </left>
      <right style="thin">
        <color theme="1"/>
      </right>
      <top style="thin">
        <color rgb="FFC0C0C0"/>
      </top>
      <bottom style="thin">
        <color rgb="FFC0C0C0"/>
      </bottom>
      <diagonal/>
    </border>
    <border>
      <left style="thin">
        <color rgb="FFC0C0C0"/>
      </left>
      <right style="thin">
        <color theme="1"/>
      </right>
      <top style="thin">
        <color rgb="FFC0C0C0"/>
      </top>
      <bottom style="thin">
        <color theme="1"/>
      </bottom>
      <diagonal/>
    </border>
    <border>
      <left/>
      <right/>
      <top style="thin">
        <color rgb="FFC0C0C0"/>
      </top>
      <bottom style="thin">
        <color theme="1"/>
      </bottom>
      <diagonal/>
    </border>
    <border>
      <left/>
      <right style="thin">
        <color rgb="FFC0C0C0"/>
      </right>
      <top style="thin">
        <color rgb="FFC0C0C0"/>
      </top>
      <bottom style="thin">
        <color theme="1"/>
      </bottom>
      <diagonal/>
    </border>
    <border>
      <left style="thin">
        <color rgb="FFC0C0C0"/>
      </left>
      <right style="thin">
        <color rgb="FFC0C0C0"/>
      </right>
      <top style="thin">
        <color rgb="FFC0C0C0"/>
      </top>
      <bottom style="thin">
        <color theme="1"/>
      </bottom>
      <diagonal/>
    </border>
    <border>
      <left style="thin">
        <color theme="1"/>
      </left>
      <right/>
      <top style="thin">
        <color indexed="64"/>
      </top>
      <bottom style="thin">
        <color rgb="FFC0C0C0"/>
      </bottom>
      <diagonal/>
    </border>
    <border>
      <left style="thin">
        <color theme="1"/>
      </left>
      <right/>
      <top style="thin">
        <color rgb="FFC0C0C0"/>
      </top>
      <bottom style="thin">
        <color rgb="FFC0C0C0"/>
      </bottom>
      <diagonal/>
    </border>
    <border>
      <left style="thin">
        <color theme="1"/>
      </left>
      <right/>
      <top style="thin">
        <color rgb="FFC0C0C0"/>
      </top>
      <bottom style="thin">
        <color theme="1"/>
      </bottom>
      <diagonal/>
    </border>
    <border>
      <left style="thin">
        <color theme="1"/>
      </left>
      <right/>
      <top/>
      <bottom style="thin">
        <color indexed="22"/>
      </bottom>
      <diagonal/>
    </border>
    <border>
      <left style="thin">
        <color theme="1"/>
      </left>
      <right/>
      <top style="thin">
        <color theme="1"/>
      </top>
      <bottom/>
      <diagonal/>
    </border>
    <border>
      <left/>
      <right/>
      <top style="thin">
        <color theme="1"/>
      </top>
      <bottom/>
      <diagonal/>
    </border>
    <border>
      <left/>
      <right style="thin">
        <color indexed="22"/>
      </right>
      <top style="thin">
        <color theme="1"/>
      </top>
      <bottom/>
      <diagonal/>
    </border>
    <border>
      <left style="thin">
        <color indexed="22"/>
      </left>
      <right style="thin">
        <color indexed="22"/>
      </right>
      <top style="thin">
        <color theme="1"/>
      </top>
      <bottom/>
      <diagonal/>
    </border>
    <border>
      <left style="thin">
        <color indexed="22"/>
      </left>
      <right/>
      <top style="thin">
        <color theme="1"/>
      </top>
      <bottom style="thin">
        <color indexed="22"/>
      </bottom>
      <diagonal/>
    </border>
    <border>
      <left/>
      <right/>
      <top style="thin">
        <color theme="1"/>
      </top>
      <bottom style="thin">
        <color indexed="22"/>
      </bottom>
      <diagonal/>
    </border>
    <border>
      <left/>
      <right style="thin">
        <color indexed="22"/>
      </right>
      <top style="thin">
        <color theme="1"/>
      </top>
      <bottom style="thin">
        <color indexed="22"/>
      </bottom>
      <diagonal/>
    </border>
    <border>
      <left style="thin">
        <color indexed="22"/>
      </left>
      <right style="thin">
        <color indexed="22"/>
      </right>
      <top style="thin">
        <color theme="1"/>
      </top>
      <bottom style="thin">
        <color indexed="22"/>
      </bottom>
      <diagonal/>
    </border>
    <border>
      <left style="thin">
        <color indexed="22"/>
      </left>
      <right style="thin">
        <color theme="1"/>
      </right>
      <top style="thin">
        <color theme="1"/>
      </top>
      <bottom/>
      <diagonal/>
    </border>
    <border>
      <left style="thin">
        <color indexed="22"/>
      </left>
      <right style="thin">
        <color theme="1"/>
      </right>
      <top/>
      <bottom style="thin">
        <color indexed="22"/>
      </bottom>
      <diagonal/>
    </border>
    <border>
      <left style="thin">
        <color indexed="22"/>
      </left>
      <right style="thin">
        <color theme="1"/>
      </right>
      <top style="thin">
        <color indexed="22"/>
      </top>
      <bottom style="thin">
        <color rgb="FFC0C0C0"/>
      </bottom>
      <diagonal/>
    </border>
    <border>
      <left style="thin">
        <color theme="1"/>
      </left>
      <right/>
      <top style="thin">
        <color indexed="22"/>
      </top>
      <bottom style="thin">
        <color indexed="64"/>
      </bottom>
      <diagonal/>
    </border>
    <border>
      <left style="thin">
        <color rgb="FFC0C0C0"/>
      </left>
      <right style="thin">
        <color rgb="FFC0C0C0"/>
      </right>
      <top style="thin">
        <color rgb="FFC0C0C0"/>
      </top>
      <bottom/>
      <diagonal/>
    </border>
    <border>
      <left/>
      <right style="thin">
        <color indexed="64"/>
      </right>
      <top style="thin">
        <color rgb="FFC0C0C0"/>
      </top>
      <bottom style="thin">
        <color rgb="FFC0C0C0"/>
      </bottom>
      <diagonal/>
    </border>
    <border>
      <left/>
      <right style="thin">
        <color indexed="64"/>
      </right>
      <top/>
      <bottom style="thin">
        <color rgb="FFC0C0C0"/>
      </bottom>
      <diagonal/>
    </border>
    <border>
      <left style="thin">
        <color indexed="22"/>
      </left>
      <right style="thin">
        <color indexed="22"/>
      </right>
      <top style="thin">
        <color rgb="FFC0C0C0"/>
      </top>
      <bottom style="thin">
        <color indexed="64"/>
      </bottom>
      <diagonal/>
    </border>
  </borders>
  <cellStyleXfs count="14">
    <xf numFmtId="0" fontId="0" fillId="0" borderId="0" applyNumberFormat="0" applyFill="0" applyBorder="0" applyAlignment="0"/>
    <xf numFmtId="167" fontId="6" fillId="0" borderId="0" applyFill="0" applyBorder="0">
      <alignment horizontal="center" vertical="center"/>
      <protection hidden="1"/>
    </xf>
    <xf numFmtId="0" fontId="12" fillId="6" borderId="54" applyNumberFormat="0" applyAlignment="0" applyProtection="0"/>
    <xf numFmtId="0" fontId="13" fillId="7" borderId="0" applyNumberFormat="0" applyBorder="0" applyAlignment="0" applyProtection="0"/>
    <xf numFmtId="169" fontId="6" fillId="0" borderId="0" applyFill="0" applyBorder="0">
      <alignment horizontal="center" vertical="center" wrapText="1"/>
      <protection hidden="1"/>
    </xf>
    <xf numFmtId="0" fontId="14" fillId="0" borderId="0" applyNumberFormat="0" applyFill="0" applyBorder="0" applyAlignment="0" applyProtection="0"/>
    <xf numFmtId="0" fontId="15" fillId="8" borderId="2">
      <alignment horizontal="center" vertical="center"/>
      <protection locked="0"/>
    </xf>
    <xf numFmtId="170" fontId="7" fillId="8" borderId="3">
      <alignment horizontal="left" indent="1"/>
      <protection locked="0"/>
    </xf>
    <xf numFmtId="0" fontId="15" fillId="8" borderId="4">
      <alignment horizontal="left" vertical="center"/>
      <protection locked="0"/>
    </xf>
    <xf numFmtId="49" fontId="6" fillId="0" borderId="4" applyFill="0">
      <alignment horizontal="left" indent="1"/>
      <protection hidden="1"/>
    </xf>
    <xf numFmtId="0" fontId="6" fillId="0" borderId="4" applyFill="0">
      <alignment horizontal="left" indent="1"/>
      <protection hidden="1"/>
    </xf>
    <xf numFmtId="49" fontId="6" fillId="9" borderId="5">
      <alignment horizontal="left" indent="1"/>
      <protection locked="0"/>
    </xf>
    <xf numFmtId="0" fontId="25" fillId="13" borderId="54" applyNumberFormat="0" applyAlignment="0" applyProtection="0"/>
    <xf numFmtId="164" fontId="6" fillId="0" borderId="0" applyFont="0" applyFill="0" applyBorder="0" applyAlignment="0" applyProtection="0"/>
  </cellStyleXfs>
  <cellXfs count="802">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NumberFormat="1"/>
    <xf numFmtId="0" fontId="0" fillId="0" borderId="0" xfId="0" quotePrefix="1"/>
    <xf numFmtId="14" fontId="0" fillId="0" borderId="0" xfId="0" applyNumberFormat="1"/>
    <xf numFmtId="14" fontId="0" fillId="0" borderId="0" xfId="0" applyNumberFormat="1" applyAlignment="1">
      <alignment horizontal="right"/>
    </xf>
    <xf numFmtId="0" fontId="0" fillId="0" borderId="0" xfId="0" applyNumberFormat="1" applyAlignment="1">
      <alignment vertical="center"/>
    </xf>
    <xf numFmtId="0" fontId="0" fillId="0" borderId="0" xfId="0" applyProtection="1">
      <protection hidden="1"/>
    </xf>
    <xf numFmtId="0" fontId="0" fillId="0" borderId="0" xfId="0" applyBorder="1" applyProtection="1">
      <protection hidden="1"/>
    </xf>
    <xf numFmtId="0" fontId="0" fillId="0" borderId="0" xfId="0" applyNumberFormat="1" applyAlignment="1">
      <alignment horizontal="center" vertical="center"/>
    </xf>
    <xf numFmtId="0" fontId="0" fillId="0" borderId="0" xfId="0" applyFill="1"/>
    <xf numFmtId="0" fontId="0" fillId="0" borderId="0" xfId="0" applyAlignment="1" applyProtection="1">
      <alignment horizontal="center"/>
      <protection hidden="1"/>
    </xf>
    <xf numFmtId="0" fontId="0" fillId="0" borderId="0" xfId="0" applyAlignment="1" applyProtection="1">
      <protection hidden="1"/>
    </xf>
    <xf numFmtId="0" fontId="0" fillId="0" borderId="0" xfId="0"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wrapText="1"/>
      <protection hidden="1"/>
    </xf>
    <xf numFmtId="166" fontId="0" fillId="0" borderId="0" xfId="0" applyNumberFormat="1" applyBorder="1" applyAlignment="1" applyProtection="1">
      <alignment vertical="center" wrapText="1"/>
      <protection hidden="1"/>
    </xf>
    <xf numFmtId="0" fontId="0" fillId="0" borderId="0" xfId="0" applyFill="1" applyProtection="1">
      <protection hidden="1"/>
    </xf>
    <xf numFmtId="0" fontId="0" fillId="0" borderId="0" xfId="0" applyFill="1" applyBorder="1" applyAlignment="1" applyProtection="1">
      <protection hidden="1"/>
    </xf>
    <xf numFmtId="0" fontId="0" fillId="0" borderId="4" xfId="0" applyFill="1" applyBorder="1" applyAlignment="1" applyProtection="1">
      <alignment vertical="center"/>
      <protection hidden="1"/>
    </xf>
    <xf numFmtId="0" fontId="0" fillId="0" borderId="4" xfId="0" applyFill="1" applyBorder="1" applyAlignment="1" applyProtection="1">
      <alignment horizontal="right" vertical="center"/>
      <protection hidden="1"/>
    </xf>
    <xf numFmtId="0" fontId="16" fillId="3" borderId="6" xfId="0" applyFont="1" applyFill="1" applyBorder="1" applyAlignment="1" applyProtection="1">
      <alignment horizontal="center" vertical="center"/>
      <protection hidden="1"/>
    </xf>
    <xf numFmtId="0" fontId="16" fillId="3" borderId="6" xfId="0" applyFont="1" applyFill="1" applyBorder="1" applyAlignment="1" applyProtection="1">
      <alignment horizontal="center" vertical="center" wrapText="1"/>
      <protection hidden="1"/>
    </xf>
    <xf numFmtId="0" fontId="16" fillId="3" borderId="7" xfId="0" applyFont="1" applyFill="1" applyBorder="1" applyAlignment="1" applyProtection="1">
      <alignment horizontal="center"/>
      <protection hidden="1"/>
    </xf>
    <xf numFmtId="0" fontId="16" fillId="3" borderId="6" xfId="0" applyFont="1" applyFill="1" applyBorder="1" applyAlignment="1" applyProtection="1">
      <alignment horizontal="center"/>
      <protection hidden="1"/>
    </xf>
    <xf numFmtId="0" fontId="16" fillId="3" borderId="8" xfId="0" applyFont="1" applyFill="1" applyBorder="1" applyAlignment="1" applyProtection="1">
      <alignment horizontal="center"/>
      <protection hidden="1"/>
    </xf>
    <xf numFmtId="0" fontId="0" fillId="0" borderId="0" xfId="0" applyAlignment="1" applyProtection="1">
      <alignment wrapText="1"/>
      <protection hidden="1"/>
    </xf>
    <xf numFmtId="1" fontId="0" fillId="0" borderId="0" xfId="0" applyNumberFormat="1" applyAlignment="1" applyProtection="1">
      <alignment horizontal="center" vertical="center"/>
      <protection hidden="1"/>
    </xf>
    <xf numFmtId="165" fontId="0" fillId="0" borderId="0" xfId="0" applyNumberFormat="1" applyAlignment="1" applyProtection="1">
      <alignment horizontal="center" vertical="center"/>
      <protection hidden="1"/>
    </xf>
    <xf numFmtId="3" fontId="5" fillId="4" borderId="9" xfId="0" applyNumberFormat="1" applyFont="1" applyFill="1" applyBorder="1" applyAlignment="1" applyProtection="1">
      <alignment horizontal="right" vertical="center"/>
      <protection hidden="1"/>
    </xf>
    <xf numFmtId="3" fontId="5" fillId="4" borderId="1" xfId="0" applyNumberFormat="1" applyFont="1" applyFill="1" applyBorder="1" applyAlignment="1" applyProtection="1">
      <alignment horizontal="right" vertical="center"/>
      <protection hidden="1"/>
    </xf>
    <xf numFmtId="3" fontId="5" fillId="0" borderId="1" xfId="0" applyNumberFormat="1" applyFont="1" applyBorder="1" applyAlignment="1" applyProtection="1">
      <alignment horizontal="right" vertical="center"/>
      <protection hidden="1"/>
    </xf>
    <xf numFmtId="3" fontId="5" fillId="0" borderId="10" xfId="0" applyNumberFormat="1" applyFont="1" applyBorder="1" applyAlignment="1" applyProtection="1">
      <alignment horizontal="right" vertical="center"/>
      <protection hidden="1"/>
    </xf>
    <xf numFmtId="3" fontId="5" fillId="4" borderId="10" xfId="0" applyNumberFormat="1" applyFont="1" applyFill="1" applyBorder="1" applyAlignment="1" applyProtection="1">
      <alignment horizontal="right" vertical="center"/>
      <protection hidden="1"/>
    </xf>
    <xf numFmtId="3" fontId="5" fillId="0" borderId="11" xfId="0" applyNumberFormat="1" applyFont="1" applyBorder="1" applyAlignment="1" applyProtection="1">
      <alignment horizontal="right" vertical="center"/>
      <protection hidden="1"/>
    </xf>
    <xf numFmtId="0" fontId="13" fillId="7" borderId="0" xfId="3" applyAlignment="1">
      <alignment horizontal="center" vertical="center"/>
    </xf>
    <xf numFmtId="3" fontId="0" fillId="0" borderId="0" xfId="0" applyNumberFormat="1" applyFill="1" applyBorder="1" applyAlignment="1" applyProtection="1">
      <alignment horizontal="right" vertical="center"/>
      <protection hidden="1"/>
    </xf>
    <xf numFmtId="3" fontId="0" fillId="0" borderId="0" xfId="0" applyNumberFormat="1" applyFill="1" applyBorder="1" applyAlignment="1" applyProtection="1">
      <alignment horizontal="center" vertical="center"/>
      <protection hidden="1"/>
    </xf>
    <xf numFmtId="3" fontId="0" fillId="0" borderId="0" xfId="0" applyNumberFormat="1" applyFill="1" applyBorder="1" applyAlignment="1" applyProtection="1">
      <alignment vertical="center"/>
      <protection hidden="1"/>
    </xf>
    <xf numFmtId="3" fontId="0" fillId="0" borderId="0" xfId="0" applyNumberFormat="1" applyFill="1" applyBorder="1" applyAlignment="1" applyProtection="1">
      <alignment horizontal="left" vertical="center"/>
      <protection hidden="1"/>
    </xf>
    <xf numFmtId="0" fontId="0" fillId="0" borderId="4" xfId="0" applyFill="1" applyBorder="1" applyAlignment="1" applyProtection="1">
      <protection hidden="1"/>
    </xf>
    <xf numFmtId="0" fontId="16" fillId="3" borderId="55" xfId="0" applyFont="1" applyFill="1" applyBorder="1" applyAlignment="1" applyProtection="1">
      <alignment horizontal="center" vertical="center" wrapText="1"/>
      <protection hidden="1"/>
    </xf>
    <xf numFmtId="0" fontId="16" fillId="3" borderId="56"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14" xfId="0" applyFill="1" applyBorder="1" applyAlignment="1" applyProtection="1">
      <alignment horizontal="center" vertical="center"/>
      <protection hidden="1"/>
    </xf>
    <xf numFmtId="0" fontId="0" fillId="0" borderId="0" xfId="0" applyFill="1" applyAlignment="1" applyProtection="1">
      <alignment horizontal="right" vertical="center"/>
      <protection hidden="1"/>
    </xf>
    <xf numFmtId="0" fontId="0" fillId="0" borderId="0" xfId="0" applyAlignment="1" applyProtection="1">
      <alignment horizontal="right" vertical="center"/>
      <protection hidden="1"/>
    </xf>
    <xf numFmtId="3" fontId="5" fillId="0" borderId="13" xfId="0" applyNumberFormat="1" applyFont="1" applyBorder="1" applyAlignment="1" applyProtection="1">
      <alignment horizontal="right" vertical="center"/>
      <protection hidden="1"/>
    </xf>
    <xf numFmtId="3" fontId="5" fillId="0" borderId="15" xfId="0" applyNumberFormat="1" applyFont="1" applyBorder="1" applyAlignment="1" applyProtection="1">
      <alignment horizontal="right" vertical="center"/>
      <protection hidden="1"/>
    </xf>
    <xf numFmtId="3" fontId="5" fillId="4" borderId="13" xfId="0" applyNumberFormat="1" applyFont="1" applyFill="1" applyBorder="1" applyAlignment="1" applyProtection="1">
      <alignment horizontal="right" vertical="center"/>
      <protection hidden="1"/>
    </xf>
    <xf numFmtId="3" fontId="5" fillId="4" borderId="15" xfId="0" applyNumberFormat="1" applyFont="1" applyFill="1" applyBorder="1" applyAlignment="1" applyProtection="1">
      <alignment horizontal="right" vertical="center"/>
      <protection hidden="1"/>
    </xf>
    <xf numFmtId="0" fontId="0" fillId="0" borderId="0" xfId="0" applyNumberFormat="1" applyFill="1"/>
    <xf numFmtId="0" fontId="12" fillId="6" borderId="54" xfId="2"/>
    <xf numFmtId="0" fontId="0" fillId="0" borderId="0" xfId="0" applyAlignment="1" applyProtection="1">
      <alignment vertical="top" wrapText="1"/>
      <protection hidden="1"/>
    </xf>
    <xf numFmtId="0" fontId="0" fillId="0" borderId="0" xfId="0" applyNumberFormat="1" applyFill="1" applyBorder="1"/>
    <xf numFmtId="0" fontId="0" fillId="0" borderId="0" xfId="0" applyAlignment="1">
      <alignment horizontal="left" vertical="center"/>
    </xf>
    <xf numFmtId="0" fontId="0" fillId="0" borderId="0" xfId="0" applyProtection="1">
      <protection locked="0"/>
    </xf>
    <xf numFmtId="169" fontId="6" fillId="4" borderId="57" xfId="4" applyFill="1" applyBorder="1">
      <alignment horizontal="center" vertical="center" wrapText="1"/>
      <protection hidden="1"/>
    </xf>
    <xf numFmtId="167" fontId="6" fillId="4" borderId="58" xfId="1" applyFill="1" applyBorder="1">
      <alignment horizontal="center" vertical="center"/>
      <protection hidden="1"/>
    </xf>
    <xf numFmtId="3" fontId="5" fillId="4" borderId="58" xfId="0" applyNumberFormat="1" applyFont="1" applyFill="1" applyBorder="1" applyAlignment="1" applyProtection="1">
      <alignment horizontal="right" vertical="center"/>
      <protection hidden="1"/>
    </xf>
    <xf numFmtId="3" fontId="5" fillId="4" borderId="59" xfId="0" applyNumberFormat="1" applyFont="1" applyFill="1" applyBorder="1" applyAlignment="1" applyProtection="1">
      <alignment horizontal="right" vertical="center"/>
      <protection hidden="1"/>
    </xf>
    <xf numFmtId="169" fontId="6" fillId="0" borderId="57" xfId="4" applyBorder="1">
      <alignment horizontal="center" vertical="center" wrapText="1"/>
      <protection hidden="1"/>
    </xf>
    <xf numFmtId="167" fontId="6" fillId="0" borderId="58" xfId="1" applyFill="1" applyBorder="1">
      <alignment horizontal="center" vertical="center"/>
      <protection hidden="1"/>
    </xf>
    <xf numFmtId="3" fontId="5" fillId="0" borderId="58" xfId="0" applyNumberFormat="1" applyFont="1" applyBorder="1" applyAlignment="1" applyProtection="1">
      <alignment horizontal="right" vertical="center"/>
      <protection hidden="1"/>
    </xf>
    <xf numFmtId="3" fontId="5" fillId="0" borderId="59" xfId="0" applyNumberFormat="1" applyFont="1" applyBorder="1" applyAlignment="1" applyProtection="1">
      <alignment horizontal="right" vertical="center"/>
      <protection hidden="1"/>
    </xf>
    <xf numFmtId="169" fontId="6" fillId="0" borderId="57" xfId="4" applyFill="1" applyBorder="1">
      <alignment horizontal="center" vertical="center" wrapText="1"/>
      <protection hidden="1"/>
    </xf>
    <xf numFmtId="3" fontId="5" fillId="0" borderId="58" xfId="0" applyNumberFormat="1" applyFont="1" applyFill="1" applyBorder="1" applyAlignment="1" applyProtection="1">
      <alignment horizontal="right" vertical="center"/>
      <protection hidden="1"/>
    </xf>
    <xf numFmtId="3" fontId="5" fillId="0" borderId="59" xfId="0" applyNumberFormat="1" applyFont="1" applyFill="1" applyBorder="1" applyAlignment="1" applyProtection="1">
      <alignment horizontal="right" vertical="center"/>
      <protection hidden="1"/>
    </xf>
    <xf numFmtId="0" fontId="16" fillId="3" borderId="62" xfId="0" applyFont="1" applyFill="1" applyBorder="1" applyAlignment="1" applyProtection="1">
      <alignment horizontal="center"/>
      <protection hidden="1"/>
    </xf>
    <xf numFmtId="0" fontId="16" fillId="3" borderId="63" xfId="0" applyFont="1" applyFill="1" applyBorder="1" applyAlignment="1" applyProtection="1">
      <alignment horizontal="center"/>
      <protection hidden="1"/>
    </xf>
    <xf numFmtId="169" fontId="6" fillId="0" borderId="65" xfId="4" applyBorder="1">
      <alignment horizontal="center" vertical="center" wrapText="1"/>
      <protection hidden="1"/>
    </xf>
    <xf numFmtId="169" fontId="6" fillId="4" borderId="65" xfId="4" applyFill="1" applyBorder="1">
      <alignment horizontal="center" vertical="center" wrapText="1"/>
      <protection hidden="1"/>
    </xf>
    <xf numFmtId="3" fontId="5" fillId="0" borderId="58" xfId="0" applyNumberFormat="1" applyFont="1" applyFill="1" applyBorder="1" applyAlignment="1" applyProtection="1">
      <alignment horizontal="right" vertical="center" wrapText="1"/>
      <protection hidden="1"/>
    </xf>
    <xf numFmtId="3" fontId="5" fillId="0" borderId="59" xfId="0" applyNumberFormat="1" applyFont="1" applyFill="1" applyBorder="1" applyAlignment="1" applyProtection="1">
      <alignment horizontal="right" vertical="center" wrapText="1"/>
      <protection hidden="1"/>
    </xf>
    <xf numFmtId="167" fontId="6" fillId="0" borderId="58" xfId="1" applyBorder="1">
      <alignment horizontal="center" vertical="center"/>
      <protection hidden="1"/>
    </xf>
    <xf numFmtId="0" fontId="16" fillId="3" borderId="63" xfId="0" quotePrefix="1" applyFont="1" applyFill="1" applyBorder="1" applyAlignment="1" applyProtection="1">
      <alignment horizontal="center"/>
      <protection hidden="1"/>
    </xf>
    <xf numFmtId="0" fontId="16" fillId="3" borderId="64" xfId="0" quotePrefix="1" applyFont="1" applyFill="1" applyBorder="1" applyAlignment="1" applyProtection="1">
      <alignment horizontal="center"/>
      <protection hidden="1"/>
    </xf>
    <xf numFmtId="0" fontId="0" fillId="0" borderId="0" xfId="0" applyBorder="1"/>
    <xf numFmtId="0" fontId="0" fillId="0" borderId="0" xfId="0" applyNumberFormat="1" applyBorder="1"/>
    <xf numFmtId="0" fontId="0" fillId="0" borderId="0" xfId="0" applyNumberFormat="1" applyBorder="1" applyAlignment="1">
      <alignment horizontal="center" vertical="center"/>
    </xf>
    <xf numFmtId="3" fontId="5" fillId="4" borderId="58" xfId="0" applyNumberFormat="1" applyFont="1" applyFill="1" applyBorder="1" applyAlignment="1" applyProtection="1">
      <alignment horizontal="right" vertical="center"/>
      <protection locked="0"/>
    </xf>
    <xf numFmtId="3" fontId="5" fillId="4" borderId="59" xfId="0" applyNumberFormat="1" applyFont="1" applyFill="1" applyBorder="1" applyAlignment="1" applyProtection="1">
      <alignment horizontal="right" vertical="center"/>
      <protection locked="0"/>
    </xf>
    <xf numFmtId="0" fontId="15" fillId="8" borderId="2" xfId="6">
      <alignment horizontal="center" vertical="center"/>
      <protection locked="0"/>
    </xf>
    <xf numFmtId="0" fontId="0" fillId="0" borderId="0" xfId="0"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0" fillId="0" borderId="0" xfId="0" applyAlignment="1" applyProtection="1">
      <alignment horizontal="left" vertical="center"/>
      <protection hidden="1"/>
    </xf>
    <xf numFmtId="0" fontId="5" fillId="0" borderId="0" xfId="0" applyFont="1" applyAlignment="1" applyProtection="1">
      <alignment horizontal="center" vertical="center"/>
      <protection hidden="1"/>
    </xf>
    <xf numFmtId="0" fontId="14" fillId="0" borderId="0" xfId="5" applyAlignment="1" applyProtection="1">
      <alignment horizontal="left"/>
      <protection hidden="1"/>
    </xf>
    <xf numFmtId="0" fontId="14" fillId="0" borderId="0" xfId="5" applyProtection="1">
      <protection hidden="1"/>
    </xf>
    <xf numFmtId="0" fontId="4" fillId="10" borderId="19" xfId="0" applyFont="1" applyFill="1" applyBorder="1" applyAlignment="1" applyProtection="1">
      <alignment horizontal="right" vertical="center" indent="1"/>
      <protection hidden="1"/>
    </xf>
    <xf numFmtId="0" fontId="15" fillId="8" borderId="20" xfId="6" applyBorder="1">
      <alignment horizontal="center" vertical="center"/>
      <protection locked="0"/>
    </xf>
    <xf numFmtId="0" fontId="7" fillId="9" borderId="5" xfId="0" applyNumberFormat="1" applyFont="1" applyFill="1" applyBorder="1" applyAlignment="1">
      <alignment horizontal="left" vertical="center" indent="1"/>
    </xf>
    <xf numFmtId="0" fontId="7" fillId="0" borderId="0" xfId="0" applyNumberFormat="1" applyFont="1" applyAlignment="1">
      <alignment horizontal="left" vertical="center" indent="1"/>
    </xf>
    <xf numFmtId="0" fontId="7" fillId="9" borderId="3" xfId="0" applyNumberFormat="1" applyFont="1" applyFill="1" applyBorder="1" applyAlignment="1">
      <alignment horizontal="left" vertical="center" indent="1"/>
    </xf>
    <xf numFmtId="0" fontId="0" fillId="0" borderId="0" xfId="0" applyBorder="1" applyAlignment="1">
      <alignment horizontal="center" vertical="center"/>
    </xf>
    <xf numFmtId="0" fontId="0" fillId="0" borderId="0" xfId="0" applyAlignment="1" applyProtection="1">
      <alignment horizontal="left"/>
      <protection hidden="1"/>
    </xf>
    <xf numFmtId="0" fontId="0" fillId="0" borderId="0" xfId="0" quotePrefix="1" applyAlignment="1" applyProtection="1">
      <alignment horizontal="left"/>
      <protection hidden="1"/>
    </xf>
    <xf numFmtId="14" fontId="0" fillId="0" borderId="0" xfId="0" applyNumberFormat="1" applyProtection="1">
      <protection hidden="1"/>
    </xf>
    <xf numFmtId="0" fontId="0" fillId="0" borderId="2" xfId="0" applyBorder="1" applyAlignment="1" applyProtection="1">
      <alignment vertical="center"/>
      <protection locked="0" hidden="1"/>
    </xf>
    <xf numFmtId="0" fontId="4" fillId="0" borderId="4" xfId="0" applyFont="1" applyBorder="1" applyAlignment="1" applyProtection="1">
      <alignment vertical="center"/>
      <protection hidden="1"/>
    </xf>
    <xf numFmtId="0" fontId="0" fillId="0" borderId="0" xfId="0" applyAlignment="1" applyProtection="1">
      <alignment horizontal="left" indent="1"/>
      <protection hidden="1"/>
    </xf>
    <xf numFmtId="0" fontId="15" fillId="8" borderId="21" xfId="8" applyBorder="1" applyProtection="1">
      <alignment horizontal="left" vertical="center"/>
      <protection hidden="1"/>
    </xf>
    <xf numFmtId="0" fontId="15" fillId="8" borderId="22" xfId="8" applyBorder="1" applyProtection="1">
      <alignment horizontal="left" vertical="center"/>
      <protection hidden="1"/>
    </xf>
    <xf numFmtId="0" fontId="4" fillId="0" borderId="0" xfId="0" applyFont="1" applyBorder="1" applyAlignment="1" applyProtection="1">
      <alignment vertical="center"/>
      <protection hidden="1"/>
    </xf>
    <xf numFmtId="0" fontId="0" fillId="0" borderId="0" xfId="0" applyFill="1" applyBorder="1"/>
    <xf numFmtId="0" fontId="0" fillId="0" borderId="69" xfId="0" applyFill="1" applyBorder="1"/>
    <xf numFmtId="0" fontId="0" fillId="0" borderId="70" xfId="0" applyFill="1" applyBorder="1"/>
    <xf numFmtId="0" fontId="0" fillId="0" borderId="71" xfId="0" applyFill="1" applyBorder="1" applyAlignment="1">
      <alignment horizontal="left" vertical="center"/>
    </xf>
    <xf numFmtId="0" fontId="0" fillId="0" borderId="72" xfId="0" applyFill="1" applyBorder="1" applyAlignment="1">
      <alignment horizontal="left" vertical="center"/>
    </xf>
    <xf numFmtId="0" fontId="0" fillId="0" borderId="0" xfId="0" applyFill="1" applyBorder="1" applyAlignment="1">
      <alignment horizontal="left" vertical="center"/>
    </xf>
    <xf numFmtId="0" fontId="0" fillId="0" borderId="73" xfId="0" applyFill="1" applyBorder="1" applyAlignment="1">
      <alignment horizontal="left" vertical="center"/>
    </xf>
    <xf numFmtId="0" fontId="0" fillId="0" borderId="74" xfId="0" applyFill="1" applyBorder="1"/>
    <xf numFmtId="0" fontId="0" fillId="0" borderId="0" xfId="0" applyAlignment="1">
      <alignment horizontal="right"/>
    </xf>
    <xf numFmtId="14" fontId="0" fillId="0" borderId="0" xfId="0" applyNumberFormat="1" applyBorder="1"/>
    <xf numFmtId="0" fontId="0" fillId="0" borderId="0" xfId="0" applyBorder="1" applyAlignment="1" applyProtection="1">
      <alignment horizontal="left"/>
      <protection hidden="1"/>
    </xf>
    <xf numFmtId="0" fontId="3" fillId="0" borderId="0" xfId="0" applyFont="1" applyBorder="1" applyAlignment="1">
      <alignment horizontal="right" vertical="center"/>
    </xf>
    <xf numFmtId="0" fontId="10" fillId="0" borderId="0" xfId="0" applyFont="1" applyBorder="1" applyAlignment="1" applyProtection="1">
      <alignment horizontal="left" vertical="center" wrapText="1" indent="1"/>
      <protection hidden="1"/>
    </xf>
    <xf numFmtId="0" fontId="10" fillId="0" borderId="0" xfId="0" applyFont="1" applyBorder="1" applyAlignment="1" applyProtection="1">
      <alignment horizontal="left" indent="1"/>
      <protection hidden="1"/>
    </xf>
    <xf numFmtId="0" fontId="10" fillId="0" borderId="0" xfId="0" applyFont="1" applyBorder="1" applyAlignment="1" applyProtection="1">
      <alignment horizontal="left" vertical="center" indent="1"/>
      <protection hidden="1"/>
    </xf>
    <xf numFmtId="0" fontId="0" fillId="0" borderId="2" xfId="0" applyBorder="1" applyAlignment="1" applyProtection="1">
      <alignment horizontal="center" vertical="center"/>
      <protection hidden="1"/>
    </xf>
    <xf numFmtId="167" fontId="6" fillId="0" borderId="1" xfId="1" applyFill="1" applyBorder="1">
      <alignment horizontal="center" vertical="center"/>
      <protection hidden="1"/>
    </xf>
    <xf numFmtId="167" fontId="6" fillId="4" borderId="1" xfId="1" applyFill="1" applyBorder="1">
      <alignment horizontal="center" vertical="center"/>
      <protection hidden="1"/>
    </xf>
    <xf numFmtId="0" fontId="6" fillId="0" borderId="24" xfId="0" applyFont="1" applyBorder="1" applyAlignment="1" applyProtection="1">
      <protection hidden="1"/>
    </xf>
    <xf numFmtId="3" fontId="6" fillId="0" borderId="24" xfId="0" applyNumberFormat="1" applyFont="1" applyBorder="1" applyAlignment="1" applyProtection="1">
      <protection hidden="1"/>
    </xf>
    <xf numFmtId="0" fontId="6"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right"/>
      <protection hidden="1"/>
    </xf>
    <xf numFmtId="0" fontId="6" fillId="0" borderId="0" xfId="0" applyFont="1" applyBorder="1" applyProtection="1">
      <protection hidden="1"/>
    </xf>
    <xf numFmtId="166" fontId="6" fillId="0" borderId="0" xfId="0" applyNumberFormat="1" applyFont="1" applyBorder="1" applyAlignment="1" applyProtection="1">
      <alignment vertical="center" wrapText="1"/>
      <protection hidden="1"/>
    </xf>
    <xf numFmtId="0" fontId="6" fillId="0" borderId="0" xfId="0" applyFont="1" applyFill="1" applyProtection="1">
      <protection hidden="1"/>
    </xf>
    <xf numFmtId="0" fontId="6" fillId="0" borderId="0" xfId="0" applyFont="1" applyFill="1" applyBorder="1" applyAlignment="1" applyProtection="1">
      <protection hidden="1"/>
    </xf>
    <xf numFmtId="0" fontId="6" fillId="0" borderId="0" xfId="0" applyFont="1"/>
    <xf numFmtId="0" fontId="0" fillId="11" borderId="2" xfId="0" applyFill="1" applyBorder="1" applyAlignment="1" applyProtection="1">
      <alignment wrapText="1"/>
      <protection hidden="1"/>
    </xf>
    <xf numFmtId="0" fontId="0" fillId="0" borderId="2" xfId="0" applyBorder="1" applyAlignment="1" applyProtection="1">
      <alignment horizontal="center" vertical="center" wrapText="1"/>
      <protection hidden="1"/>
    </xf>
    <xf numFmtId="1" fontId="0" fillId="0" borderId="0" xfId="0" applyNumberFormat="1" applyFill="1" applyAlignment="1" applyProtection="1">
      <alignment horizontal="center" vertical="center"/>
      <protection hidden="1"/>
    </xf>
    <xf numFmtId="0" fontId="0" fillId="0" borderId="0" xfId="0" applyFill="1" applyAlignment="1" applyProtection="1">
      <alignment vertical="center"/>
      <protection hidden="1"/>
    </xf>
    <xf numFmtId="165" fontId="0" fillId="0" borderId="0" xfId="0" applyNumberFormat="1" applyFill="1" applyAlignment="1" applyProtection="1">
      <alignment horizontal="center" vertical="center"/>
      <protection hidden="1"/>
    </xf>
    <xf numFmtId="0" fontId="0" fillId="0" borderId="0" xfId="0" applyFill="1" applyBorder="1" applyProtection="1">
      <protection hidden="1"/>
    </xf>
    <xf numFmtId="14" fontId="0" fillId="0" borderId="0" xfId="0" applyNumberFormat="1" applyFill="1" applyBorder="1"/>
    <xf numFmtId="0" fontId="0" fillId="0" borderId="0" xfId="0" quotePrefix="1" applyAlignment="1" applyProtection="1">
      <alignment horizontal="center" vertical="center"/>
      <protection hidden="1"/>
    </xf>
    <xf numFmtId="0" fontId="15" fillId="8" borderId="21" xfId="6" applyBorder="1">
      <alignment horizontal="center" vertical="center"/>
      <protection locked="0"/>
    </xf>
    <xf numFmtId="0" fontId="15" fillId="8" borderId="5" xfId="6" applyBorder="1">
      <alignment horizontal="center" vertical="center"/>
      <protection locked="0"/>
    </xf>
    <xf numFmtId="0" fontId="7" fillId="0" borderId="0" xfId="0" applyFont="1" applyFill="1" applyProtection="1">
      <protection hidden="1"/>
    </xf>
    <xf numFmtId="0" fontId="18" fillId="0" borderId="0" xfId="0" applyFont="1" applyFill="1" applyProtection="1">
      <protection hidden="1"/>
    </xf>
    <xf numFmtId="0" fontId="19" fillId="0" borderId="0" xfId="0" applyFont="1" applyFill="1" applyAlignment="1" applyProtection="1">
      <alignment horizontal="center" vertical="center"/>
      <protection hidden="1"/>
    </xf>
    <xf numFmtId="0" fontId="20" fillId="0" borderId="0" xfId="0" applyFont="1" applyFill="1" applyProtection="1">
      <protection hidden="1"/>
    </xf>
    <xf numFmtId="0" fontId="0" fillId="0" borderId="21" xfId="0"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0" xfId="0" applyBorder="1" applyAlignment="1" applyProtection="1">
      <alignment horizontal="right"/>
      <protection locked="0"/>
    </xf>
    <xf numFmtId="3" fontId="0" fillId="2"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hidden="1"/>
    </xf>
    <xf numFmtId="3" fontId="0" fillId="4" borderId="1" xfId="0" applyNumberFormat="1" applyFill="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hidden="1"/>
    </xf>
    <xf numFmtId="3" fontId="0" fillId="0" borderId="58"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locked="0"/>
    </xf>
    <xf numFmtId="3" fontId="0" fillId="4" borderId="59" xfId="0" applyNumberFormat="1" applyFill="1" applyBorder="1" applyAlignment="1" applyProtection="1">
      <alignment horizontal="right" vertical="center"/>
      <protection locked="0"/>
    </xf>
    <xf numFmtId="3" fontId="0" fillId="0" borderId="58" xfId="0" applyNumberFormat="1" applyBorder="1" applyAlignment="1" applyProtection="1">
      <alignment horizontal="right" vertical="center"/>
      <protection locked="0"/>
    </xf>
    <xf numFmtId="3" fontId="0" fillId="0" borderId="59" xfId="0" applyNumberFormat="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locked="0"/>
    </xf>
    <xf numFmtId="3" fontId="0" fillId="0" borderId="59" xfId="0" applyNumberFormat="1" applyFill="1" applyBorder="1" applyAlignment="1" applyProtection="1">
      <alignment horizontal="right" vertical="center"/>
      <protection locked="0"/>
    </xf>
    <xf numFmtId="3" fontId="5" fillId="0" borderId="58" xfId="0" applyNumberFormat="1" applyFont="1" applyFill="1" applyBorder="1" applyAlignment="1" applyProtection="1">
      <alignment horizontal="right" vertical="center"/>
      <protection locked="0"/>
    </xf>
    <xf numFmtId="3" fontId="5" fillId="0" borderId="59" xfId="0" applyNumberFormat="1" applyFont="1" applyFill="1" applyBorder="1" applyAlignment="1" applyProtection="1">
      <alignment horizontal="right" vertical="center"/>
      <protection locked="0"/>
    </xf>
    <xf numFmtId="3" fontId="0" fillId="4" borderId="58" xfId="0" applyNumberFormat="1" applyFill="1" applyBorder="1" applyAlignment="1" applyProtection="1">
      <alignment horizontal="right" vertical="center" wrapText="1"/>
      <protection locked="0"/>
    </xf>
    <xf numFmtId="3" fontId="0" fillId="4" borderId="59" xfId="0" applyNumberFormat="1" applyFill="1" applyBorder="1" applyAlignment="1" applyProtection="1">
      <alignment horizontal="right" vertical="center" wrapText="1"/>
      <protection locked="0"/>
    </xf>
    <xf numFmtId="3" fontId="0" fillId="0" borderId="58" xfId="0" applyNumberFormat="1" applyFill="1" applyBorder="1" applyAlignment="1" applyProtection="1">
      <alignment horizontal="right" vertical="center" wrapText="1"/>
      <protection locked="0"/>
    </xf>
    <xf numFmtId="3" fontId="0" fillId="0" borderId="59" xfId="0" applyNumberFormat="1" applyFill="1" applyBorder="1" applyAlignment="1" applyProtection="1">
      <alignment horizontal="right" vertical="center" wrapText="1"/>
      <protection locked="0"/>
    </xf>
    <xf numFmtId="0" fontId="15" fillId="0" borderId="4" xfId="8" quotePrefix="1" applyFill="1" applyAlignment="1" applyProtection="1">
      <alignment horizontal="left" vertical="center" indent="1"/>
      <protection hidden="1"/>
    </xf>
    <xf numFmtId="167" fontId="5" fillId="4" borderId="9" xfId="1" applyFont="1" applyFill="1" applyBorder="1">
      <alignment horizontal="center" vertical="center"/>
      <protection hidden="1"/>
    </xf>
    <xf numFmtId="169" fontId="5" fillId="0" borderId="16" xfId="4" applyFont="1" applyBorder="1">
      <alignment horizontal="center" vertical="center" wrapText="1"/>
      <protection hidden="1"/>
    </xf>
    <xf numFmtId="167" fontId="5" fillId="0" borderId="1" xfId="1" applyFont="1" applyFill="1" applyBorder="1">
      <alignment horizontal="center" vertical="center"/>
      <protection hidden="1"/>
    </xf>
    <xf numFmtId="167" fontId="5" fillId="4" borderId="1" xfId="1" applyFont="1" applyFill="1" applyBorder="1">
      <alignment horizontal="center" vertical="center"/>
      <protection hidden="1"/>
    </xf>
    <xf numFmtId="167" fontId="5" fillId="4" borderId="6" xfId="1" applyFont="1" applyFill="1" applyBorder="1">
      <alignment horizontal="center" vertical="center"/>
      <protection hidden="1"/>
    </xf>
    <xf numFmtId="167" fontId="5" fillId="0" borderId="11" xfId="1" applyFont="1" applyFill="1" applyBorder="1">
      <alignment horizontal="center" vertical="center"/>
      <protection hidden="1"/>
    </xf>
    <xf numFmtId="0" fontId="0" fillId="0" borderId="0" xfId="0" applyAlignment="1" applyProtection="1">
      <alignment horizontal="center" vertical="center" wrapText="1"/>
      <protection hidden="1"/>
    </xf>
    <xf numFmtId="0" fontId="0" fillId="0" borderId="75" xfId="0" applyFill="1" applyBorder="1"/>
    <xf numFmtId="0" fontId="0" fillId="0" borderId="76" xfId="0" applyFill="1" applyBorder="1"/>
    <xf numFmtId="0" fontId="0" fillId="0" borderId="77" xfId="0" applyFill="1" applyBorder="1"/>
    <xf numFmtId="167" fontId="5" fillId="4" borderId="58" xfId="1" applyFont="1" applyFill="1" applyBorder="1">
      <alignment horizontal="center" vertical="center"/>
      <protection hidden="1"/>
    </xf>
    <xf numFmtId="167" fontId="5" fillId="0" borderId="58" xfId="1" applyFont="1" applyFill="1" applyBorder="1">
      <alignment horizontal="center" vertical="center"/>
      <protection hidden="1"/>
    </xf>
    <xf numFmtId="1" fontId="0" fillId="0" borderId="0" xfId="0" applyNumberFormat="1" applyAlignment="1" applyProtection="1">
      <alignment horizontal="right" vertical="center"/>
      <protection hidden="1"/>
    </xf>
    <xf numFmtId="49" fontId="6" fillId="0" borderId="0" xfId="9" applyFill="1" applyBorder="1">
      <alignment horizontal="left" indent="1"/>
      <protection hidden="1"/>
    </xf>
    <xf numFmtId="0" fontId="3" fillId="0" borderId="0" xfId="0" applyFont="1" applyBorder="1" applyAlignment="1" applyProtection="1">
      <alignment vertical="center"/>
      <protection hidden="1"/>
    </xf>
    <xf numFmtId="0" fontId="0" fillId="0" borderId="0" xfId="0" applyAlignment="1">
      <alignment wrapText="1"/>
    </xf>
    <xf numFmtId="0" fontId="0" fillId="11" borderId="2" xfId="0" applyFill="1" applyBorder="1" applyAlignment="1">
      <alignment wrapText="1"/>
    </xf>
    <xf numFmtId="167" fontId="5" fillId="0" borderId="66" xfId="1" applyFont="1" applyBorder="1">
      <alignment horizontal="center" vertical="center"/>
      <protection hidden="1"/>
    </xf>
    <xf numFmtId="167" fontId="6" fillId="4" borderId="61" xfId="1" applyFill="1" applyBorder="1">
      <alignment horizontal="center" vertical="center"/>
      <protection hidden="1"/>
    </xf>
    <xf numFmtId="169" fontId="5" fillId="4" borderId="57" xfId="4" applyFont="1" applyFill="1" applyBorder="1">
      <alignment horizontal="center" vertical="center" wrapText="1"/>
      <protection hidden="1"/>
    </xf>
    <xf numFmtId="169" fontId="5" fillId="0" borderId="57" xfId="4" applyFont="1" applyBorder="1">
      <alignment horizontal="center" vertical="center" wrapText="1"/>
      <protection hidden="1"/>
    </xf>
    <xf numFmtId="167" fontId="5" fillId="0" borderId="58" xfId="1" applyFont="1" applyBorder="1">
      <alignment horizontal="center" vertical="center"/>
      <protection hidden="1"/>
    </xf>
    <xf numFmtId="167" fontId="6" fillId="0" borderId="66" xfId="1" applyBorder="1">
      <alignment horizontal="center" vertical="center"/>
      <protection hidden="1"/>
    </xf>
    <xf numFmtId="169" fontId="6" fillId="4" borderId="60" xfId="4" applyFill="1" applyBorder="1">
      <alignment horizontal="center" vertical="center" wrapText="1"/>
      <protection hidden="1"/>
    </xf>
    <xf numFmtId="3" fontId="0" fillId="4" borderId="10" xfId="0" applyNumberFormat="1" applyFill="1" applyBorder="1" applyAlignment="1" applyProtection="1">
      <alignment horizontal="right" vertical="center"/>
      <protection locked="0"/>
    </xf>
    <xf numFmtId="3" fontId="0" fillId="0" borderId="10" xfId="0" applyNumberFormat="1" applyBorder="1" applyAlignment="1" applyProtection="1">
      <alignment horizontal="right" vertical="center"/>
      <protection locked="0"/>
    </xf>
    <xf numFmtId="3" fontId="5" fillId="0" borderId="10" xfId="0" applyNumberFormat="1" applyFont="1" applyBorder="1" applyAlignment="1" applyProtection="1">
      <alignment horizontal="right" vertical="center"/>
      <protection locked="0"/>
    </xf>
    <xf numFmtId="3" fontId="0" fillId="4" borderId="13" xfId="0" applyNumberFormat="1" applyFill="1" applyBorder="1" applyAlignment="1" applyProtection="1">
      <alignment horizontal="right" vertical="center"/>
      <protection locked="0"/>
    </xf>
    <xf numFmtId="3" fontId="0" fillId="4" borderId="15" xfId="0" applyNumberFormat="1" applyFill="1" applyBorder="1" applyAlignment="1" applyProtection="1">
      <alignment horizontal="right" vertical="center"/>
      <protection locked="0"/>
    </xf>
    <xf numFmtId="3" fontId="0" fillId="0" borderId="13" xfId="0" applyNumberFormat="1" applyBorder="1" applyAlignment="1" applyProtection="1">
      <alignment horizontal="right" vertical="center"/>
      <protection locked="0"/>
    </xf>
    <xf numFmtId="3" fontId="0" fillId="0" borderId="15" xfId="0" applyNumberFormat="1" applyBorder="1" applyAlignment="1" applyProtection="1">
      <alignment horizontal="right" vertical="center"/>
      <protection locked="0"/>
    </xf>
    <xf numFmtId="3" fontId="5" fillId="4" borderId="13" xfId="0" applyNumberFormat="1" applyFont="1" applyFill="1" applyBorder="1" applyAlignment="1" applyProtection="1">
      <alignment horizontal="right" vertical="center"/>
      <protection locked="0"/>
    </xf>
    <xf numFmtId="3" fontId="5" fillId="4" borderId="15" xfId="0" applyNumberFormat="1" applyFont="1" applyFill="1" applyBorder="1" applyAlignment="1" applyProtection="1">
      <alignment horizontal="right" vertical="center"/>
      <protection locked="0"/>
    </xf>
    <xf numFmtId="3" fontId="5" fillId="0" borderId="13" xfId="0" applyNumberFormat="1" applyFont="1" applyBorder="1" applyAlignment="1" applyProtection="1">
      <alignment horizontal="right" vertical="center"/>
      <protection locked="0"/>
    </xf>
    <xf numFmtId="3" fontId="5" fillId="0" borderId="15" xfId="0" applyNumberFormat="1" applyFont="1" applyBorder="1" applyAlignment="1" applyProtection="1">
      <alignment horizontal="right" vertical="center"/>
      <protection locked="0"/>
    </xf>
    <xf numFmtId="3" fontId="5" fillId="0" borderId="58" xfId="0" applyNumberFormat="1" applyFont="1" applyBorder="1" applyAlignment="1" applyProtection="1">
      <alignment horizontal="right" vertical="center"/>
      <protection locked="0"/>
    </xf>
    <xf numFmtId="3" fontId="5" fillId="0" borderId="59" xfId="0" applyNumberFormat="1" applyFont="1" applyBorder="1" applyAlignment="1" applyProtection="1">
      <alignment horizontal="right" vertical="center"/>
      <protection locked="0"/>
    </xf>
    <xf numFmtId="3" fontId="0" fillId="0" borderId="66" xfId="0" applyNumberFormat="1" applyBorder="1" applyAlignment="1" applyProtection="1">
      <alignment horizontal="right" vertical="center"/>
      <protection locked="0"/>
    </xf>
    <xf numFmtId="3" fontId="0" fillId="0" borderId="67" xfId="0" applyNumberFormat="1" applyBorder="1" applyAlignment="1" applyProtection="1">
      <alignment horizontal="right" vertical="center"/>
      <protection locked="0"/>
    </xf>
    <xf numFmtId="0" fontId="0" fillId="0" borderId="0" xfId="0" quotePrefix="1" applyAlignment="1" applyProtection="1">
      <alignment vertical="center"/>
      <protection hidden="1"/>
    </xf>
    <xf numFmtId="0" fontId="0" fillId="0" borderId="0" xfId="0" applyBorder="1" applyAlignment="1" applyProtection="1">
      <alignment vertical="center"/>
      <protection hidden="1"/>
    </xf>
    <xf numFmtId="0" fontId="7" fillId="0" borderId="0" xfId="0" applyFont="1" applyFill="1" applyAlignment="1" applyProtection="1">
      <alignment horizontal="left" indent="1"/>
      <protection hidden="1"/>
    </xf>
    <xf numFmtId="0" fontId="3" fillId="0" borderId="2" xfId="0" applyFont="1" applyBorder="1" applyAlignment="1" applyProtection="1">
      <alignment horizontal="center" vertical="center" wrapText="1"/>
      <protection hidden="1"/>
    </xf>
    <xf numFmtId="171" fontId="0" fillId="0" borderId="2" xfId="0" applyNumberFormat="1" applyBorder="1" applyAlignment="1" applyProtection="1">
      <alignment horizontal="center" vertical="center"/>
      <protection hidden="1"/>
    </xf>
    <xf numFmtId="171" fontId="0" fillId="0" borderId="2" xfId="0" applyNumberFormat="1" applyBorder="1" applyProtection="1">
      <protection hidden="1"/>
    </xf>
    <xf numFmtId="0" fontId="0" fillId="0" borderId="2" xfId="0" applyFill="1" applyBorder="1" applyAlignment="1" applyProtection="1">
      <alignment horizontal="right" indent="1"/>
      <protection hidden="1"/>
    </xf>
    <xf numFmtId="0" fontId="7" fillId="0" borderId="28" xfId="0" applyFont="1" applyFill="1" applyBorder="1" applyProtection="1">
      <protection hidden="1"/>
    </xf>
    <xf numFmtId="0" fontId="0" fillId="0" borderId="24" xfId="0" applyFill="1" applyBorder="1" applyProtection="1">
      <protection hidden="1"/>
    </xf>
    <xf numFmtId="0" fontId="0" fillId="0" borderId="29" xfId="0" applyFill="1" applyBorder="1" applyProtection="1">
      <protection hidden="1"/>
    </xf>
    <xf numFmtId="0" fontId="7" fillId="0" borderId="30" xfId="0" applyFont="1" applyFill="1" applyBorder="1" applyProtection="1">
      <protection hidden="1"/>
    </xf>
    <xf numFmtId="0" fontId="0" fillId="0" borderId="31" xfId="0" applyFill="1" applyBorder="1" applyProtection="1">
      <protection hidden="1"/>
    </xf>
    <xf numFmtId="0" fontId="21" fillId="0" borderId="30" xfId="0" applyFont="1" applyFill="1" applyBorder="1" applyProtection="1">
      <protection hidden="1"/>
    </xf>
    <xf numFmtId="0" fontId="21" fillId="0" borderId="32" xfId="0" applyFont="1" applyFill="1" applyBorder="1" applyProtection="1">
      <protection hidden="1"/>
    </xf>
    <xf numFmtId="0" fontId="0" fillId="0" borderId="4" xfId="0" applyFill="1" applyBorder="1" applyProtection="1">
      <protection hidden="1"/>
    </xf>
    <xf numFmtId="0" fontId="0" fillId="0" borderId="33" xfId="0" applyFill="1" applyBorder="1" applyProtection="1">
      <protection hidden="1"/>
    </xf>
    <xf numFmtId="0" fontId="0" fillId="0" borderId="4" xfId="0" applyBorder="1"/>
    <xf numFmtId="14" fontId="0" fillId="0" borderId="0" xfId="0" applyNumberFormat="1" applyFill="1"/>
    <xf numFmtId="0" fontId="0" fillId="0" borderId="70" xfId="0" applyNumberFormat="1" applyFill="1" applyBorder="1"/>
    <xf numFmtId="0" fontId="25" fillId="13" borderId="54" xfId="12"/>
    <xf numFmtId="165" fontId="0" fillId="0" borderId="0" xfId="0" applyNumberFormat="1" applyProtection="1">
      <protection hidden="1"/>
    </xf>
    <xf numFmtId="0" fontId="0" fillId="0" borderId="0" xfId="0" applyNumberFormat="1" applyAlignment="1" applyProtection="1">
      <alignment horizontal="right"/>
      <protection hidden="1"/>
    </xf>
    <xf numFmtId="165" fontId="0" fillId="0" borderId="0" xfId="0" applyNumberFormat="1" applyBorder="1" applyProtection="1">
      <protection hidden="1"/>
    </xf>
    <xf numFmtId="0" fontId="0" fillId="0" borderId="0" xfId="0" applyNumberFormat="1" applyBorder="1" applyAlignment="1" applyProtection="1">
      <alignment horizontal="right"/>
      <protection hidden="1"/>
    </xf>
    <xf numFmtId="0" fontId="3" fillId="0" borderId="0" xfId="0" applyFont="1" applyAlignment="1" applyProtection="1">
      <alignment vertical="center"/>
      <protection hidden="1"/>
    </xf>
    <xf numFmtId="0" fontId="28" fillId="14" borderId="2" xfId="0" applyFont="1" applyFill="1" applyBorder="1" applyAlignment="1">
      <alignment horizontal="center" vertical="center" wrapText="1"/>
    </xf>
    <xf numFmtId="0" fontId="0" fillId="0" borderId="0" xfId="0" applyFill="1" applyBorder="1" applyAlignment="1" applyProtection="1">
      <alignment horizontal="center" vertical="center"/>
      <protection hidden="1"/>
    </xf>
    <xf numFmtId="0" fontId="16" fillId="3" borderId="94" xfId="0" applyFont="1" applyFill="1" applyBorder="1" applyAlignment="1" applyProtection="1">
      <alignment horizontal="center"/>
      <protection hidden="1"/>
    </xf>
    <xf numFmtId="0" fontId="16" fillId="3" borderId="93" xfId="0" applyFont="1" applyFill="1" applyBorder="1" applyAlignment="1" applyProtection="1">
      <alignment horizontal="center"/>
      <protection hidden="1"/>
    </xf>
    <xf numFmtId="3" fontId="5" fillId="0" borderId="12" xfId="0" applyNumberFormat="1" applyFont="1" applyBorder="1" applyAlignment="1" applyProtection="1">
      <alignment horizontal="right" vertical="center"/>
      <protection hidden="1"/>
    </xf>
    <xf numFmtId="3" fontId="0" fillId="5"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locked="0"/>
    </xf>
    <xf numFmtId="168" fontId="0" fillId="4" borderId="1" xfId="0" applyNumberFormat="1" applyFill="1" applyBorder="1" applyAlignment="1" applyProtection="1">
      <alignment horizontal="right" vertical="center"/>
      <protection locked="0"/>
    </xf>
    <xf numFmtId="3" fontId="5" fillId="4" borderId="99" xfId="0" applyNumberFormat="1" applyFont="1" applyFill="1" applyBorder="1" applyAlignment="1" applyProtection="1">
      <alignment horizontal="right" vertical="center"/>
      <protection hidden="1"/>
    </xf>
    <xf numFmtId="0" fontId="16" fillId="3" borderId="6" xfId="0" quotePrefix="1" applyNumberFormat="1" applyFont="1" applyFill="1" applyBorder="1" applyAlignment="1" applyProtection="1">
      <alignment horizontal="center"/>
      <protection hidden="1"/>
    </xf>
    <xf numFmtId="167" fontId="5" fillId="4" borderId="49" xfId="1" applyFont="1" applyFill="1" applyBorder="1">
      <alignment horizontal="center" vertical="center"/>
      <protection hidden="1"/>
    </xf>
    <xf numFmtId="0" fontId="6" fillId="0" borderId="0" xfId="0" applyFont="1" applyAlignment="1" applyProtection="1">
      <alignment horizontal="right" vertical="center"/>
      <protection hidden="1"/>
    </xf>
    <xf numFmtId="49" fontId="5" fillId="0" borderId="0" xfId="9" applyFont="1" applyBorder="1" applyAlignment="1">
      <protection hidden="1"/>
    </xf>
    <xf numFmtId="0" fontId="6" fillId="0" borderId="0" xfId="10" applyBorder="1">
      <alignment horizontal="left" indent="1"/>
      <protection hidden="1"/>
    </xf>
    <xf numFmtId="49" fontId="6" fillId="0" borderId="0" xfId="9" applyBorder="1" applyAlignment="1">
      <alignment vertical="center"/>
      <protection hidden="1"/>
    </xf>
    <xf numFmtId="0" fontId="0" fillId="11" borderId="0" xfId="0" applyFill="1"/>
    <xf numFmtId="0" fontId="0" fillId="11" borderId="0" xfId="0" applyFill="1" applyAlignment="1">
      <alignment horizontal="left" vertical="center" textRotation="90" wrapText="1"/>
    </xf>
    <xf numFmtId="0" fontId="0" fillId="11" borderId="0" xfId="0" applyFill="1" applyAlignment="1">
      <alignment wrapText="1"/>
    </xf>
    <xf numFmtId="49" fontId="0" fillId="18" borderId="16" xfId="4" applyNumberFormat="1" applyFont="1" applyFill="1" applyBorder="1">
      <alignment horizontal="center" vertical="center" wrapText="1"/>
      <protection hidden="1"/>
    </xf>
    <xf numFmtId="0" fontId="0" fillId="16" borderId="0" xfId="0" applyFill="1" applyAlignment="1">
      <alignment wrapText="1"/>
    </xf>
    <xf numFmtId="0" fontId="0" fillId="16" borderId="0" xfId="0" applyFill="1"/>
    <xf numFmtId="0" fontId="0" fillId="16" borderId="0" xfId="0" applyFill="1" applyAlignment="1">
      <alignment horizontal="left" vertical="center" textRotation="90" wrapText="1"/>
    </xf>
    <xf numFmtId="3" fontId="5" fillId="20" borderId="58" xfId="0" applyNumberFormat="1" applyFont="1" applyFill="1" applyBorder="1" applyAlignment="1" applyProtection="1">
      <alignment horizontal="right" vertical="center"/>
      <protection hidden="1"/>
    </xf>
    <xf numFmtId="0" fontId="0" fillId="0" borderId="0" xfId="0" applyAlignment="1">
      <alignment horizontal="left" vertical="top" wrapText="1"/>
    </xf>
    <xf numFmtId="0" fontId="28" fillId="0" borderId="2" xfId="0" applyFont="1" applyBorder="1" applyAlignment="1">
      <alignment horizontal="center" vertical="center" wrapText="1"/>
    </xf>
    <xf numFmtId="0" fontId="6" fillId="0" borderId="0" xfId="10" applyBorder="1" applyAlignment="1">
      <protection hidden="1"/>
    </xf>
    <xf numFmtId="0" fontId="0" fillId="0" borderId="117" xfId="0" applyBorder="1"/>
    <xf numFmtId="0" fontId="35" fillId="0" borderId="0" xfId="0" applyFont="1" applyProtection="1">
      <protection hidden="1"/>
    </xf>
    <xf numFmtId="165" fontId="35" fillId="0" borderId="0" xfId="0" applyNumberFormat="1" applyFont="1" applyProtection="1">
      <protection hidden="1"/>
    </xf>
    <xf numFmtId="0" fontId="35" fillId="0" borderId="0" xfId="0" applyNumberFormat="1" applyFont="1" applyAlignment="1" applyProtection="1">
      <alignment horizontal="right"/>
      <protection hidden="1"/>
    </xf>
    <xf numFmtId="0" fontId="0" fillId="0" borderId="117" xfId="0" applyBorder="1" applyProtection="1">
      <protection hidden="1"/>
    </xf>
    <xf numFmtId="165" fontId="0" fillId="0" borderId="117" xfId="0" applyNumberFormat="1" applyBorder="1" applyProtection="1">
      <protection hidden="1"/>
    </xf>
    <xf numFmtId="0" fontId="0" fillId="0" borderId="117" xfId="0" applyNumberFormat="1" applyBorder="1" applyAlignment="1" applyProtection="1">
      <alignment horizontal="right"/>
      <protection hidden="1"/>
    </xf>
    <xf numFmtId="0" fontId="0" fillId="0" borderId="117" xfId="0" applyBorder="1" applyAlignment="1" applyProtection="1">
      <alignment horizontal="right" vertical="center"/>
      <protection hidden="1"/>
    </xf>
    <xf numFmtId="49" fontId="28" fillId="0" borderId="2" xfId="0" applyNumberFormat="1" applyFont="1" applyBorder="1" applyAlignment="1">
      <alignment horizontal="center" vertical="center" wrapText="1"/>
    </xf>
    <xf numFmtId="49" fontId="5" fillId="14" borderId="2" xfId="4" applyNumberFormat="1" applyFont="1" applyFill="1" applyBorder="1" applyAlignment="1">
      <alignment horizontal="left" vertical="center" wrapText="1"/>
      <protection hidden="1"/>
    </xf>
    <xf numFmtId="0" fontId="28" fillId="14" borderId="2" xfId="0" applyFont="1" applyFill="1" applyBorder="1" applyAlignment="1">
      <alignment horizontal="left" vertical="center" wrapText="1"/>
    </xf>
    <xf numFmtId="169" fontId="0" fillId="14" borderId="2" xfId="4" applyFont="1" applyFill="1" applyBorder="1" applyAlignment="1">
      <alignment horizontal="left" vertical="center" wrapText="1"/>
      <protection hidden="1"/>
    </xf>
    <xf numFmtId="0" fontId="28" fillId="14" borderId="92" xfId="0" applyFont="1" applyFill="1" applyBorder="1" applyAlignment="1">
      <alignment horizontal="left" vertical="center" wrapText="1"/>
    </xf>
    <xf numFmtId="169" fontId="5" fillId="18" borderId="16" xfId="4" applyFont="1" applyFill="1" applyBorder="1" applyAlignment="1">
      <alignment horizontal="left" vertical="center" wrapText="1"/>
      <protection hidden="1"/>
    </xf>
    <xf numFmtId="49" fontId="5" fillId="18" borderId="16" xfId="4" applyNumberFormat="1" applyFont="1" applyFill="1" applyBorder="1" applyAlignment="1">
      <alignment horizontal="left" vertical="center" wrapText="1"/>
      <protection hidden="1"/>
    </xf>
    <xf numFmtId="49" fontId="5" fillId="18" borderId="0" xfId="0" applyNumberFormat="1" applyFont="1" applyFill="1" applyAlignment="1">
      <alignment horizontal="left" vertical="center" wrapText="1"/>
    </xf>
    <xf numFmtId="0" fontId="5" fillId="18" borderId="0" xfId="0" applyFont="1" applyFill="1" applyAlignment="1">
      <alignment horizontal="left" vertical="center"/>
    </xf>
    <xf numFmtId="49" fontId="0" fillId="18" borderId="16" xfId="4" applyNumberFormat="1" applyFont="1" applyFill="1" applyBorder="1" applyAlignment="1">
      <alignment horizontal="left" vertical="center" wrapText="1"/>
      <protection hidden="1"/>
    </xf>
    <xf numFmtId="169" fontId="0" fillId="18" borderId="16" xfId="4" applyFont="1" applyFill="1" applyBorder="1" applyAlignment="1">
      <alignment horizontal="left" vertical="center" wrapText="1"/>
      <protection hidden="1"/>
    </xf>
    <xf numFmtId="169" fontId="5" fillId="18" borderId="0" xfId="4" applyFont="1" applyFill="1" applyBorder="1" applyAlignment="1">
      <alignment horizontal="left" vertical="center" wrapText="1"/>
      <protection hidden="1"/>
    </xf>
    <xf numFmtId="49" fontId="5" fillId="18" borderId="0" xfId="4" applyNumberFormat="1" applyFont="1" applyFill="1" applyBorder="1" applyAlignment="1">
      <alignment horizontal="left" vertical="center" wrapText="1"/>
      <protection hidden="1"/>
    </xf>
    <xf numFmtId="169" fontId="5" fillId="15" borderId="0" xfId="4" applyFont="1" applyFill="1" applyBorder="1" applyAlignment="1">
      <alignment horizontal="left" vertical="center" wrapText="1"/>
      <protection hidden="1"/>
    </xf>
    <xf numFmtId="0" fontId="5" fillId="0" borderId="0" xfId="0" applyFont="1" applyAlignment="1">
      <alignment horizontal="left" wrapText="1"/>
    </xf>
    <xf numFmtId="0" fontId="5" fillId="0" borderId="0" xfId="0" applyFont="1" applyAlignment="1">
      <alignment horizontal="left"/>
    </xf>
    <xf numFmtId="0" fontId="28" fillId="0" borderId="2" xfId="0" applyFont="1" applyBorder="1" applyAlignment="1">
      <alignment horizontal="left" vertical="center" wrapText="1"/>
    </xf>
    <xf numFmtId="0" fontId="28" fillId="0" borderId="2" xfId="0" applyFont="1" applyBorder="1" applyAlignment="1">
      <alignment horizontal="left" wrapText="1"/>
    </xf>
    <xf numFmtId="0" fontId="33" fillId="6" borderId="54" xfId="2" applyFont="1" applyAlignment="1">
      <alignment horizontal="left"/>
    </xf>
    <xf numFmtId="0" fontId="34" fillId="0" borderId="2" xfId="0" applyFont="1" applyBorder="1" applyAlignment="1" applyProtection="1">
      <alignment horizontal="left" wrapText="1"/>
      <protection locked="0"/>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17" borderId="0" xfId="0" applyFill="1" applyAlignment="1">
      <alignment horizontal="left" vertical="center"/>
    </xf>
    <xf numFmtId="49" fontId="0" fillId="0" borderId="0" xfId="0" applyNumberFormat="1" applyAlignment="1">
      <alignment horizontal="center" vertical="center" wrapText="1"/>
    </xf>
    <xf numFmtId="0" fontId="0" fillId="0" borderId="0" xfId="0" applyAlignment="1">
      <alignment horizontal="left" wrapText="1"/>
    </xf>
    <xf numFmtId="49" fontId="0" fillId="0" borderId="0" xfId="0" applyNumberFormat="1" applyAlignment="1">
      <alignment horizontal="left" vertical="center" wrapText="1"/>
    </xf>
    <xf numFmtId="49" fontId="0" fillId="18" borderId="0" xfId="0" applyNumberFormat="1" applyFill="1" applyAlignment="1">
      <alignment horizontal="left" vertical="center" wrapText="1"/>
    </xf>
    <xf numFmtId="0" fontId="0" fillId="18" borderId="0" xfId="0" applyFill="1" applyAlignment="1">
      <alignment horizontal="left" vertical="center"/>
    </xf>
    <xf numFmtId="0" fontId="0" fillId="18" borderId="0" xfId="0" applyFill="1" applyAlignment="1">
      <alignment horizontal="left"/>
    </xf>
    <xf numFmtId="0" fontId="0" fillId="18" borderId="0" xfId="0" applyFill="1" applyAlignment="1">
      <alignment horizontal="left" wrapText="1"/>
    </xf>
    <xf numFmtId="16" fontId="0" fillId="18" borderId="0" xfId="0" applyNumberFormat="1" applyFill="1" applyAlignment="1">
      <alignment horizontal="left"/>
    </xf>
    <xf numFmtId="0" fontId="0" fillId="0" borderId="0" xfId="0" applyBorder="1" applyAlignment="1">
      <alignment horizontal="left" wrapText="1"/>
    </xf>
    <xf numFmtId="0" fontId="0" fillId="0" borderId="0" xfId="0" applyBorder="1" applyAlignment="1">
      <alignment horizontal="left"/>
    </xf>
    <xf numFmtId="49" fontId="0" fillId="0" borderId="0" xfId="0" applyNumberFormat="1" applyBorder="1" applyAlignment="1">
      <alignment horizontal="left" vertical="center" wrapText="1"/>
    </xf>
    <xf numFmtId="0" fontId="0" fillId="11" borderId="0" xfId="0" applyFill="1" applyAlignment="1">
      <alignment horizontal="left" vertical="center"/>
    </xf>
    <xf numFmtId="0" fontId="0" fillId="0" borderId="0" xfId="0" applyNumberFormat="1" applyAlignment="1">
      <alignment horizontal="left" vertical="center" wrapText="1"/>
    </xf>
    <xf numFmtId="0" fontId="0" fillId="0" borderId="0" xfId="0" applyBorder="1" applyAlignment="1">
      <alignment horizontal="left" vertical="center"/>
    </xf>
    <xf numFmtId="0" fontId="0" fillId="0" borderId="0" xfId="0" applyNumberFormat="1" applyBorder="1" applyAlignment="1">
      <alignment horizontal="left" vertical="center" wrapText="1"/>
    </xf>
    <xf numFmtId="0" fontId="12" fillId="6" borderId="54" xfId="2" applyAlignment="1">
      <alignment horizontal="left"/>
    </xf>
    <xf numFmtId="0" fontId="12" fillId="6" borderId="54" xfId="2" applyAlignment="1">
      <alignment horizontal="left" vertical="center"/>
    </xf>
    <xf numFmtId="0" fontId="0" fillId="19" borderId="2" xfId="0" applyFill="1" applyBorder="1" applyAlignment="1">
      <alignment horizontal="left" vertical="center"/>
    </xf>
    <xf numFmtId="0" fontId="0" fillId="0" borderId="2" xfId="0" applyBorder="1" applyAlignment="1">
      <alignment horizontal="left" vertical="center"/>
    </xf>
    <xf numFmtId="0" fontId="12" fillId="6" borderId="54" xfId="2" applyAlignment="1">
      <alignment horizontal="left" vertical="center" wrapText="1"/>
    </xf>
    <xf numFmtId="0" fontId="33" fillId="6" borderId="54" xfId="2" applyFont="1" applyAlignment="1">
      <alignment horizontal="left" vertical="center"/>
    </xf>
    <xf numFmtId="0" fontId="0" fillId="19" borderId="0" xfId="0" applyFill="1" applyAlignment="1">
      <alignment horizontal="left" vertical="center"/>
    </xf>
    <xf numFmtId="0" fontId="0" fillId="19" borderId="0" xfId="0" applyFill="1" applyAlignment="1">
      <alignment horizontal="left"/>
    </xf>
    <xf numFmtId="49" fontId="0" fillId="19" borderId="0" xfId="0" applyNumberFormat="1" applyFill="1" applyAlignment="1">
      <alignment horizontal="left" vertical="center" wrapText="1"/>
    </xf>
    <xf numFmtId="169" fontId="5" fillId="19" borderId="0" xfId="4" applyFont="1" applyFill="1" applyBorder="1" applyAlignment="1">
      <alignment horizontal="left" vertical="center" wrapText="1"/>
      <protection hidden="1"/>
    </xf>
    <xf numFmtId="0" fontId="0" fillId="19" borderId="0" xfId="0" applyFill="1" applyAlignment="1">
      <alignment horizontal="left" vertical="center" wrapText="1"/>
    </xf>
    <xf numFmtId="16" fontId="0" fillId="19" borderId="0" xfId="0" applyNumberFormat="1" applyFill="1" applyAlignment="1">
      <alignment horizontal="left"/>
    </xf>
    <xf numFmtId="49" fontId="0" fillId="19" borderId="0" xfId="0" applyNumberFormat="1" applyFill="1" applyBorder="1" applyAlignment="1">
      <alignment horizontal="left" vertical="center" wrapText="1"/>
    </xf>
    <xf numFmtId="49" fontId="5" fillId="19" borderId="0" xfId="4" applyNumberFormat="1" applyFont="1" applyFill="1" applyBorder="1" applyAlignment="1">
      <alignment horizontal="left" vertical="center" wrapText="1"/>
      <protection hidden="1"/>
    </xf>
    <xf numFmtId="0" fontId="26" fillId="19" borderId="37" xfId="0" applyFont="1" applyFill="1" applyBorder="1" applyAlignment="1">
      <alignment horizontal="left" vertical="center" wrapText="1"/>
    </xf>
    <xf numFmtId="0" fontId="5" fillId="19" borderId="2" xfId="0" applyFont="1" applyFill="1" applyBorder="1" applyAlignment="1" applyProtection="1">
      <alignment horizontal="left" vertical="center" wrapText="1"/>
      <protection hidden="1"/>
    </xf>
    <xf numFmtId="0" fontId="30" fillId="19" borderId="0" xfId="0" applyFont="1" applyFill="1" applyAlignment="1">
      <alignment horizontal="left"/>
    </xf>
    <xf numFmtId="0" fontId="5" fillId="19" borderId="2" xfId="0" applyFont="1" applyFill="1" applyBorder="1" applyAlignment="1" applyProtection="1">
      <alignment horizontal="left" vertical="top" wrapText="1"/>
      <protection hidden="1"/>
    </xf>
    <xf numFmtId="0" fontId="0" fillId="19" borderId="0" xfId="0" applyFill="1" applyAlignment="1">
      <alignment horizontal="left" vertical="top" wrapText="1"/>
    </xf>
    <xf numFmtId="0" fontId="29" fillId="19" borderId="2" xfId="0" applyFont="1" applyFill="1" applyBorder="1" applyAlignment="1" applyProtection="1">
      <alignment horizontal="left" vertical="center" wrapText="1"/>
      <protection hidden="1"/>
    </xf>
    <xf numFmtId="0" fontId="36" fillId="19" borderId="0" xfId="0" applyFont="1" applyFill="1" applyAlignment="1">
      <alignment horizontal="left"/>
    </xf>
    <xf numFmtId="0" fontId="30" fillId="19" borderId="2" xfId="0" applyFont="1" applyFill="1" applyBorder="1" applyAlignment="1" applyProtection="1">
      <alignment horizontal="left" vertical="center" wrapText="1"/>
      <protection hidden="1"/>
    </xf>
    <xf numFmtId="0" fontId="0" fillId="19" borderId="2" xfId="0" applyFill="1" applyBorder="1" applyAlignment="1" applyProtection="1">
      <alignment horizontal="left" vertical="center" wrapText="1"/>
      <protection hidden="1"/>
    </xf>
    <xf numFmtId="0" fontId="37" fillId="19" borderId="0" xfId="0" applyFont="1" applyFill="1" applyAlignment="1">
      <alignment horizontal="left"/>
    </xf>
    <xf numFmtId="0" fontId="29" fillId="19" borderId="21" xfId="0" applyFont="1" applyFill="1" applyBorder="1" applyAlignment="1" applyProtection="1">
      <alignment horizontal="left" vertical="center" wrapText="1"/>
      <protection hidden="1"/>
    </xf>
    <xf numFmtId="0" fontId="5" fillId="19" borderId="21" xfId="0" applyFont="1" applyFill="1" applyBorder="1" applyAlignment="1" applyProtection="1">
      <alignment horizontal="left" vertical="center" wrapText="1"/>
      <protection hidden="1"/>
    </xf>
    <xf numFmtId="169" fontId="6" fillId="0" borderId="65" xfId="4" applyFill="1" applyBorder="1">
      <alignment horizontal="center" vertical="center" wrapText="1"/>
      <protection hidden="1"/>
    </xf>
    <xf numFmtId="169" fontId="6" fillId="21" borderId="57" xfId="4" applyFill="1" applyBorder="1">
      <alignment horizontal="center" vertical="center" wrapText="1"/>
      <protection hidden="1"/>
    </xf>
    <xf numFmtId="169" fontId="38" fillId="21" borderId="57" xfId="4" applyFont="1" applyFill="1" applyBorder="1">
      <alignment horizontal="center" vertical="center" wrapText="1"/>
      <protection hidden="1"/>
    </xf>
    <xf numFmtId="169" fontId="40" fillId="0" borderId="57" xfId="4" applyFont="1" applyFill="1" applyBorder="1">
      <alignment horizontal="center" vertical="center" wrapText="1"/>
      <protection hidden="1"/>
    </xf>
    <xf numFmtId="169" fontId="38" fillId="0" borderId="57" xfId="4" applyFont="1" applyFill="1" applyBorder="1">
      <alignment horizontal="center" vertical="center" wrapText="1"/>
      <protection hidden="1"/>
    </xf>
    <xf numFmtId="169" fontId="40" fillId="21" borderId="57" xfId="4" applyFont="1" applyFill="1" applyBorder="1">
      <alignment horizontal="center" vertical="center" wrapText="1"/>
      <protection hidden="1"/>
    </xf>
    <xf numFmtId="169" fontId="6" fillId="19" borderId="57" xfId="4" applyFill="1" applyBorder="1">
      <alignment horizontal="center" vertical="center" wrapText="1"/>
      <protection hidden="1"/>
    </xf>
    <xf numFmtId="169" fontId="6" fillId="21" borderId="60" xfId="4" applyFill="1" applyBorder="1">
      <alignment horizontal="center" vertical="center" wrapText="1"/>
      <protection hidden="1"/>
    </xf>
    <xf numFmtId="0" fontId="0" fillId="19" borderId="0" xfId="0" applyFill="1"/>
    <xf numFmtId="0" fontId="0" fillId="19" borderId="0" xfId="0" applyNumberFormat="1" applyFill="1"/>
    <xf numFmtId="0" fontId="0" fillId="19" borderId="0" xfId="0" applyFill="1" applyAlignment="1">
      <alignment horizontal="center" vertical="center"/>
    </xf>
    <xf numFmtId="0" fontId="0" fillId="19" borderId="0" xfId="0" applyFill="1" applyAlignment="1">
      <alignment horizontal="left" wrapText="1"/>
    </xf>
    <xf numFmtId="0" fontId="28" fillId="19" borderId="2" xfId="0" applyFont="1" applyFill="1" applyBorder="1" applyAlignment="1">
      <alignment horizontal="center" vertical="center" wrapText="1"/>
    </xf>
    <xf numFmtId="0" fontId="0" fillId="19" borderId="0" xfId="0" applyNumberFormat="1" applyFill="1" applyAlignment="1">
      <alignment horizontal="center" vertical="center"/>
    </xf>
    <xf numFmtId="49" fontId="0" fillId="19" borderId="0" xfId="0" applyNumberFormat="1" applyFill="1" applyAlignment="1">
      <alignment horizontal="center" vertical="center" wrapText="1"/>
    </xf>
    <xf numFmtId="0" fontId="29" fillId="19" borderId="0" xfId="0" applyFont="1" applyFill="1" applyAlignment="1">
      <alignment horizontal="left"/>
    </xf>
    <xf numFmtId="0" fontId="0" fillId="19" borderId="4" xfId="0" applyFill="1" applyBorder="1"/>
    <xf numFmtId="0" fontId="0" fillId="19" borderId="4" xfId="0" applyNumberFormat="1" applyFill="1" applyBorder="1" applyAlignment="1">
      <alignment horizontal="center" vertical="center"/>
    </xf>
    <xf numFmtId="0" fontId="0" fillId="19" borderId="4" xfId="0" applyFill="1" applyBorder="1" applyAlignment="1">
      <alignment horizontal="left" vertical="center"/>
    </xf>
    <xf numFmtId="49" fontId="0" fillId="19" borderId="4" xfId="0" applyNumberFormat="1" applyFill="1" applyBorder="1" applyAlignment="1">
      <alignment horizontal="left" vertical="center" wrapText="1"/>
    </xf>
    <xf numFmtId="169" fontId="5" fillId="14" borderId="118" xfId="4" applyFont="1" applyFill="1" applyBorder="1" applyAlignment="1">
      <alignment horizontal="left" vertical="center" wrapText="1"/>
      <protection hidden="1"/>
    </xf>
    <xf numFmtId="0" fontId="0" fillId="0" borderId="0" xfId="0" applyBorder="1" applyAlignment="1">
      <alignment horizontal="center" vertical="center" wrapText="1"/>
    </xf>
    <xf numFmtId="0" fontId="17" fillId="7" borderId="0" xfId="3" applyFont="1" applyBorder="1" applyAlignment="1">
      <alignment horizontal="center" vertical="center" wrapText="1"/>
    </xf>
    <xf numFmtId="0" fontId="0" fillId="0" borderId="0" xfId="0" applyBorder="1" applyAlignment="1">
      <alignment horizontal="left" vertical="center" wrapText="1"/>
    </xf>
    <xf numFmtId="0" fontId="31" fillId="0" borderId="0" xfId="0" applyFont="1" applyFill="1" applyBorder="1" applyAlignment="1" applyProtection="1">
      <alignment vertical="center" wrapText="1"/>
      <protection hidden="1"/>
    </xf>
    <xf numFmtId="0" fontId="26" fillId="0" borderId="0" xfId="0" applyFont="1" applyFill="1" applyBorder="1" applyAlignment="1">
      <alignment vertical="center" wrapText="1"/>
    </xf>
    <xf numFmtId="3" fontId="0" fillId="4" borderId="16" xfId="0" applyNumberFormat="1" applyFill="1" applyBorder="1" applyAlignment="1" applyProtection="1">
      <alignment horizontal="center" vertical="center"/>
      <protection hidden="1"/>
    </xf>
    <xf numFmtId="3" fontId="0" fillId="0" borderId="16" xfId="0" applyNumberFormat="1" applyBorder="1" applyAlignment="1" applyProtection="1">
      <alignment horizontal="center" vertical="center"/>
      <protection hidden="1"/>
    </xf>
    <xf numFmtId="3" fontId="0" fillId="4" borderId="91" xfId="0" applyNumberFormat="1" applyFill="1" applyBorder="1" applyAlignment="1" applyProtection="1">
      <alignment horizontal="center" vertical="center"/>
      <protection hidden="1"/>
    </xf>
    <xf numFmtId="3" fontId="0" fillId="4" borderId="119" xfId="0" applyNumberFormat="1" applyFill="1" applyBorder="1" applyAlignment="1" applyProtection="1">
      <alignment horizontal="center" vertical="center"/>
      <protection locked="0"/>
    </xf>
    <xf numFmtId="3" fontId="0" fillId="0" borderId="120" xfId="0" applyNumberFormat="1" applyBorder="1" applyAlignment="1" applyProtection="1">
      <alignment horizontal="center" vertical="center"/>
      <protection locked="0"/>
    </xf>
    <xf numFmtId="3" fontId="0" fillId="4" borderId="120" xfId="0" applyNumberFormat="1" applyFill="1" applyBorder="1" applyAlignment="1" applyProtection="1">
      <alignment horizontal="center" vertical="center"/>
      <protection locked="0"/>
    </xf>
    <xf numFmtId="3" fontId="0" fillId="0" borderId="121" xfId="0" applyNumberFormat="1" applyBorder="1" applyAlignment="1" applyProtection="1">
      <alignment horizontal="center" vertical="center"/>
      <protection locked="0"/>
    </xf>
    <xf numFmtId="3" fontId="0" fillId="0" borderId="122" xfId="0" applyNumberFormat="1" applyBorder="1" applyAlignment="1" applyProtection="1">
      <alignment horizontal="center" vertical="center"/>
      <protection hidden="1"/>
    </xf>
    <xf numFmtId="0" fontId="5" fillId="19" borderId="0" xfId="0" applyFont="1" applyFill="1"/>
    <xf numFmtId="0" fontId="5" fillId="19" borderId="4" xfId="0" applyFont="1" applyFill="1" applyBorder="1"/>
    <xf numFmtId="0" fontId="0" fillId="0" borderId="117" xfId="0" applyNumberFormat="1" applyBorder="1"/>
    <xf numFmtId="169" fontId="5" fillId="14" borderId="22" xfId="4" applyFont="1" applyFill="1" applyBorder="1" applyAlignment="1">
      <alignment horizontal="left" vertical="center" wrapText="1"/>
      <protection hidden="1"/>
    </xf>
    <xf numFmtId="169" fontId="0" fillId="14" borderId="22" xfId="4" applyFont="1" applyFill="1" applyBorder="1" applyAlignment="1">
      <alignment horizontal="left" vertical="center" wrapText="1"/>
      <protection hidden="1"/>
    </xf>
    <xf numFmtId="0" fontId="28" fillId="0" borderId="0" xfId="0" applyFont="1" applyBorder="1" applyAlignment="1">
      <alignment horizontal="left" vertical="center" wrapText="1"/>
    </xf>
    <xf numFmtId="169" fontId="0" fillId="14" borderId="98" xfId="4" applyFont="1" applyFill="1" applyBorder="1" applyAlignment="1">
      <alignment horizontal="left" vertical="center" wrapText="1"/>
      <protection hidden="1"/>
    </xf>
    <xf numFmtId="169" fontId="0" fillId="14" borderId="13" xfId="4" applyFont="1" applyFill="1" applyBorder="1" applyAlignment="1">
      <alignment horizontal="left" vertical="center" wrapText="1"/>
      <protection hidden="1"/>
    </xf>
    <xf numFmtId="169" fontId="5" fillId="14" borderId="13" xfId="4" applyFont="1" applyFill="1" applyBorder="1" applyAlignment="1">
      <alignment horizontal="left" vertical="center" wrapText="1"/>
      <protection hidden="1"/>
    </xf>
    <xf numFmtId="169" fontId="5" fillId="14" borderId="93" xfId="4" applyFont="1" applyFill="1" applyBorder="1" applyAlignment="1">
      <alignment horizontal="left" vertical="center" wrapText="1"/>
      <protection hidden="1"/>
    </xf>
    <xf numFmtId="169" fontId="5" fillId="18" borderId="13" xfId="4" applyFont="1" applyFill="1" applyBorder="1" applyAlignment="1">
      <alignment horizontal="left" vertical="center" wrapText="1"/>
      <protection hidden="1"/>
    </xf>
    <xf numFmtId="49" fontId="0" fillId="18" borderId="13" xfId="4" applyNumberFormat="1" applyFont="1" applyFill="1" applyBorder="1" applyAlignment="1">
      <alignment horizontal="left" vertical="center" wrapText="1"/>
      <protection hidden="1"/>
    </xf>
    <xf numFmtId="49" fontId="5" fillId="18" borderId="13" xfId="4" applyNumberFormat="1" applyFont="1" applyFill="1" applyBorder="1" applyAlignment="1">
      <alignment horizontal="left" vertical="center" wrapText="1"/>
      <protection hidden="1"/>
    </xf>
    <xf numFmtId="169" fontId="0" fillId="18" borderId="13" xfId="4" applyFont="1" applyFill="1" applyBorder="1" applyAlignment="1">
      <alignment horizontal="left" vertical="center" wrapText="1"/>
      <protection hidden="1"/>
    </xf>
    <xf numFmtId="0" fontId="28" fillId="19" borderId="0" xfId="0" applyFont="1" applyFill="1" applyBorder="1" applyAlignment="1">
      <alignment horizontal="left" vertical="center" wrapText="1"/>
    </xf>
    <xf numFmtId="0" fontId="28" fillId="19" borderId="0" xfId="0" applyFont="1" applyFill="1" applyBorder="1" applyAlignment="1">
      <alignment horizontal="left" wrapText="1"/>
    </xf>
    <xf numFmtId="0" fontId="28" fillId="19" borderId="0" xfId="0" applyFont="1" applyFill="1" applyBorder="1" applyAlignment="1">
      <alignment horizontal="left" vertical="top" wrapText="1"/>
    </xf>
    <xf numFmtId="0" fontId="38" fillId="0" borderId="0" xfId="0" applyFont="1" applyBorder="1" applyAlignment="1" applyProtection="1">
      <alignment vertical="center" wrapText="1"/>
      <protection hidden="1"/>
    </xf>
    <xf numFmtId="0" fontId="38" fillId="21" borderId="0" xfId="0" applyFont="1" applyFill="1" applyBorder="1" applyAlignment="1" applyProtection="1">
      <alignment vertical="center" wrapText="1"/>
      <protection hidden="1"/>
    </xf>
    <xf numFmtId="0" fontId="39" fillId="0" borderId="0" xfId="0" applyFont="1" applyBorder="1" applyAlignment="1" applyProtection="1">
      <alignment vertical="center" wrapText="1"/>
      <protection hidden="1"/>
    </xf>
    <xf numFmtId="0" fontId="40" fillId="21" borderId="0" xfId="0" applyFont="1" applyFill="1" applyBorder="1" applyAlignment="1" applyProtection="1">
      <alignment vertical="center" wrapText="1"/>
      <protection hidden="1"/>
    </xf>
    <xf numFmtId="0" fontId="40" fillId="0" borderId="0" xfId="0" applyFont="1" applyBorder="1" applyAlignment="1" applyProtection="1">
      <alignment vertical="center" wrapText="1"/>
      <protection hidden="1"/>
    </xf>
    <xf numFmtId="0" fontId="38" fillId="19" borderId="0" xfId="0" applyFont="1" applyFill="1" applyBorder="1" applyAlignment="1" applyProtection="1">
      <alignment vertical="center" wrapText="1"/>
      <protection hidden="1"/>
    </xf>
    <xf numFmtId="3" fontId="5" fillId="20" borderId="13" xfId="0" applyNumberFormat="1" applyFont="1" applyFill="1" applyBorder="1" applyAlignment="1" applyProtection="1">
      <alignment horizontal="right" vertical="center"/>
      <protection hidden="1"/>
    </xf>
    <xf numFmtId="3" fontId="5" fillId="20" borderId="1" xfId="0" applyNumberFormat="1" applyFont="1" applyFill="1" applyBorder="1" applyAlignment="1" applyProtection="1">
      <alignment horizontal="right" vertical="center"/>
      <protection hidden="1"/>
    </xf>
    <xf numFmtId="3" fontId="5" fillId="0" borderId="99" xfId="0" applyNumberFormat="1" applyFont="1" applyFill="1" applyBorder="1" applyAlignment="1" applyProtection="1">
      <alignment horizontal="right" vertical="center"/>
      <protection hidden="1"/>
    </xf>
    <xf numFmtId="3" fontId="5" fillId="0" borderId="100" xfId="0" applyNumberFormat="1" applyFont="1" applyFill="1" applyBorder="1" applyAlignment="1" applyProtection="1">
      <alignment horizontal="right" vertical="center"/>
      <protection hidden="1"/>
    </xf>
    <xf numFmtId="49" fontId="6" fillId="0" borderId="0" xfId="9" applyBorder="1" applyAlignment="1">
      <alignment horizontal="right" vertical="center"/>
      <protection hidden="1"/>
    </xf>
    <xf numFmtId="3" fontId="5" fillId="0" borderId="0" xfId="0" applyNumberFormat="1" applyFont="1" applyFill="1" applyBorder="1" applyAlignment="1" applyProtection="1">
      <alignment horizontal="right" vertical="center"/>
      <protection hidden="1"/>
    </xf>
    <xf numFmtId="3" fontId="5" fillId="0" borderId="1" xfId="0" applyNumberFormat="1" applyFont="1" applyFill="1" applyBorder="1" applyAlignment="1" applyProtection="1">
      <alignment horizontal="right" vertical="center"/>
      <protection hidden="1"/>
    </xf>
    <xf numFmtId="3" fontId="0" fillId="0" borderId="99" xfId="0" applyNumberFormat="1" applyBorder="1" applyAlignment="1" applyProtection="1">
      <alignment horizontal="right" vertical="center"/>
      <protection locked="0"/>
    </xf>
    <xf numFmtId="3" fontId="0" fillId="4" borderId="99" xfId="0" applyNumberFormat="1" applyFill="1" applyBorder="1" applyAlignment="1" applyProtection="1">
      <alignment horizontal="right" vertical="center"/>
      <protection locked="0"/>
    </xf>
    <xf numFmtId="3" fontId="5" fillId="4" borderId="99" xfId="0" applyNumberFormat="1" applyFont="1" applyFill="1" applyBorder="1" applyAlignment="1" applyProtection="1">
      <alignment horizontal="right" vertical="center"/>
      <protection locked="0"/>
    </xf>
    <xf numFmtId="3" fontId="5" fillId="0" borderId="99" xfId="0" applyNumberFormat="1" applyFont="1" applyBorder="1" applyAlignment="1" applyProtection="1">
      <alignment horizontal="right" vertical="center"/>
      <protection locked="0"/>
    </xf>
    <xf numFmtId="3" fontId="5" fillId="20" borderId="99" xfId="0" applyNumberFormat="1" applyFont="1" applyFill="1" applyBorder="1" applyAlignment="1" applyProtection="1">
      <alignment horizontal="right" vertical="center"/>
      <protection hidden="1"/>
    </xf>
    <xf numFmtId="3" fontId="5" fillId="0" borderId="99" xfId="0" applyNumberFormat="1" applyFont="1" applyBorder="1" applyAlignment="1" applyProtection="1">
      <alignment horizontal="right" vertical="center"/>
      <protection hidden="1"/>
    </xf>
    <xf numFmtId="168" fontId="0" fillId="4" borderId="99" xfId="0" applyNumberFormat="1" applyFill="1" applyBorder="1" applyAlignment="1" applyProtection="1">
      <alignment horizontal="right" vertical="center"/>
      <protection locked="0"/>
    </xf>
    <xf numFmtId="3" fontId="0" fillId="0" borderId="123" xfId="0" applyNumberFormat="1" applyBorder="1" applyAlignment="1" applyProtection="1">
      <alignment horizontal="right" vertical="center"/>
      <protection locked="0"/>
    </xf>
    <xf numFmtId="3" fontId="5" fillId="20" borderId="59" xfId="0" applyNumberFormat="1" applyFont="1" applyFill="1" applyBorder="1" applyAlignment="1" applyProtection="1">
      <alignment horizontal="right" vertical="center"/>
      <protection hidden="1"/>
    </xf>
    <xf numFmtId="0" fontId="16" fillId="3" borderId="94" xfId="0" applyFont="1" applyFill="1" applyBorder="1" applyAlignment="1" applyProtection="1">
      <protection hidden="1"/>
    </xf>
    <xf numFmtId="0" fontId="16" fillId="3" borderId="93" xfId="0" applyFont="1" applyFill="1" applyBorder="1" applyAlignment="1" applyProtection="1">
      <protection hidden="1"/>
    </xf>
    <xf numFmtId="3" fontId="5" fillId="0" borderId="126" xfId="0" applyNumberFormat="1" applyFont="1" applyFill="1" applyBorder="1" applyAlignment="1" applyProtection="1">
      <alignment horizontal="right" vertical="center"/>
      <protection hidden="1"/>
    </xf>
    <xf numFmtId="3" fontId="5" fillId="0" borderId="127" xfId="0" applyNumberFormat="1" applyFont="1" applyFill="1" applyBorder="1" applyAlignment="1" applyProtection="1">
      <alignment horizontal="right" vertical="center"/>
      <protection hidden="1"/>
    </xf>
    <xf numFmtId="0" fontId="16" fillId="3" borderId="128" xfId="0" applyFont="1" applyFill="1" applyBorder="1" applyAlignment="1" applyProtection="1">
      <alignment horizontal="center"/>
      <protection hidden="1"/>
    </xf>
    <xf numFmtId="0" fontId="16" fillId="3" borderId="125" xfId="0" applyFont="1" applyFill="1" applyBorder="1" applyAlignment="1" applyProtection="1">
      <alignment horizontal="center"/>
      <protection hidden="1"/>
    </xf>
    <xf numFmtId="38" fontId="0" fillId="4" borderId="58" xfId="0" applyNumberFormat="1" applyFill="1" applyBorder="1" applyAlignment="1" applyProtection="1">
      <alignment horizontal="right" vertical="center" wrapText="1"/>
      <protection locked="0"/>
    </xf>
    <xf numFmtId="38" fontId="0" fillId="4" borderId="59" xfId="0" applyNumberFormat="1" applyFill="1" applyBorder="1" applyAlignment="1" applyProtection="1">
      <alignment horizontal="right" vertical="center" wrapText="1"/>
      <protection locked="0"/>
    </xf>
    <xf numFmtId="38" fontId="0" fillId="0" borderId="58" xfId="0" applyNumberFormat="1" applyFill="1" applyBorder="1" applyAlignment="1" applyProtection="1">
      <alignment horizontal="right" vertical="center" wrapText="1"/>
      <protection locked="0"/>
    </xf>
    <xf numFmtId="38" fontId="0" fillId="0" borderId="59" xfId="0" applyNumberFormat="1" applyFill="1" applyBorder="1" applyAlignment="1" applyProtection="1">
      <alignment horizontal="right" vertical="center" wrapText="1"/>
      <protection locked="0"/>
    </xf>
    <xf numFmtId="167" fontId="5" fillId="4" borderId="61" xfId="1" applyFont="1" applyFill="1" applyBorder="1">
      <alignment horizontal="center" vertical="center"/>
      <protection hidden="1"/>
    </xf>
    <xf numFmtId="3" fontId="5" fillId="4" borderId="61" xfId="0" applyNumberFormat="1" applyFont="1" applyFill="1" applyBorder="1" applyAlignment="1" applyProtection="1">
      <alignment horizontal="right" vertical="center"/>
      <protection hidden="1"/>
    </xf>
    <xf numFmtId="3" fontId="5" fillId="4" borderId="68" xfId="0" applyNumberFormat="1" applyFont="1" applyFill="1" applyBorder="1" applyAlignment="1" applyProtection="1">
      <alignment horizontal="right" vertical="center"/>
      <protection hidden="1"/>
    </xf>
    <xf numFmtId="3" fontId="0" fillId="0" borderId="117" xfId="0" applyNumberFormat="1" applyFill="1" applyBorder="1" applyAlignment="1" applyProtection="1">
      <alignment horizontal="center" vertical="center"/>
      <protection hidden="1"/>
    </xf>
    <xf numFmtId="49" fontId="6" fillId="0" borderId="4" xfId="9" applyFill="1" applyAlignment="1">
      <alignment horizontal="left" vertical="center"/>
      <protection hidden="1"/>
    </xf>
    <xf numFmtId="49" fontId="6" fillId="0" borderId="4" xfId="9" applyAlignment="1">
      <alignment horizontal="left" vertical="center"/>
      <protection hidden="1"/>
    </xf>
    <xf numFmtId="0" fontId="0" fillId="0" borderId="4" xfId="0" applyBorder="1" applyAlignment="1" applyProtection="1">
      <alignment horizontal="left" vertical="center"/>
      <protection hidden="1"/>
    </xf>
    <xf numFmtId="0" fontId="6" fillId="0" borderId="0" xfId="0" applyFont="1" applyBorder="1" applyAlignment="1" applyProtection="1">
      <alignment horizontal="right" vertical="center"/>
      <protection hidden="1"/>
    </xf>
    <xf numFmtId="0" fontId="45" fillId="0" borderId="0" xfId="0" applyFont="1" applyFill="1" applyProtection="1">
      <protection hidden="1"/>
    </xf>
    <xf numFmtId="0" fontId="44" fillId="0" borderId="0" xfId="0" applyFont="1" applyFill="1" applyProtection="1">
      <protection hidden="1"/>
    </xf>
    <xf numFmtId="0" fontId="0" fillId="0" borderId="0" xfId="0" applyBorder="1" applyAlignment="1">
      <alignment vertical="center"/>
    </xf>
    <xf numFmtId="3" fontId="0" fillId="4" borderId="126" xfId="0" applyNumberFormat="1" applyFill="1" applyBorder="1" applyAlignment="1" applyProtection="1">
      <alignment horizontal="right" vertical="center"/>
      <protection locked="0"/>
    </xf>
    <xf numFmtId="167" fontId="5" fillId="0" borderId="129" xfId="1" applyFont="1" applyFill="1" applyBorder="1">
      <alignment horizontal="center" vertical="center"/>
      <protection hidden="1"/>
    </xf>
    <xf numFmtId="3" fontId="0" fillId="0" borderId="130" xfId="0" applyNumberFormat="1" applyBorder="1" applyAlignment="1" applyProtection="1">
      <alignment horizontal="right" vertical="center"/>
      <protection locked="0"/>
    </xf>
    <xf numFmtId="3" fontId="0" fillId="0" borderId="126" xfId="0" applyNumberFormat="1" applyBorder="1" applyAlignment="1" applyProtection="1">
      <alignment horizontal="right" vertical="center"/>
      <protection locked="0"/>
    </xf>
    <xf numFmtId="3" fontId="0" fillId="4" borderId="132" xfId="0" applyNumberFormat="1" applyFill="1" applyBorder="1" applyAlignment="1" applyProtection="1">
      <alignment horizontal="right" vertical="center"/>
      <protection locked="0"/>
    </xf>
    <xf numFmtId="3" fontId="0" fillId="0" borderId="131" xfId="0" applyNumberFormat="1" applyBorder="1" applyAlignment="1" applyProtection="1">
      <alignment horizontal="right" vertical="center"/>
      <protection locked="0"/>
    </xf>
    <xf numFmtId="3" fontId="5" fillId="22" borderId="1" xfId="0" applyNumberFormat="1" applyFont="1" applyFill="1" applyBorder="1" applyAlignment="1" applyProtection="1">
      <alignment horizontal="right" vertical="center"/>
      <protection hidden="1"/>
    </xf>
    <xf numFmtId="3" fontId="5" fillId="22" borderId="99" xfId="0" applyNumberFormat="1" applyFont="1" applyFill="1" applyBorder="1" applyAlignment="1" applyProtection="1">
      <alignment horizontal="right" vertical="center"/>
      <protection hidden="1"/>
    </xf>
    <xf numFmtId="0" fontId="0" fillId="11" borderId="0" xfId="0" applyFill="1" applyAlignment="1">
      <alignment vertical="center"/>
    </xf>
    <xf numFmtId="0" fontId="4" fillId="0" borderId="133" xfId="0" applyFont="1" applyBorder="1" applyAlignment="1" applyProtection="1">
      <alignment horizontal="left" vertical="center"/>
      <protection hidden="1"/>
    </xf>
    <xf numFmtId="3" fontId="5" fillId="0" borderId="61" xfId="0" applyNumberFormat="1" applyFont="1" applyBorder="1" applyAlignment="1" applyProtection="1">
      <alignment horizontal="right" vertical="center"/>
      <protection locked="0"/>
    </xf>
    <xf numFmtId="3" fontId="5" fillId="0" borderId="124" xfId="0" applyNumberFormat="1" applyFont="1" applyBorder="1" applyAlignment="1" applyProtection="1">
      <alignment horizontal="right" vertical="center"/>
      <protection locked="0"/>
    </xf>
    <xf numFmtId="3" fontId="5" fillId="4" borderId="10" xfId="0" applyNumberFormat="1" applyFont="1" applyFill="1" applyBorder="1" applyAlignment="1" applyProtection="1">
      <alignment horizontal="right" vertical="center"/>
      <protection locked="0"/>
    </xf>
    <xf numFmtId="3" fontId="5" fillId="0" borderId="116" xfId="0" applyNumberFormat="1" applyFont="1" applyBorder="1" applyAlignment="1" applyProtection="1">
      <alignment horizontal="right" vertical="center"/>
      <protection locked="0"/>
    </xf>
    <xf numFmtId="3" fontId="5" fillId="0" borderId="11" xfId="0" applyNumberFormat="1" applyFont="1" applyBorder="1" applyAlignment="1" applyProtection="1">
      <alignment horizontal="right" vertical="center"/>
      <protection locked="0"/>
    </xf>
    <xf numFmtId="0" fontId="24" fillId="0" borderId="0" xfId="0" applyFont="1" applyAlignment="1" applyProtection="1">
      <alignment horizontal="right"/>
      <protection hidden="1"/>
    </xf>
    <xf numFmtId="0" fontId="24" fillId="0" borderId="0" xfId="0" applyFont="1" applyProtection="1">
      <protection hidden="1"/>
    </xf>
    <xf numFmtId="0" fontId="24" fillId="0" borderId="0" xfId="0" applyFont="1" applyAlignment="1" applyProtection="1">
      <alignment horizontal="center" vertical="center"/>
      <protection hidden="1"/>
    </xf>
    <xf numFmtId="0" fontId="24" fillId="0" borderId="0" xfId="0" applyFont="1" applyAlignment="1">
      <alignment wrapText="1"/>
    </xf>
    <xf numFmtId="169" fontId="24" fillId="4" borderId="57" xfId="4" applyFont="1" applyFill="1" applyBorder="1">
      <alignment horizontal="center" vertical="center" wrapText="1"/>
      <protection hidden="1"/>
    </xf>
    <xf numFmtId="3" fontId="0" fillId="0" borderId="13" xfId="0" applyNumberFormat="1" applyBorder="1" applyAlignment="1" applyProtection="1">
      <alignment horizontal="right" vertical="center"/>
      <protection hidden="1"/>
    </xf>
    <xf numFmtId="169" fontId="24" fillId="0" borderId="57" xfId="4" applyFont="1" applyFill="1" applyBorder="1">
      <alignment horizontal="center" vertical="center" wrapText="1"/>
      <protection hidden="1"/>
    </xf>
    <xf numFmtId="0" fontId="32" fillId="3" borderId="62" xfId="0" applyFont="1" applyFill="1" applyBorder="1" applyAlignment="1" applyProtection="1">
      <alignment horizontal="center"/>
      <protection hidden="1"/>
    </xf>
    <xf numFmtId="169" fontId="24" fillId="4" borderId="60" xfId="4" applyFont="1" applyFill="1" applyBorder="1">
      <alignment horizontal="center" vertical="center" wrapText="1"/>
      <protection hidden="1"/>
    </xf>
    <xf numFmtId="0" fontId="24" fillId="0" borderId="4" xfId="0" applyFont="1" applyFill="1" applyBorder="1" applyAlignment="1" applyProtection="1">
      <alignment horizontal="right" vertical="center"/>
      <protection hidden="1"/>
    </xf>
    <xf numFmtId="3" fontId="0" fillId="0" borderId="15"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wrapText="1"/>
      <protection hidden="1"/>
    </xf>
    <xf numFmtId="3" fontId="0" fillId="4" borderId="59" xfId="0" applyNumberFormat="1" applyFill="1" applyBorder="1" applyAlignment="1" applyProtection="1">
      <alignment horizontal="right" vertical="center" wrapText="1"/>
      <protection hidden="1"/>
    </xf>
    <xf numFmtId="169" fontId="5" fillId="0" borderId="65" xfId="4" applyFont="1" applyBorder="1">
      <alignment horizontal="center" vertical="center" wrapText="1"/>
      <protection hidden="1"/>
    </xf>
    <xf numFmtId="3" fontId="6" fillId="0" borderId="58" xfId="0" applyNumberFormat="1" applyFont="1" applyBorder="1" applyAlignment="1" applyProtection="1">
      <alignment horizontal="right" vertical="center"/>
      <protection locked="0"/>
    </xf>
    <xf numFmtId="3" fontId="6" fillId="0" borderId="59" xfId="0" applyNumberFormat="1" applyFont="1" applyBorder="1" applyAlignment="1" applyProtection="1">
      <alignment horizontal="right" vertical="center"/>
      <protection locked="0"/>
    </xf>
    <xf numFmtId="3" fontId="6" fillId="4" borderId="58" xfId="0" applyNumberFormat="1" applyFont="1" applyFill="1" applyBorder="1" applyAlignment="1" applyProtection="1">
      <alignment horizontal="right" vertical="center"/>
      <protection locked="0"/>
    </xf>
    <xf numFmtId="3" fontId="6" fillId="4" borderId="59" xfId="0" applyNumberFormat="1" applyFont="1" applyFill="1" applyBorder="1" applyAlignment="1" applyProtection="1">
      <alignment horizontal="right" vertical="center"/>
      <protection locked="0"/>
    </xf>
    <xf numFmtId="3" fontId="6" fillId="4" borderId="58" xfId="0" applyNumberFormat="1" applyFont="1" applyFill="1" applyBorder="1" applyAlignment="1" applyProtection="1">
      <alignment horizontal="right" vertical="center"/>
      <protection hidden="1"/>
    </xf>
    <xf numFmtId="3" fontId="6" fillId="4" borderId="59" xfId="0" applyNumberFormat="1" applyFont="1" applyFill="1" applyBorder="1" applyAlignment="1" applyProtection="1">
      <alignment horizontal="right" vertical="center"/>
      <protection hidden="1"/>
    </xf>
    <xf numFmtId="3" fontId="6" fillId="0" borderId="58" xfId="0" applyNumberFormat="1" applyFont="1" applyFill="1" applyBorder="1" applyAlignment="1" applyProtection="1">
      <alignment horizontal="right" vertical="center"/>
      <protection hidden="1"/>
    </xf>
    <xf numFmtId="3" fontId="6" fillId="0" borderId="59" xfId="0" applyNumberFormat="1" applyFont="1" applyFill="1" applyBorder="1" applyAlignment="1" applyProtection="1">
      <alignment horizontal="right" vertical="center"/>
      <protection hidden="1"/>
    </xf>
    <xf numFmtId="3" fontId="6" fillId="0" borderId="58" xfId="0" applyNumberFormat="1" applyFont="1" applyFill="1" applyBorder="1" applyAlignment="1" applyProtection="1">
      <alignment horizontal="right" vertical="center"/>
      <protection locked="0"/>
    </xf>
    <xf numFmtId="3" fontId="6" fillId="0" borderId="59" xfId="0" applyNumberFormat="1" applyFont="1" applyFill="1" applyBorder="1" applyAlignment="1" applyProtection="1">
      <alignment horizontal="right" vertical="center"/>
      <protection locked="0"/>
    </xf>
    <xf numFmtId="169" fontId="5" fillId="0" borderId="57" xfId="4" applyFont="1" applyFill="1" applyBorder="1">
      <alignment horizontal="center" vertical="center" wrapText="1"/>
      <protection hidden="1"/>
    </xf>
    <xf numFmtId="0" fontId="16" fillId="3" borderId="135" xfId="0" applyFont="1" applyFill="1" applyBorder="1" applyAlignment="1" applyProtection="1">
      <alignment horizontal="center"/>
      <protection hidden="1"/>
    </xf>
    <xf numFmtId="0" fontId="16" fillId="3" borderId="134" xfId="0" applyFont="1" applyFill="1" applyBorder="1" applyAlignment="1" applyProtection="1">
      <alignment horizontal="center"/>
      <protection hidden="1"/>
    </xf>
    <xf numFmtId="3" fontId="5" fillId="0" borderId="136" xfId="0" applyNumberFormat="1" applyFont="1" applyBorder="1" applyAlignment="1" applyProtection="1">
      <alignment horizontal="right" vertical="center"/>
      <protection hidden="1"/>
    </xf>
    <xf numFmtId="3" fontId="5" fillId="4" borderId="136" xfId="0" applyNumberFormat="1" applyFont="1" applyFill="1" applyBorder="1" applyAlignment="1" applyProtection="1">
      <alignment horizontal="right" vertical="center"/>
      <protection hidden="1"/>
    </xf>
    <xf numFmtId="3" fontId="0" fillId="0" borderId="136" xfId="0" applyNumberFormat="1" applyBorder="1" applyAlignment="1" applyProtection="1">
      <alignment horizontal="right" vertical="center"/>
      <protection hidden="1"/>
    </xf>
    <xf numFmtId="3" fontId="0" fillId="4" borderId="136" xfId="0" applyNumberFormat="1" applyFill="1" applyBorder="1" applyAlignment="1" applyProtection="1">
      <alignment horizontal="right" vertical="center"/>
      <protection hidden="1"/>
    </xf>
    <xf numFmtId="3" fontId="5" fillId="4" borderId="140" xfId="0" applyNumberFormat="1" applyFont="1" applyFill="1" applyBorder="1" applyAlignment="1" applyProtection="1">
      <alignment horizontal="right" vertical="center"/>
      <protection hidden="1"/>
    </xf>
    <xf numFmtId="3" fontId="5" fillId="4" borderId="137" xfId="0" applyNumberFormat="1" applyFont="1" applyFill="1" applyBorder="1" applyAlignment="1" applyProtection="1">
      <alignment horizontal="right"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right" vertical="center"/>
      <protection hidden="1"/>
    </xf>
    <xf numFmtId="0" fontId="16" fillId="3" borderId="155" xfId="0" applyFont="1" applyFill="1" applyBorder="1" applyAlignment="1" applyProtection="1">
      <alignment horizontal="center"/>
      <protection hidden="1"/>
    </xf>
    <xf numFmtId="0" fontId="5" fillId="19" borderId="0" xfId="0" applyFont="1" applyFill="1" applyAlignment="1">
      <alignment horizontal="left" wrapText="1"/>
    </xf>
    <xf numFmtId="0" fontId="5" fillId="19" borderId="0" xfId="0" applyFont="1" applyFill="1" applyAlignment="1">
      <alignment horizontal="left"/>
    </xf>
    <xf numFmtId="0" fontId="5" fillId="19" borderId="4" xfId="0" applyFont="1" applyFill="1" applyBorder="1" applyAlignment="1">
      <alignment horizontal="left"/>
    </xf>
    <xf numFmtId="3" fontId="5" fillId="0" borderId="59" xfId="0" applyNumberFormat="1" applyFont="1" applyBorder="1" applyAlignment="1" applyProtection="1">
      <alignment horizontal="right" vertical="center"/>
      <protection locked="0" hidden="1"/>
    </xf>
    <xf numFmtId="3" fontId="5" fillId="20" borderId="59" xfId="0" applyNumberFormat="1" applyFont="1" applyFill="1" applyBorder="1" applyAlignment="1" applyProtection="1">
      <alignment horizontal="right" vertical="center"/>
      <protection locked="0" hidden="1"/>
    </xf>
    <xf numFmtId="3" fontId="0" fillId="4" borderId="59" xfId="0" applyNumberFormat="1" applyFill="1" applyBorder="1" applyAlignment="1" applyProtection="1">
      <alignment horizontal="right" vertical="center"/>
      <protection hidden="1"/>
    </xf>
    <xf numFmtId="4" fontId="0" fillId="0" borderId="58" xfId="0" applyNumberFormat="1" applyFill="1" applyBorder="1" applyAlignment="1" applyProtection="1">
      <alignment horizontal="right" vertical="center"/>
      <protection locked="0"/>
    </xf>
    <xf numFmtId="4" fontId="0" fillId="0" borderId="59" xfId="0" applyNumberFormat="1" applyFill="1" applyBorder="1" applyAlignment="1" applyProtection="1">
      <alignment horizontal="right" vertical="center"/>
      <protection locked="0"/>
    </xf>
    <xf numFmtId="4" fontId="0" fillId="4" borderId="61" xfId="0" applyNumberFormat="1" applyFill="1" applyBorder="1" applyAlignment="1" applyProtection="1">
      <alignment horizontal="right" vertical="center"/>
      <protection locked="0"/>
    </xf>
    <xf numFmtId="4" fontId="0" fillId="4" borderId="68" xfId="0" applyNumberFormat="1" applyFill="1" applyBorder="1" applyAlignment="1" applyProtection="1">
      <alignment horizontal="right" vertical="center"/>
      <protection locked="0"/>
    </xf>
    <xf numFmtId="172" fontId="6" fillId="0" borderId="58" xfId="0" applyNumberFormat="1" applyFont="1" applyFill="1" applyBorder="1" applyAlignment="1" applyProtection="1">
      <alignment horizontal="right" vertical="center"/>
      <protection locked="0"/>
    </xf>
    <xf numFmtId="172" fontId="6" fillId="0" borderId="59" xfId="0" applyNumberFormat="1" applyFont="1" applyFill="1" applyBorder="1" applyAlignment="1" applyProtection="1">
      <alignment horizontal="right" vertical="center"/>
      <protection locked="0"/>
    </xf>
    <xf numFmtId="0" fontId="16" fillId="3" borderId="1" xfId="0" applyFont="1" applyFill="1" applyBorder="1" applyAlignment="1" applyProtection="1">
      <alignment horizontal="center" vertical="center" wrapText="1"/>
      <protection hidden="1"/>
    </xf>
    <xf numFmtId="3" fontId="5" fillId="0" borderId="157" xfId="0" applyNumberFormat="1" applyFont="1" applyFill="1" applyBorder="1" applyAlignment="1" applyProtection="1">
      <alignment horizontal="right" vertical="center"/>
      <protection locked="0"/>
    </xf>
    <xf numFmtId="3" fontId="6" fillId="0" borderId="126" xfId="0" applyNumberFormat="1" applyFont="1" applyBorder="1" applyAlignment="1" applyProtection="1">
      <alignment horizontal="right" vertical="center"/>
      <protection locked="0"/>
    </xf>
    <xf numFmtId="3" fontId="0" fillId="20" borderId="59" xfId="0" applyNumberFormat="1" applyFill="1" applyBorder="1" applyAlignment="1" applyProtection="1">
      <alignment horizontal="right" vertical="center"/>
      <protection locked="0" hidden="1"/>
    </xf>
    <xf numFmtId="3" fontId="0" fillId="0" borderId="59" xfId="0" applyNumberFormat="1" applyFill="1" applyBorder="1" applyAlignment="1" applyProtection="1">
      <alignment horizontal="right" vertical="center"/>
      <protection locked="0" hidden="1"/>
    </xf>
    <xf numFmtId="3" fontId="5" fillId="22" borderId="59" xfId="0" applyNumberFormat="1" applyFont="1" applyFill="1" applyBorder="1" applyAlignment="1" applyProtection="1">
      <alignment horizontal="right" vertical="center"/>
      <protection hidden="1"/>
    </xf>
    <xf numFmtId="3" fontId="0" fillId="20" borderId="58" xfId="0" applyNumberFormat="1" applyFill="1" applyBorder="1" applyAlignment="1" applyProtection="1">
      <alignment horizontal="right" vertical="center"/>
      <protection hidden="1"/>
    </xf>
    <xf numFmtId="3" fontId="0" fillId="4" borderId="157" xfId="0" applyNumberFormat="1" applyFill="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hidden="1"/>
    </xf>
    <xf numFmtId="3" fontId="6" fillId="4" borderId="61" xfId="0" applyNumberFormat="1" applyFont="1" applyFill="1" applyBorder="1" applyAlignment="1" applyProtection="1">
      <alignment horizontal="right" vertical="center"/>
      <protection locked="0"/>
    </xf>
    <xf numFmtId="3" fontId="6" fillId="0" borderId="66" xfId="0" applyNumberFormat="1" applyFont="1" applyBorder="1" applyAlignment="1" applyProtection="1">
      <alignment horizontal="right" vertical="center"/>
      <protection locked="0"/>
    </xf>
    <xf numFmtId="3" fontId="5" fillId="0" borderId="158" xfId="0" applyNumberFormat="1" applyFont="1" applyFill="1" applyBorder="1" applyAlignment="1" applyProtection="1">
      <alignment horizontal="right" vertical="center" wrapText="1"/>
      <protection hidden="1"/>
    </xf>
    <xf numFmtId="1" fontId="6" fillId="4" borderId="58" xfId="1" applyNumberFormat="1" applyFill="1" applyBorder="1" applyProtection="1">
      <alignment horizontal="center" vertical="center"/>
      <protection locked="0" hidden="1"/>
    </xf>
    <xf numFmtId="3" fontId="5" fillId="0" borderId="126" xfId="0" applyNumberFormat="1" applyFont="1" applyFill="1" applyBorder="1" applyAlignment="1" applyProtection="1">
      <alignment horizontal="right" vertical="center" wrapText="1"/>
      <protection hidden="1"/>
    </xf>
    <xf numFmtId="3" fontId="0" fillId="0" borderId="59" xfId="0" applyNumberFormat="1" applyFill="1" applyBorder="1" applyAlignment="1" applyProtection="1">
      <alignment horizontal="right" vertical="center"/>
      <protection hidden="1"/>
    </xf>
    <xf numFmtId="167" fontId="5" fillId="0" borderId="126" xfId="1" applyFont="1" applyFill="1" applyBorder="1">
      <alignment horizontal="center" vertical="center"/>
      <protection hidden="1"/>
    </xf>
    <xf numFmtId="167" fontId="5" fillId="4" borderId="66" xfId="1" applyFont="1" applyFill="1" applyBorder="1">
      <alignment horizontal="center" vertical="center"/>
      <protection hidden="1"/>
    </xf>
    <xf numFmtId="167" fontId="5" fillId="4" borderId="140" xfId="1" applyFont="1" applyFill="1" applyBorder="1">
      <alignment horizontal="center" vertical="center"/>
      <protection hidden="1"/>
    </xf>
    <xf numFmtId="0" fontId="0" fillId="0" borderId="117" xfId="0" applyBorder="1" applyAlignment="1" applyProtection="1">
      <alignment horizontal="center" vertical="center"/>
      <protection hidden="1"/>
    </xf>
    <xf numFmtId="38" fontId="0" fillId="4" borderId="61" xfId="0" applyNumberFormat="1" applyFill="1" applyBorder="1" applyAlignment="1" applyProtection="1">
      <alignment horizontal="right" vertical="center" wrapText="1"/>
      <protection locked="0"/>
    </xf>
    <xf numFmtId="38" fontId="0" fillId="4" borderId="68" xfId="0" applyNumberFormat="1" applyFill="1" applyBorder="1" applyAlignment="1" applyProtection="1">
      <alignment horizontal="right" vertical="center" wrapText="1"/>
      <protection locked="0"/>
    </xf>
    <xf numFmtId="0" fontId="46" fillId="0" borderId="0" xfId="0" applyFont="1" applyProtection="1">
      <protection hidden="1"/>
    </xf>
    <xf numFmtId="49" fontId="6" fillId="0" borderId="0" xfId="9" applyFill="1" applyBorder="1" applyAlignment="1">
      <alignment vertical="center"/>
      <protection hidden="1"/>
    </xf>
    <xf numFmtId="3" fontId="0" fillId="0" borderId="160" xfId="0" applyNumberFormat="1" applyBorder="1" applyAlignment="1" applyProtection="1">
      <alignment horizontal="right" vertical="center"/>
      <protection locked="0"/>
    </xf>
    <xf numFmtId="1" fontId="6" fillId="4" borderId="85" xfId="1" applyNumberFormat="1" applyFill="1" applyBorder="1" applyProtection="1">
      <alignment horizontal="center" vertical="center"/>
      <protection locked="0" hidden="1"/>
    </xf>
    <xf numFmtId="1" fontId="6" fillId="0" borderId="58" xfId="1" applyNumberFormat="1" applyFill="1" applyBorder="1" applyProtection="1">
      <alignment horizontal="center" vertical="center"/>
      <protection locked="0" hidden="1"/>
    </xf>
    <xf numFmtId="1" fontId="6" fillId="4" borderId="61" xfId="1" applyNumberFormat="1" applyFill="1" applyBorder="1" applyProtection="1">
      <alignment horizontal="center" vertical="center"/>
      <protection locked="0" hidden="1"/>
    </xf>
    <xf numFmtId="173" fontId="6" fillId="4" borderId="58" xfId="13" applyNumberFormat="1" applyFill="1" applyBorder="1" applyAlignment="1" applyProtection="1">
      <alignment horizontal="right" vertical="center"/>
      <protection locked="0" hidden="1"/>
    </xf>
    <xf numFmtId="0" fontId="26" fillId="0" borderId="58" xfId="0" applyNumberFormat="1" applyFont="1" applyFill="1" applyBorder="1" applyAlignment="1" applyProtection="1">
      <alignment horizontal="right" vertical="center" wrapText="1"/>
      <protection locked="0"/>
    </xf>
    <xf numFmtId="3" fontId="5" fillId="4" borderId="66" xfId="0" applyNumberFormat="1" applyFont="1" applyFill="1" applyBorder="1" applyAlignment="1" applyProtection="1">
      <alignment horizontal="right" vertical="center" wrapText="1"/>
      <protection hidden="1"/>
    </xf>
    <xf numFmtId="3" fontId="5" fillId="4" borderId="159" xfId="0" applyNumberFormat="1" applyFont="1" applyFill="1" applyBorder="1" applyAlignment="1" applyProtection="1">
      <alignment horizontal="right" vertical="center" wrapText="1"/>
      <protection hidden="1"/>
    </xf>
    <xf numFmtId="49" fontId="6" fillId="0" borderId="0" xfId="9" applyBorder="1" applyAlignment="1">
      <alignment horizontal="left" vertical="center"/>
      <protection hidden="1"/>
    </xf>
    <xf numFmtId="49" fontId="6" fillId="0" borderId="0" xfId="9" applyFill="1" applyBorder="1" applyAlignment="1">
      <alignment horizontal="left" vertical="center"/>
      <protection hidden="1"/>
    </xf>
    <xf numFmtId="0" fontId="0" fillId="0" borderId="117" xfId="0" applyBorder="1" applyAlignment="1" applyProtection="1">
      <protection hidden="1"/>
    </xf>
    <xf numFmtId="3" fontId="5" fillId="0" borderId="98" xfId="0" applyNumberFormat="1" applyFont="1" applyFill="1" applyBorder="1" applyAlignment="1" applyProtection="1">
      <alignment horizontal="right" vertical="center"/>
      <protection hidden="1"/>
    </xf>
    <xf numFmtId="3" fontId="5" fillId="0" borderId="52" xfId="0" applyNumberFormat="1" applyFont="1" applyFill="1" applyBorder="1" applyAlignment="1" applyProtection="1">
      <alignment horizontal="right" vertical="center"/>
      <protection hidden="1"/>
    </xf>
    <xf numFmtId="3" fontId="5" fillId="4" borderId="98" xfId="0" applyNumberFormat="1" applyFont="1" applyFill="1" applyBorder="1" applyAlignment="1" applyProtection="1">
      <alignment horizontal="right" vertical="center"/>
      <protection hidden="1"/>
    </xf>
    <xf numFmtId="3" fontId="5" fillId="4" borderId="52" xfId="0" applyNumberFormat="1" applyFont="1" applyFill="1" applyBorder="1" applyAlignment="1" applyProtection="1">
      <alignment horizontal="right" vertical="center"/>
      <protection hidden="1"/>
    </xf>
    <xf numFmtId="0" fontId="0" fillId="0" borderId="0" xfId="0" applyBorder="1" applyAlignment="1" applyProtection="1">
      <alignment horizontal="left" vertical="center"/>
      <protection hidden="1"/>
    </xf>
    <xf numFmtId="0" fontId="0" fillId="0" borderId="4" xfId="0" applyBorder="1" applyProtection="1">
      <protection hidden="1"/>
    </xf>
    <xf numFmtId="172" fontId="0" fillId="4" borderId="58" xfId="0" applyNumberFormat="1" applyFill="1" applyBorder="1" applyAlignment="1" applyProtection="1">
      <alignment horizontal="right" vertical="center"/>
      <protection locked="0"/>
    </xf>
    <xf numFmtId="172" fontId="0" fillId="4" borderId="59" xfId="0" applyNumberFormat="1" applyFill="1" applyBorder="1" applyAlignment="1" applyProtection="1">
      <alignment horizontal="right" vertical="center"/>
      <protection locked="0"/>
    </xf>
    <xf numFmtId="1" fontId="5" fillId="0" borderId="58" xfId="1" applyNumberFormat="1" applyFont="1" applyFill="1" applyBorder="1" applyProtection="1">
      <alignment horizontal="center" vertical="center"/>
      <protection locked="0"/>
    </xf>
    <xf numFmtId="1" fontId="5" fillId="4" borderId="58" xfId="1" applyNumberFormat="1" applyFont="1" applyFill="1" applyBorder="1" applyProtection="1">
      <alignment horizontal="center" vertical="center"/>
      <protection locked="0"/>
    </xf>
    <xf numFmtId="1" fontId="5" fillId="4" borderId="61" xfId="1" applyNumberFormat="1" applyFont="1" applyFill="1" applyBorder="1" applyProtection="1">
      <alignment horizontal="center" vertical="center"/>
      <protection locked="0"/>
    </xf>
    <xf numFmtId="169" fontId="0" fillId="14" borderId="22" xfId="4" quotePrefix="1" applyFont="1" applyFill="1" applyBorder="1" applyAlignment="1">
      <alignment horizontal="left" vertical="center" wrapText="1"/>
      <protection hidden="1"/>
    </xf>
    <xf numFmtId="169" fontId="5" fillId="14" borderId="22" xfId="4" quotePrefix="1" applyFont="1" applyFill="1" applyBorder="1" applyAlignment="1">
      <alignment horizontal="left" vertical="center" wrapText="1"/>
      <protection hidden="1"/>
    </xf>
    <xf numFmtId="0" fontId="28" fillId="14" borderId="2" xfId="0" quotePrefix="1" applyFont="1" applyFill="1" applyBorder="1" applyAlignment="1">
      <alignment horizontal="left" vertical="center" wrapText="1"/>
    </xf>
    <xf numFmtId="0" fontId="0" fillId="17" borderId="0" xfId="0" quotePrefix="1" applyFill="1" applyAlignment="1">
      <alignment horizontal="left" vertical="center"/>
    </xf>
    <xf numFmtId="49" fontId="0" fillId="11" borderId="0" xfId="0" applyNumberFormat="1" applyFill="1" applyAlignment="1">
      <alignment horizontal="left" vertical="center" wrapText="1"/>
    </xf>
    <xf numFmtId="0" fontId="0" fillId="11" borderId="0" xfId="0" applyNumberFormat="1" applyFill="1" applyAlignment="1">
      <alignment horizontal="left" vertical="center" wrapText="1"/>
    </xf>
    <xf numFmtId="169" fontId="0" fillId="11" borderId="57" xfId="4" applyFont="1" applyFill="1" applyBorder="1">
      <alignment horizontal="center" vertical="center" wrapText="1"/>
      <protection hidden="1"/>
    </xf>
    <xf numFmtId="0" fontId="0" fillId="11" borderId="0" xfId="0" applyFill="1" applyAlignment="1">
      <alignment horizontal="left"/>
    </xf>
    <xf numFmtId="0" fontId="40" fillId="11" borderId="0" xfId="0" applyFont="1" applyFill="1" applyBorder="1" applyAlignment="1" applyProtection="1">
      <alignment vertical="center" wrapText="1"/>
      <protection hidden="1"/>
    </xf>
    <xf numFmtId="0" fontId="0" fillId="11" borderId="0" xfId="0" applyFill="1" applyBorder="1" applyAlignment="1">
      <alignment horizontal="left"/>
    </xf>
    <xf numFmtId="49" fontId="0" fillId="0" borderId="0" xfId="0" applyNumberFormat="1" applyBorder="1" applyAlignment="1">
      <alignment horizontal="center" vertical="center" wrapText="1"/>
    </xf>
    <xf numFmtId="49" fontId="0" fillId="11" borderId="0" xfId="0" applyNumberFormat="1" applyFill="1" applyBorder="1" applyAlignment="1">
      <alignment horizontal="left" vertical="center" wrapText="1"/>
    </xf>
    <xf numFmtId="169" fontId="6" fillId="11" borderId="57" xfId="4" applyFill="1" applyBorder="1">
      <alignment horizontal="center" vertical="center" wrapText="1"/>
      <protection hidden="1"/>
    </xf>
    <xf numFmtId="0" fontId="0" fillId="11" borderId="0" xfId="0" applyFill="1" applyBorder="1" applyAlignment="1">
      <alignment horizontal="left" vertical="center"/>
    </xf>
    <xf numFmtId="169" fontId="6" fillId="0" borderId="60" xfId="4" applyBorder="1">
      <alignment horizontal="center" vertical="center" wrapText="1"/>
      <protection hidden="1"/>
    </xf>
    <xf numFmtId="167" fontId="6" fillId="0" borderId="61" xfId="1" applyBorder="1">
      <alignment horizontal="center" vertical="center"/>
      <protection hidden="1"/>
    </xf>
    <xf numFmtId="3" fontId="0" fillId="0" borderId="61" xfId="0" applyNumberFormat="1" applyBorder="1" applyAlignment="1" applyProtection="1">
      <alignment horizontal="right" vertical="center"/>
      <protection locked="0"/>
    </xf>
    <xf numFmtId="3" fontId="0" fillId="0" borderId="68" xfId="0" applyNumberFormat="1" applyBorder="1" applyAlignment="1" applyProtection="1">
      <alignment horizontal="right" vertical="center"/>
      <protection locked="0"/>
    </xf>
    <xf numFmtId="0" fontId="5" fillId="11" borderId="0" xfId="0" applyFont="1" applyFill="1" applyAlignment="1">
      <alignment horizontal="left"/>
    </xf>
    <xf numFmtId="0" fontId="5" fillId="11" borderId="0" xfId="0" applyFont="1" applyFill="1" applyAlignment="1">
      <alignment horizontal="left" vertical="center"/>
    </xf>
    <xf numFmtId="0" fontId="5" fillId="11" borderId="0" xfId="0" applyFont="1" applyFill="1" applyBorder="1" applyAlignment="1">
      <alignment horizontal="left"/>
    </xf>
    <xf numFmtId="0" fontId="5" fillId="11" borderId="0" xfId="0" applyFont="1" applyFill="1" applyBorder="1" applyAlignment="1">
      <alignment horizontal="left" vertical="center"/>
    </xf>
    <xf numFmtId="0" fontId="0" fillId="15" borderId="0" xfId="0" applyFill="1" applyAlignment="1">
      <alignment horizontal="left" vertical="center"/>
    </xf>
    <xf numFmtId="0" fontId="38" fillId="15" borderId="0" xfId="0" applyFont="1" applyFill="1" applyBorder="1" applyAlignment="1" applyProtection="1">
      <alignment vertical="center" wrapText="1"/>
      <protection hidden="1"/>
    </xf>
    <xf numFmtId="0" fontId="0" fillId="15" borderId="0" xfId="0" applyFill="1" applyBorder="1" applyAlignment="1">
      <alignment horizontal="left" vertical="center"/>
    </xf>
    <xf numFmtId="0" fontId="5" fillId="15" borderId="0" xfId="0" applyFont="1" applyFill="1" applyBorder="1" applyAlignment="1">
      <alignment horizontal="left" vertical="center"/>
    </xf>
    <xf numFmtId="0" fontId="40" fillId="15" borderId="0" xfId="0" applyFont="1" applyFill="1" applyBorder="1" applyAlignment="1" applyProtection="1">
      <alignment vertical="center" wrapText="1"/>
      <protection hidden="1"/>
    </xf>
    <xf numFmtId="3" fontId="5" fillId="22" borderId="58" xfId="0" applyNumberFormat="1" applyFont="1" applyFill="1" applyBorder="1" applyAlignment="1" applyProtection="1">
      <alignment horizontal="right" vertical="center"/>
      <protection hidden="1"/>
    </xf>
    <xf numFmtId="0" fontId="0" fillId="11" borderId="0" xfId="0" applyFill="1" applyAlignment="1">
      <alignment horizontal="center" vertical="center"/>
    </xf>
    <xf numFmtId="169" fontId="6" fillId="0" borderId="0" xfId="4" applyBorder="1">
      <alignment horizontal="center" vertical="center" wrapText="1"/>
      <protection hidden="1"/>
    </xf>
    <xf numFmtId="0" fontId="0" fillId="0" borderId="0" xfId="0" applyBorder="1" applyAlignment="1" applyProtection="1">
      <alignment horizontal="left" vertical="center" wrapText="1"/>
      <protection hidden="1"/>
    </xf>
    <xf numFmtId="167" fontId="6" fillId="0" borderId="0" xfId="1" applyBorder="1">
      <alignment horizontal="center" vertical="center"/>
      <protection hidden="1"/>
    </xf>
    <xf numFmtId="3" fontId="0" fillId="0" borderId="0" xfId="0" applyNumberFormat="1" applyBorder="1" applyAlignment="1" applyProtection="1">
      <alignment horizontal="right" vertical="center"/>
      <protection locked="0"/>
    </xf>
    <xf numFmtId="169" fontId="0" fillId="14" borderId="2" xfId="4" quotePrefix="1" applyFont="1" applyFill="1" applyBorder="1" applyAlignment="1">
      <alignment horizontal="left" vertical="center" wrapText="1"/>
      <protection hidden="1"/>
    </xf>
    <xf numFmtId="0" fontId="0" fillId="0" borderId="117" xfId="0" applyFill="1" applyBorder="1"/>
    <xf numFmtId="0" fontId="0" fillId="0" borderId="0" xfId="0" applyNumberFormat="1" applyAlignment="1" applyProtection="1">
      <alignment horizontal="right" vertical="center"/>
      <protection hidden="1"/>
    </xf>
    <xf numFmtId="0" fontId="0" fillId="0" borderId="0" xfId="0" applyAlignment="1">
      <alignment horizontal="center"/>
    </xf>
    <xf numFmtId="3" fontId="0" fillId="0" borderId="66" xfId="0" applyNumberFormat="1" applyBorder="1" applyAlignment="1" applyProtection="1">
      <alignment horizontal="center" vertical="center"/>
      <protection locked="0"/>
    </xf>
    <xf numFmtId="3" fontId="0" fillId="4" borderId="58" xfId="0" applyNumberForma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0" fillId="0" borderId="59" xfId="0" applyNumberFormat="1" applyFill="1" applyBorder="1" applyAlignment="1" applyProtection="1">
      <alignment horizontal="right" vertical="center" wrapText="1"/>
      <protection locked="0"/>
    </xf>
    <xf numFmtId="0" fontId="6" fillId="0" borderId="0" xfId="9" applyNumberFormat="1" applyBorder="1" applyAlignment="1">
      <alignment horizontal="right" vertical="center"/>
      <protection hidden="1"/>
    </xf>
    <xf numFmtId="0" fontId="15" fillId="8" borderId="2" xfId="6" applyProtection="1">
      <alignment horizontal="center" vertical="center"/>
    </xf>
    <xf numFmtId="0" fontId="15" fillId="8" borderId="21" xfId="6" applyBorder="1" applyProtection="1">
      <alignment horizontal="center" vertical="center"/>
    </xf>
    <xf numFmtId="0" fontId="15" fillId="8" borderId="5" xfId="6" applyBorder="1" applyProtection="1">
      <alignment horizontal="center" vertical="center"/>
    </xf>
    <xf numFmtId="0" fontId="19" fillId="0" borderId="0" xfId="0" applyFont="1" applyFill="1" applyAlignment="1" applyProtection="1">
      <alignment horizontal="center" vertical="center"/>
      <protection hidden="1"/>
    </xf>
    <xf numFmtId="0" fontId="15" fillId="8" borderId="4" xfId="8">
      <alignment horizontal="left" vertical="center"/>
      <protection locked="0"/>
    </xf>
    <xf numFmtId="0" fontId="1" fillId="8" borderId="4" xfId="8" applyFont="1">
      <alignment horizontal="left" vertical="center"/>
      <protection locked="0"/>
    </xf>
    <xf numFmtId="0" fontId="1" fillId="8" borderId="4" xfId="8" applyFont="1" applyProtection="1">
      <alignment horizontal="left" vertical="center"/>
      <protection locked="0"/>
    </xf>
    <xf numFmtId="0" fontId="15" fillId="8" borderId="4" xfId="8" applyProtection="1">
      <alignment horizontal="left" vertical="center"/>
      <protection locked="0"/>
    </xf>
    <xf numFmtId="0" fontId="0" fillId="0" borderId="0" xfId="0" applyBorder="1" applyAlignment="1" applyProtection="1">
      <alignment horizontal="right" vertical="center" wrapText="1"/>
      <protection hidden="1"/>
    </xf>
    <xf numFmtId="0" fontId="23" fillId="8" borderId="4" xfId="8" applyFont="1" applyProtection="1">
      <alignment horizontal="left" vertical="center"/>
    </xf>
    <xf numFmtId="0" fontId="15" fillId="8" borderId="21" xfId="6" applyBorder="1" applyAlignment="1">
      <alignment horizontal="right" vertical="center" indent="1"/>
      <protection locked="0"/>
    </xf>
    <xf numFmtId="0" fontId="15" fillId="8" borderId="26" xfId="6" applyBorder="1" applyAlignment="1">
      <alignment horizontal="right" vertical="center" indent="1"/>
      <protection locked="0"/>
    </xf>
    <xf numFmtId="0" fontId="15" fillId="8" borderId="22" xfId="6" applyBorder="1" applyAlignment="1">
      <alignment horizontal="right" vertical="center" indent="1"/>
      <protection locked="0"/>
    </xf>
    <xf numFmtId="0" fontId="1" fillId="8" borderId="4" xfId="8" applyFont="1" applyProtection="1">
      <alignment horizontal="left" vertical="center"/>
    </xf>
    <xf numFmtId="0" fontId="15" fillId="8" borderId="4" xfId="8" applyProtection="1">
      <alignment horizontal="left" vertical="center"/>
    </xf>
    <xf numFmtId="0" fontId="22" fillId="0" borderId="4" xfId="6" applyFont="1" applyFill="1" applyBorder="1" applyAlignment="1" applyProtection="1">
      <alignment horizontal="right" vertical="center" indent="1"/>
      <protection hidden="1"/>
    </xf>
    <xf numFmtId="0" fontId="22" fillId="8" borderId="21" xfId="6" applyFont="1" applyBorder="1" applyAlignment="1">
      <alignment horizontal="right" vertical="center" indent="1"/>
      <protection locked="0"/>
    </xf>
    <xf numFmtId="0" fontId="22" fillId="8" borderId="22" xfId="6" applyFont="1" applyBorder="1" applyAlignment="1">
      <alignment horizontal="right" vertical="center" indent="1"/>
      <protection locked="0"/>
    </xf>
    <xf numFmtId="0" fontId="22" fillId="8" borderId="34" xfId="6" applyFont="1" applyBorder="1" applyProtection="1">
      <alignment horizontal="center" vertical="center"/>
    </xf>
    <xf numFmtId="0" fontId="22" fillId="8" borderId="35" xfId="6" applyFont="1" applyBorder="1" applyProtection="1">
      <alignment horizontal="center" vertical="center"/>
    </xf>
    <xf numFmtId="0" fontId="22" fillId="8" borderId="36" xfId="6" applyFont="1" applyBorder="1" applyProtection="1">
      <alignment horizontal="center" vertical="center"/>
    </xf>
    <xf numFmtId="0" fontId="22" fillId="8" borderId="37" xfId="6" applyFont="1" applyBorder="1" applyProtection="1">
      <alignment horizontal="center" vertical="center"/>
    </xf>
    <xf numFmtId="0" fontId="22" fillId="8" borderId="0" xfId="6" applyFont="1" applyBorder="1" applyProtection="1">
      <alignment horizontal="center" vertical="center"/>
    </xf>
    <xf numFmtId="0" fontId="22" fillId="8" borderId="38" xfId="6" applyFont="1" applyBorder="1" applyProtection="1">
      <alignment horizontal="center" vertical="center"/>
    </xf>
    <xf numFmtId="0" fontId="22" fillId="8" borderId="39" xfId="6" applyFont="1" applyBorder="1" applyProtection="1">
      <alignment horizontal="center" vertical="center"/>
    </xf>
    <xf numFmtId="0" fontId="22" fillId="8" borderId="40" xfId="6" applyFont="1" applyBorder="1" applyProtection="1">
      <alignment horizontal="center" vertical="center"/>
    </xf>
    <xf numFmtId="0" fontId="22" fillId="8" borderId="41" xfId="6" applyFont="1" applyBorder="1" applyProtection="1">
      <alignment horizontal="center" vertical="center"/>
    </xf>
    <xf numFmtId="3" fontId="5" fillId="4" borderId="12" xfId="0" applyNumberFormat="1" applyFont="1" applyFill="1" applyBorder="1" applyAlignment="1" applyProtection="1">
      <alignment horizontal="center" vertical="center"/>
      <protection hidden="1"/>
    </xf>
    <xf numFmtId="3" fontId="5" fillId="4" borderId="13" xfId="0" applyNumberFormat="1" applyFont="1" applyFill="1" applyBorder="1" applyAlignment="1" applyProtection="1">
      <alignment horizontal="center" vertical="center"/>
      <protection hidden="1"/>
    </xf>
    <xf numFmtId="3" fontId="5" fillId="0" borderId="12" xfId="0" applyNumberFormat="1" applyFont="1" applyBorder="1" applyAlignment="1" applyProtection="1">
      <alignment horizontal="center" vertical="center"/>
      <protection hidden="1"/>
    </xf>
    <xf numFmtId="3" fontId="5" fillId="0" borderId="13" xfId="0" applyNumberFormat="1" applyFont="1" applyBorder="1" applyAlignment="1" applyProtection="1">
      <alignment horizontal="center" vertical="center"/>
      <protection hidden="1"/>
    </xf>
    <xf numFmtId="3" fontId="5" fillId="0" borderId="23" xfId="0" applyNumberFormat="1" applyFont="1" applyBorder="1" applyAlignment="1" applyProtection="1">
      <alignment horizontal="center" vertical="center"/>
      <protection hidden="1"/>
    </xf>
    <xf numFmtId="3" fontId="5" fillId="0" borderId="27" xfId="0" applyNumberFormat="1" applyFont="1" applyBorder="1" applyAlignment="1" applyProtection="1">
      <alignment horizontal="center" vertical="center"/>
      <protection hidden="1"/>
    </xf>
    <xf numFmtId="0" fontId="0" fillId="0" borderId="12"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4" borderId="12" xfId="0" applyFill="1" applyBorder="1" applyAlignment="1" applyProtection="1">
      <alignment horizontal="left" vertical="center" wrapText="1"/>
      <protection hidden="1"/>
    </xf>
    <xf numFmtId="0" fontId="0" fillId="4" borderId="42"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49" fontId="6" fillId="0" borderId="4" xfId="9" applyAlignment="1">
      <alignment horizontal="left" vertical="center"/>
      <protection hidden="1"/>
    </xf>
    <xf numFmtId="0" fontId="4" fillId="0" borderId="0" xfId="0" applyFont="1" applyFill="1" applyBorder="1" applyAlignment="1" applyProtection="1">
      <alignment horizontal="center" vertical="center"/>
      <protection hidden="1"/>
    </xf>
    <xf numFmtId="0" fontId="5" fillId="0" borderId="12" xfId="0" applyFont="1" applyBorder="1" applyAlignment="1" applyProtection="1">
      <alignment horizontal="left" vertical="center" wrapText="1"/>
      <protection hidden="1"/>
    </xf>
    <xf numFmtId="0" fontId="5" fillId="0" borderId="4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4" borderId="12" xfId="0" applyFont="1" applyFill="1" applyBorder="1" applyAlignment="1" applyProtection="1">
      <alignment horizontal="left" vertical="center" wrapText="1"/>
      <protection hidden="1"/>
    </xf>
    <xf numFmtId="0" fontId="5" fillId="4" borderId="42" xfId="0" applyFont="1" applyFill="1" applyBorder="1" applyAlignment="1" applyProtection="1">
      <alignment horizontal="left" vertical="center" wrapText="1"/>
      <protection hidden="1"/>
    </xf>
    <xf numFmtId="0" fontId="5" fillId="4" borderId="13" xfId="0" applyFont="1" applyFill="1" applyBorder="1" applyAlignment="1" applyProtection="1">
      <alignment horizontal="left" vertical="center" wrapText="1"/>
      <protection hidden="1"/>
    </xf>
    <xf numFmtId="0" fontId="43" fillId="4" borderId="12" xfId="0" applyFont="1" applyFill="1" applyBorder="1" applyAlignment="1" applyProtection="1">
      <alignment horizontal="left" vertical="center" wrapText="1"/>
      <protection hidden="1"/>
    </xf>
    <xf numFmtId="0" fontId="43" fillId="4" borderId="42" xfId="0" applyFont="1" applyFill="1" applyBorder="1" applyAlignment="1" applyProtection="1">
      <alignment horizontal="left" vertical="center" wrapText="1"/>
      <protection hidden="1"/>
    </xf>
    <xf numFmtId="0" fontId="43" fillId="4" borderId="13" xfId="0" applyFont="1" applyFill="1" applyBorder="1" applyAlignment="1" applyProtection="1">
      <alignment horizontal="left" vertical="center" wrapText="1"/>
      <protection hidden="1"/>
    </xf>
    <xf numFmtId="0" fontId="43" fillId="0" borderId="12" xfId="0" applyFont="1" applyBorder="1" applyAlignment="1" applyProtection="1">
      <alignment horizontal="left" vertical="center" wrapText="1"/>
      <protection hidden="1"/>
    </xf>
    <xf numFmtId="0" fontId="43" fillId="0" borderId="42" xfId="0" applyFont="1" applyBorder="1" applyAlignment="1" applyProtection="1">
      <alignment horizontal="left" vertical="center" wrapText="1"/>
      <protection hidden="1"/>
    </xf>
    <xf numFmtId="0" fontId="43" fillId="0" borderId="13"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42"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4" borderId="12" xfId="0" applyFont="1" applyFill="1" applyBorder="1" applyAlignment="1" applyProtection="1">
      <alignment horizontal="left" vertical="center" wrapText="1"/>
      <protection hidden="1"/>
    </xf>
    <xf numFmtId="0" fontId="24" fillId="4" borderId="42" xfId="0" applyFont="1" applyFill="1" applyBorder="1" applyAlignment="1" applyProtection="1">
      <alignment horizontal="left" vertical="center" wrapText="1"/>
      <protection hidden="1"/>
    </xf>
    <xf numFmtId="0" fontId="24" fillId="4" borderId="13" xfId="0" applyFont="1" applyFill="1" applyBorder="1" applyAlignment="1" applyProtection="1">
      <alignment horizontal="left" vertical="center" wrapText="1"/>
      <protection hidden="1"/>
    </xf>
    <xf numFmtId="0" fontId="5" fillId="4" borderId="96" xfId="0" applyFont="1" applyFill="1" applyBorder="1" applyAlignment="1" applyProtection="1">
      <alignment horizontal="left" vertical="center" wrapText="1"/>
      <protection hidden="1"/>
    </xf>
    <xf numFmtId="0" fontId="5" fillId="4" borderId="97" xfId="0" applyFont="1" applyFill="1" applyBorder="1" applyAlignment="1" applyProtection="1">
      <alignment horizontal="left" vertical="center" wrapText="1"/>
      <protection hidden="1"/>
    </xf>
    <xf numFmtId="0" fontId="5" fillId="4" borderId="98" xfId="0" applyFont="1" applyFill="1" applyBorder="1" applyAlignment="1" applyProtection="1">
      <alignment horizontal="left" vertical="center" wrapText="1"/>
      <protection hidden="1"/>
    </xf>
    <xf numFmtId="0" fontId="6" fillId="0" borderId="0" xfId="0" applyFont="1" applyBorder="1" applyAlignment="1" applyProtection="1">
      <alignment horizontal="left" wrapText="1"/>
      <protection hidden="1"/>
    </xf>
    <xf numFmtId="0" fontId="16" fillId="12" borderId="45" xfId="0" applyFont="1" applyFill="1" applyBorder="1" applyAlignment="1" applyProtection="1">
      <alignment horizontal="center" vertical="center"/>
      <protection hidden="1"/>
    </xf>
    <xf numFmtId="0" fontId="16" fillId="12" borderId="24" xfId="0" applyFont="1" applyFill="1" applyBorder="1" applyAlignment="1" applyProtection="1">
      <alignment horizontal="center" vertical="center"/>
      <protection hidden="1"/>
    </xf>
    <xf numFmtId="0" fontId="16" fillId="12" borderId="46" xfId="0" applyFont="1" applyFill="1" applyBorder="1" applyAlignment="1" applyProtection="1">
      <alignment horizontal="center" vertical="center"/>
      <protection hidden="1"/>
    </xf>
    <xf numFmtId="0" fontId="16" fillId="12" borderId="47" xfId="0" applyFont="1" applyFill="1" applyBorder="1" applyAlignment="1" applyProtection="1">
      <alignment horizontal="center" vertical="center"/>
      <protection hidden="1"/>
    </xf>
    <xf numFmtId="0" fontId="16" fillId="12" borderId="53" xfId="0" applyFont="1" applyFill="1" applyBorder="1" applyAlignment="1" applyProtection="1">
      <alignment horizontal="center" vertical="center"/>
      <protection hidden="1"/>
    </xf>
    <xf numFmtId="0" fontId="16" fillId="12" borderId="48" xfId="0" applyFont="1" applyFill="1" applyBorder="1" applyAlignment="1" applyProtection="1">
      <alignment horizontal="center" vertical="center"/>
      <protection hidden="1"/>
    </xf>
    <xf numFmtId="0" fontId="16" fillId="3" borderId="94" xfId="0" applyFont="1" applyFill="1" applyBorder="1" applyAlignment="1" applyProtection="1">
      <alignment horizontal="center"/>
      <protection hidden="1"/>
    </xf>
    <xf numFmtId="0" fontId="16" fillId="3" borderId="95" xfId="0" applyFont="1" applyFill="1" applyBorder="1" applyAlignment="1" applyProtection="1">
      <alignment horizontal="center"/>
      <protection hidden="1"/>
    </xf>
    <xf numFmtId="0" fontId="16" fillId="3" borderId="93" xfId="0" applyFont="1" applyFill="1" applyBorder="1" applyAlignment="1" applyProtection="1">
      <alignment horizontal="center"/>
      <protection hidden="1"/>
    </xf>
    <xf numFmtId="0" fontId="6" fillId="0" borderId="0" xfId="10" applyBorder="1">
      <alignment horizontal="left" indent="1"/>
      <protection hidden="1"/>
    </xf>
    <xf numFmtId="0" fontId="16" fillId="3" borderId="18" xfId="0" applyFont="1" applyFill="1" applyBorder="1" applyAlignment="1" applyProtection="1">
      <alignment horizontal="center" vertical="center" wrapText="1"/>
      <protection hidden="1"/>
    </xf>
    <xf numFmtId="0" fontId="16" fillId="3" borderId="52" xfId="0" applyFont="1" applyFill="1" applyBorder="1" applyAlignment="1" applyProtection="1">
      <alignment horizontal="center" vertical="center" wrapText="1"/>
      <protection hidden="1"/>
    </xf>
    <xf numFmtId="0" fontId="16" fillId="3" borderId="43" xfId="0" applyFont="1" applyFill="1" applyBorder="1" applyAlignment="1" applyProtection="1">
      <alignment horizontal="center" vertical="center" wrapText="1"/>
      <protection hidden="1"/>
    </xf>
    <xf numFmtId="0" fontId="16" fillId="3" borderId="25"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16" fillId="3" borderId="50" xfId="0" applyFont="1" applyFill="1" applyBorder="1" applyAlignment="1" applyProtection="1">
      <alignment horizontal="center" vertical="center" wrapText="1"/>
      <protection hidden="1"/>
    </xf>
    <xf numFmtId="0" fontId="16" fillId="3" borderId="49" xfId="0" applyFont="1" applyFill="1" applyBorder="1" applyAlignment="1" applyProtection="1">
      <alignment horizontal="center" vertical="center" wrapText="1"/>
      <protection hidden="1"/>
    </xf>
    <xf numFmtId="0" fontId="6" fillId="0" borderId="0" xfId="0" applyFont="1" applyAlignment="1" applyProtection="1">
      <alignment horizontal="left" vertical="center" wrapText="1"/>
      <protection hidden="1"/>
    </xf>
    <xf numFmtId="49" fontId="5" fillId="0" borderId="4" xfId="9" applyFont="1" applyAlignment="1">
      <alignment horizontal="left" vertical="center"/>
      <protection hidden="1"/>
    </xf>
    <xf numFmtId="0" fontId="32" fillId="3" borderId="50" xfId="0" applyFont="1" applyFill="1" applyBorder="1" applyAlignment="1" applyProtection="1">
      <alignment horizontal="center" vertical="center" wrapText="1"/>
      <protection hidden="1"/>
    </xf>
    <xf numFmtId="0" fontId="32" fillId="3" borderId="49" xfId="0" applyFont="1" applyFill="1" applyBorder="1" applyAlignment="1" applyProtection="1">
      <alignment horizontal="center" vertical="center" wrapText="1"/>
      <protection hidden="1"/>
    </xf>
    <xf numFmtId="0" fontId="6" fillId="0" borderId="4" xfId="10" applyAlignment="1">
      <alignment horizontal="left" vertical="center"/>
      <protection hidden="1"/>
    </xf>
    <xf numFmtId="49" fontId="6" fillId="0" borderId="0" xfId="9" applyBorder="1" applyAlignment="1">
      <alignment horizontal="right" vertical="center"/>
      <protection hidden="1"/>
    </xf>
    <xf numFmtId="0" fontId="5" fillId="0" borderId="23" xfId="0" applyFont="1" applyBorder="1" applyAlignment="1" applyProtection="1">
      <alignment horizontal="left" vertical="center" wrapText="1"/>
      <protection hidden="1"/>
    </xf>
    <xf numFmtId="0" fontId="5" fillId="0" borderId="44"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16" fillId="3" borderId="51" xfId="0" applyFont="1" applyFill="1" applyBorder="1" applyAlignment="1" applyProtection="1">
      <alignment horizontal="center" vertical="center" wrapText="1"/>
      <protection hidden="1"/>
    </xf>
    <xf numFmtId="0" fontId="16" fillId="3" borderId="45" xfId="0" applyFont="1" applyFill="1" applyBorder="1" applyAlignment="1" applyProtection="1">
      <alignment horizontal="center" vertical="center"/>
      <protection hidden="1"/>
    </xf>
    <xf numFmtId="0" fontId="16" fillId="3" borderId="24" xfId="0" applyFont="1" applyFill="1" applyBorder="1" applyAlignment="1" applyProtection="1">
      <alignment horizontal="center" vertical="center"/>
      <protection hidden="1"/>
    </xf>
    <xf numFmtId="0" fontId="16" fillId="3" borderId="46" xfId="0" applyFont="1" applyFill="1" applyBorder="1" applyAlignment="1" applyProtection="1">
      <alignment horizontal="center" vertical="center"/>
      <protection hidden="1"/>
    </xf>
    <xf numFmtId="0" fontId="16" fillId="3" borderId="47" xfId="0" applyFont="1" applyFill="1" applyBorder="1" applyAlignment="1" applyProtection="1">
      <alignment horizontal="center" vertical="center"/>
      <protection hidden="1"/>
    </xf>
    <xf numFmtId="0" fontId="16" fillId="3" borderId="53" xfId="0" applyFont="1" applyFill="1" applyBorder="1" applyAlignment="1" applyProtection="1">
      <alignment horizontal="center" vertical="center"/>
      <protection hidden="1"/>
    </xf>
    <xf numFmtId="0" fontId="16" fillId="3" borderId="48" xfId="0" applyFont="1" applyFill="1" applyBorder="1" applyAlignment="1" applyProtection="1">
      <alignment horizontal="center" vertical="center"/>
      <protection hidden="1"/>
    </xf>
    <xf numFmtId="0" fontId="16" fillId="3" borderId="45" xfId="0" applyFont="1" applyFill="1" applyBorder="1" applyAlignment="1" applyProtection="1">
      <alignment horizontal="center" vertical="center" wrapText="1"/>
      <protection hidden="1"/>
    </xf>
    <xf numFmtId="0" fontId="16" fillId="3" borderId="46" xfId="0" applyFont="1" applyFill="1" applyBorder="1" applyAlignment="1" applyProtection="1">
      <alignment horizontal="center" vertical="center" wrapText="1"/>
      <protection hidden="1"/>
    </xf>
    <xf numFmtId="0" fontId="16" fillId="3" borderId="96" xfId="0" applyFont="1" applyFill="1" applyBorder="1" applyAlignment="1" applyProtection="1">
      <alignment horizontal="center" vertical="center" wrapText="1"/>
      <protection hidden="1"/>
    </xf>
    <xf numFmtId="0" fontId="16" fillId="3" borderId="98"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wrapText="1"/>
      <protection hidden="1"/>
    </xf>
    <xf numFmtId="0" fontId="0" fillId="0" borderId="0" xfId="0" applyAlignment="1">
      <alignment horizontal="right" vertical="center"/>
    </xf>
    <xf numFmtId="0" fontId="0" fillId="0" borderId="0" xfId="0" applyBorder="1"/>
    <xf numFmtId="49" fontId="6" fillId="0" borderId="0" xfId="9" applyFill="1" applyBorder="1" applyAlignment="1">
      <alignment horizontal="right" vertical="center"/>
      <protection hidden="1"/>
    </xf>
    <xf numFmtId="0" fontId="0" fillId="0" borderId="117" xfId="0" applyBorder="1" applyAlignment="1" applyProtection="1">
      <alignment horizontal="center"/>
      <protection hidden="1"/>
    </xf>
    <xf numFmtId="0" fontId="0" fillId="0" borderId="0" xfId="0" applyBorder="1" applyAlignment="1" applyProtection="1">
      <alignment horizontal="center"/>
      <protection hidden="1"/>
    </xf>
    <xf numFmtId="0" fontId="6" fillId="0" borderId="0" xfId="0" applyFont="1" applyBorder="1" applyAlignment="1" applyProtection="1">
      <alignment horizontal="right" vertical="center"/>
      <protection hidden="1"/>
    </xf>
    <xf numFmtId="0" fontId="6" fillId="4" borderId="80" xfId="0" applyFont="1" applyFill="1" applyBorder="1" applyAlignment="1" applyProtection="1">
      <alignment horizontal="left" vertical="center" wrapText="1"/>
      <protection hidden="1"/>
    </xf>
    <xf numFmtId="0" fontId="6" fillId="4" borderId="81" xfId="0" applyFont="1" applyFill="1" applyBorder="1" applyAlignment="1" applyProtection="1">
      <alignment horizontal="left" vertical="center" wrapText="1"/>
      <protection hidden="1"/>
    </xf>
    <xf numFmtId="0" fontId="6" fillId="4" borderId="82" xfId="0" applyFont="1" applyFill="1" applyBorder="1" applyAlignment="1" applyProtection="1">
      <alignment horizontal="left" vertical="center" wrapText="1"/>
      <protection hidden="1"/>
    </xf>
    <xf numFmtId="0" fontId="6" fillId="0" borderId="80" xfId="0" applyFont="1" applyBorder="1" applyAlignment="1" applyProtection="1">
      <alignment horizontal="left" vertical="center" wrapText="1"/>
      <protection hidden="1"/>
    </xf>
    <xf numFmtId="0" fontId="6" fillId="0" borderId="81" xfId="0" applyFont="1" applyBorder="1" applyAlignment="1" applyProtection="1">
      <alignment horizontal="left" vertical="center" wrapText="1"/>
      <protection hidden="1"/>
    </xf>
    <xf numFmtId="0" fontId="6" fillId="0" borderId="82" xfId="0" applyFont="1" applyBorder="1" applyAlignment="1" applyProtection="1">
      <alignment horizontal="left" vertical="center" wrapText="1"/>
      <protection hidden="1"/>
    </xf>
    <xf numFmtId="0" fontId="32" fillId="3" borderId="111" xfId="0" applyFont="1" applyFill="1" applyBorder="1" applyAlignment="1" applyProtection="1">
      <alignment horizontal="center" vertical="center" wrapText="1"/>
      <protection hidden="1"/>
    </xf>
    <xf numFmtId="0" fontId="32" fillId="3" borderId="112" xfId="0" applyFont="1" applyFill="1" applyBorder="1" applyAlignment="1" applyProtection="1">
      <alignment horizontal="center" vertical="center" wrapText="1"/>
      <protection hidden="1"/>
    </xf>
    <xf numFmtId="0" fontId="32" fillId="3" borderId="106" xfId="0" applyFont="1" applyFill="1" applyBorder="1" applyAlignment="1" applyProtection="1">
      <alignment horizontal="center" vertical="center"/>
      <protection hidden="1"/>
    </xf>
    <xf numFmtId="0" fontId="32" fillId="3" borderId="24" xfId="0" applyFont="1" applyFill="1" applyBorder="1" applyAlignment="1" applyProtection="1">
      <alignment horizontal="center" vertical="center"/>
      <protection hidden="1"/>
    </xf>
    <xf numFmtId="0" fontId="32" fillId="3" borderId="107" xfId="0" applyFont="1" applyFill="1" applyBorder="1" applyAlignment="1" applyProtection="1">
      <alignment horizontal="center" vertical="center"/>
      <protection hidden="1"/>
    </xf>
    <xf numFmtId="0" fontId="32" fillId="3" borderId="108" xfId="0" applyFont="1" applyFill="1" applyBorder="1" applyAlignment="1" applyProtection="1">
      <alignment horizontal="center" vertical="center"/>
      <protection hidden="1"/>
    </xf>
    <xf numFmtId="0" fontId="32" fillId="3" borderId="109" xfId="0" applyFont="1" applyFill="1" applyBorder="1" applyAlignment="1" applyProtection="1">
      <alignment horizontal="center" vertical="center"/>
      <protection hidden="1"/>
    </xf>
    <xf numFmtId="0" fontId="32" fillId="3" borderId="110" xfId="0" applyFont="1" applyFill="1" applyBorder="1" applyAlignment="1" applyProtection="1">
      <alignment horizontal="center" vertical="center"/>
      <protection hidden="1"/>
    </xf>
    <xf numFmtId="0" fontId="32" fillId="3" borderId="103" xfId="0" applyFont="1" applyFill="1" applyBorder="1" applyAlignment="1" applyProtection="1">
      <alignment horizontal="center"/>
      <protection hidden="1"/>
    </xf>
    <xf numFmtId="0" fontId="32" fillId="3" borderId="104" xfId="0" applyFont="1" applyFill="1" applyBorder="1" applyAlignment="1" applyProtection="1">
      <alignment horizontal="center"/>
      <protection hidden="1"/>
    </xf>
    <xf numFmtId="0" fontId="32" fillId="3" borderId="105" xfId="0" applyFont="1" applyFill="1" applyBorder="1" applyAlignment="1" applyProtection="1">
      <alignment horizontal="center"/>
      <protection hidden="1"/>
    </xf>
    <xf numFmtId="0" fontId="5" fillId="0" borderId="85" xfId="0" applyFont="1" applyBorder="1" applyAlignment="1" applyProtection="1">
      <alignment horizontal="left" vertical="center" wrapText="1"/>
      <protection hidden="1"/>
    </xf>
    <xf numFmtId="0" fontId="5" fillId="0" borderId="86" xfId="0" applyFont="1" applyBorder="1" applyAlignment="1" applyProtection="1">
      <alignment horizontal="left" vertical="center" wrapText="1"/>
      <protection hidden="1"/>
    </xf>
    <xf numFmtId="0" fontId="5" fillId="0" borderId="87" xfId="0" applyFont="1" applyBorder="1" applyAlignment="1" applyProtection="1">
      <alignment horizontal="left" vertical="center" wrapText="1"/>
      <protection hidden="1"/>
    </xf>
    <xf numFmtId="0" fontId="5" fillId="0" borderId="80" xfId="0" applyFont="1" applyBorder="1" applyAlignment="1" applyProtection="1">
      <alignment horizontal="left" vertical="center" wrapText="1"/>
      <protection hidden="1"/>
    </xf>
    <xf numFmtId="0" fontId="5" fillId="0" borderId="81" xfId="0" applyFont="1" applyBorder="1" applyAlignment="1" applyProtection="1">
      <alignment horizontal="left" vertical="center" wrapText="1"/>
      <protection hidden="1"/>
    </xf>
    <xf numFmtId="0" fontId="5" fillId="0" borderId="82" xfId="0" applyFont="1" applyBorder="1" applyAlignment="1" applyProtection="1">
      <alignment horizontal="left" vertical="center" wrapText="1"/>
      <protection hidden="1"/>
    </xf>
    <xf numFmtId="0" fontId="5" fillId="4" borderId="80" xfId="0" applyFont="1" applyFill="1" applyBorder="1" applyAlignment="1" applyProtection="1">
      <alignment horizontal="left" vertical="center" wrapText="1"/>
      <protection hidden="1"/>
    </xf>
    <xf numFmtId="0" fontId="5" fillId="4" borderId="81" xfId="0" applyFont="1" applyFill="1" applyBorder="1" applyAlignment="1" applyProtection="1">
      <alignment horizontal="left" vertical="center" wrapText="1"/>
      <protection hidden="1"/>
    </xf>
    <xf numFmtId="0" fontId="5" fillId="4" borderId="82" xfId="0" applyFont="1" applyFill="1" applyBorder="1" applyAlignment="1" applyProtection="1">
      <alignment horizontal="left" vertical="center" wrapText="1"/>
      <protection hidden="1"/>
    </xf>
    <xf numFmtId="0" fontId="24" fillId="4" borderId="88" xfId="0" applyFont="1" applyFill="1" applyBorder="1" applyAlignment="1" applyProtection="1">
      <alignment horizontal="left" vertical="center" wrapText="1"/>
      <protection hidden="1"/>
    </xf>
    <xf numFmtId="0" fontId="24" fillId="4" borderId="89" xfId="0" applyFont="1" applyFill="1" applyBorder="1" applyAlignment="1" applyProtection="1">
      <alignment horizontal="left" vertical="center" wrapText="1"/>
      <protection hidden="1"/>
    </xf>
    <xf numFmtId="0" fontId="24" fillId="4" borderId="90" xfId="0" applyFont="1" applyFill="1" applyBorder="1" applyAlignment="1" applyProtection="1">
      <alignment horizontal="left" vertical="center" wrapText="1"/>
      <protection hidden="1"/>
    </xf>
    <xf numFmtId="0" fontId="24" fillId="4" borderId="80" xfId="0" applyFont="1" applyFill="1" applyBorder="1" applyAlignment="1" applyProtection="1">
      <alignment horizontal="left" vertical="center" wrapText="1"/>
      <protection hidden="1"/>
    </xf>
    <xf numFmtId="0" fontId="24" fillId="4" borderId="81" xfId="0" applyFont="1" applyFill="1" applyBorder="1" applyAlignment="1" applyProtection="1">
      <alignment horizontal="left" vertical="center" wrapText="1"/>
      <protection hidden="1"/>
    </xf>
    <xf numFmtId="0" fontId="24" fillId="4" borderId="82" xfId="0" applyFont="1" applyFill="1" applyBorder="1" applyAlignment="1" applyProtection="1">
      <alignment horizontal="left" vertical="center" wrapText="1"/>
      <protection hidden="1"/>
    </xf>
    <xf numFmtId="0" fontId="24" fillId="0" borderId="80" xfId="0" applyFont="1" applyBorder="1" applyAlignment="1" applyProtection="1">
      <alignment horizontal="left" vertical="center" wrapText="1"/>
      <protection hidden="1"/>
    </xf>
    <xf numFmtId="0" fontId="24" fillId="0" borderId="81" xfId="0" applyFont="1" applyBorder="1" applyAlignment="1" applyProtection="1">
      <alignment horizontal="left" vertical="center" wrapText="1"/>
      <protection hidden="1"/>
    </xf>
    <xf numFmtId="0" fontId="24" fillId="0" borderId="82" xfId="0" applyFont="1" applyBorder="1" applyAlignment="1" applyProtection="1">
      <alignment horizontal="left" vertical="center" wrapText="1"/>
      <protection hidden="1"/>
    </xf>
    <xf numFmtId="0" fontId="16" fillId="3" borderId="101" xfId="0" applyFont="1" applyFill="1" applyBorder="1" applyAlignment="1" applyProtection="1">
      <alignment horizontal="center" vertical="center" wrapText="1"/>
      <protection hidden="1"/>
    </xf>
    <xf numFmtId="0" fontId="16" fillId="3" borderId="102" xfId="0" applyFont="1" applyFill="1" applyBorder="1" applyAlignment="1" applyProtection="1">
      <alignment horizontal="center" vertical="center" wrapText="1"/>
      <protection hidden="1"/>
    </xf>
    <xf numFmtId="0" fontId="16" fillId="3" borderId="113" xfId="0" applyFont="1" applyFill="1" applyBorder="1" applyAlignment="1" applyProtection="1">
      <alignment horizontal="center" vertical="center"/>
      <protection hidden="1"/>
    </xf>
    <xf numFmtId="0" fontId="16" fillId="3" borderId="114" xfId="0" applyFont="1" applyFill="1" applyBorder="1" applyAlignment="1" applyProtection="1">
      <alignment horizontal="center" vertical="center"/>
      <protection hidden="1"/>
    </xf>
    <xf numFmtId="0" fontId="6" fillId="0" borderId="26" xfId="10" applyBorder="1" applyAlignment="1">
      <alignment horizontal="left" vertical="center"/>
      <protection hidden="1"/>
    </xf>
    <xf numFmtId="0" fontId="0" fillId="0" borderId="58" xfId="0" applyFill="1" applyBorder="1" applyAlignment="1" applyProtection="1">
      <alignment horizontal="left" vertical="center" wrapText="1"/>
      <protection hidden="1"/>
    </xf>
    <xf numFmtId="0" fontId="0" fillId="4" borderId="58" xfId="0" applyFill="1" applyBorder="1" applyAlignment="1" applyProtection="1">
      <alignment horizontal="left" vertical="center" wrapText="1"/>
      <protection hidden="1"/>
    </xf>
    <xf numFmtId="0" fontId="11" fillId="0" borderId="0" xfId="0" applyFont="1" applyFill="1" applyBorder="1" applyAlignment="1" applyProtection="1">
      <alignment horizontal="center" vertical="center"/>
      <protection hidden="1"/>
    </xf>
    <xf numFmtId="0" fontId="16" fillId="3" borderId="78" xfId="0" applyFont="1" applyFill="1" applyBorder="1" applyAlignment="1" applyProtection="1">
      <alignment horizontal="center" vertical="center" wrapText="1"/>
      <protection hidden="1"/>
    </xf>
    <xf numFmtId="0" fontId="16" fillId="3" borderId="55" xfId="0" applyFont="1" applyFill="1" applyBorder="1" applyAlignment="1" applyProtection="1">
      <alignment horizontal="center" vertical="center" wrapText="1"/>
      <protection hidden="1"/>
    </xf>
    <xf numFmtId="0" fontId="16" fillId="3" borderId="115" xfId="0" applyFont="1" applyFill="1" applyBorder="1" applyAlignment="1" applyProtection="1">
      <alignment horizontal="center" vertical="center"/>
      <protection hidden="1"/>
    </xf>
    <xf numFmtId="0" fontId="16" fillId="3" borderId="83" xfId="0" applyFont="1" applyFill="1" applyBorder="1" applyAlignment="1" applyProtection="1">
      <alignment horizontal="center" vertical="center" wrapText="1"/>
      <protection hidden="1"/>
    </xf>
    <xf numFmtId="0" fontId="16" fillId="3" borderId="84" xfId="0" applyFont="1" applyFill="1" applyBorder="1" applyAlignment="1" applyProtection="1">
      <alignment horizontal="center" vertical="center" wrapText="1"/>
      <protection hidden="1"/>
    </xf>
    <xf numFmtId="0" fontId="16" fillId="3" borderId="78" xfId="0" applyFont="1" applyFill="1" applyBorder="1" applyAlignment="1" applyProtection="1">
      <alignment horizontal="center" vertical="center"/>
      <protection hidden="1"/>
    </xf>
    <xf numFmtId="0" fontId="16" fillId="3" borderId="55" xfId="0" applyFont="1" applyFill="1" applyBorder="1" applyAlignment="1" applyProtection="1">
      <alignment horizontal="center" vertical="center"/>
      <protection hidden="1"/>
    </xf>
    <xf numFmtId="0" fontId="16" fillId="3" borderId="63" xfId="0" applyFont="1" applyFill="1" applyBorder="1" applyAlignment="1" applyProtection="1">
      <alignment horizontal="center"/>
      <protection hidden="1"/>
    </xf>
    <xf numFmtId="0" fontId="5" fillId="4" borderId="66" xfId="0" applyFont="1" applyFill="1" applyBorder="1" applyAlignment="1" applyProtection="1">
      <alignment horizontal="left" vertical="center" wrapText="1"/>
      <protection hidden="1"/>
    </xf>
    <xf numFmtId="0" fontId="6" fillId="0" borderId="0" xfId="0" applyFont="1" applyAlignment="1" applyProtection="1">
      <alignment horizontal="right" vertical="center"/>
      <protection hidden="1"/>
    </xf>
    <xf numFmtId="49" fontId="5" fillId="0" borderId="117" xfId="9" applyFont="1" applyBorder="1" applyAlignment="1">
      <alignment horizontal="left" vertical="center"/>
      <protection hidden="1"/>
    </xf>
    <xf numFmtId="0" fontId="6" fillId="0" borderId="117" xfId="10" applyBorder="1" applyAlignment="1">
      <alignment horizontal="left" vertical="center"/>
      <protection hidden="1"/>
    </xf>
    <xf numFmtId="49" fontId="6" fillId="0" borderId="117" xfId="9" applyBorder="1" applyAlignment="1">
      <alignment horizontal="center" vertical="center"/>
      <protection hidden="1"/>
    </xf>
    <xf numFmtId="0" fontId="24" fillId="4" borderId="58" xfId="0" applyFont="1" applyFill="1" applyBorder="1" applyAlignment="1" applyProtection="1">
      <alignment horizontal="left" vertical="center" wrapText="1"/>
      <protection hidden="1"/>
    </xf>
    <xf numFmtId="0" fontId="0" fillId="0" borderId="117" xfId="0" applyBorder="1" applyAlignment="1" applyProtection="1">
      <alignment horizontal="center" vertical="center"/>
      <protection hidden="1"/>
    </xf>
    <xf numFmtId="0" fontId="0" fillId="4" borderId="61" xfId="0" applyFill="1" applyBorder="1" applyAlignment="1" applyProtection="1">
      <alignment horizontal="left" vertical="center" wrapText="1"/>
      <protection hidden="1"/>
    </xf>
    <xf numFmtId="0" fontId="5" fillId="4" borderId="58" xfId="0" applyFont="1" applyFill="1" applyBorder="1" applyAlignment="1" applyProtection="1">
      <alignment horizontal="left" vertical="center" wrapText="1"/>
      <protection hidden="1"/>
    </xf>
    <xf numFmtId="0" fontId="5" fillId="0" borderId="58" xfId="0" applyFont="1" applyFill="1" applyBorder="1" applyAlignment="1" applyProtection="1">
      <alignment horizontal="left" vertical="center" wrapText="1"/>
      <protection hidden="1"/>
    </xf>
    <xf numFmtId="49" fontId="5" fillId="0" borderId="0" xfId="9" applyFont="1" applyBorder="1" applyAlignment="1">
      <alignment horizontal="left" vertical="center"/>
      <protection hidden="1"/>
    </xf>
    <xf numFmtId="49" fontId="6" fillId="0" borderId="117" xfId="9" applyBorder="1" applyAlignment="1">
      <alignment horizontal="left" vertical="center"/>
      <protection hidden="1"/>
    </xf>
    <xf numFmtId="0" fontId="5" fillId="0" borderId="58" xfId="0" applyFont="1" applyBorder="1" applyAlignment="1" applyProtection="1">
      <alignment horizontal="left" vertical="center" wrapText="1"/>
      <protection hidden="1"/>
    </xf>
    <xf numFmtId="0" fontId="0" fillId="0" borderId="58" xfId="0" applyBorder="1" applyAlignment="1" applyProtection="1">
      <alignment horizontal="left" vertical="center" wrapText="1"/>
      <protection hidden="1"/>
    </xf>
    <xf numFmtId="0" fontId="4" fillId="0" borderId="0" xfId="0" applyFont="1" applyFill="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0" xfId="0" applyAlignment="1">
      <alignment horizontal="center" vertical="center"/>
    </xf>
    <xf numFmtId="49" fontId="6" fillId="0" borderId="0" xfId="9" applyFill="1" applyBorder="1" applyAlignment="1">
      <alignment horizontal="center" vertical="center"/>
      <protection hidden="1"/>
    </xf>
    <xf numFmtId="0" fontId="5" fillId="4" borderId="61" xfId="0" applyFont="1" applyFill="1" applyBorder="1" applyAlignment="1" applyProtection="1">
      <alignment horizontal="left" vertical="center" wrapText="1"/>
      <protection hidden="1"/>
    </xf>
    <xf numFmtId="0" fontId="0" fillId="0" borderId="117" xfId="0" applyBorder="1" applyAlignment="1" applyProtection="1">
      <alignment horizontal="left" vertical="center"/>
      <protection hidden="1"/>
    </xf>
    <xf numFmtId="0" fontId="5" fillId="0" borderId="66" xfId="0" applyFont="1"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49" fontId="6" fillId="0" borderId="0" xfId="9" applyBorder="1" applyAlignment="1">
      <alignment horizontal="right" vertical="center" wrapText="1"/>
      <protection hidden="1"/>
    </xf>
    <xf numFmtId="0" fontId="0" fillId="0" borderId="80" xfId="0" applyBorder="1" applyAlignment="1" applyProtection="1">
      <alignment horizontal="left" vertical="center" wrapText="1"/>
      <protection hidden="1"/>
    </xf>
    <xf numFmtId="0" fontId="0" fillId="0" borderId="81" xfId="0" applyBorder="1" applyAlignment="1" applyProtection="1">
      <alignment horizontal="left" vertical="center" wrapText="1"/>
      <protection hidden="1"/>
    </xf>
    <xf numFmtId="0" fontId="0" fillId="0" borderId="82" xfId="0" applyBorder="1" applyAlignment="1" applyProtection="1">
      <alignment horizontal="left" vertical="center" wrapText="1"/>
      <protection hidden="1"/>
    </xf>
    <xf numFmtId="0" fontId="0" fillId="4" borderId="80" xfId="0" applyFill="1" applyBorder="1" applyAlignment="1" applyProtection="1">
      <alignment horizontal="left" vertical="center" wrapText="1"/>
      <protection hidden="1"/>
    </xf>
    <xf numFmtId="0" fontId="0" fillId="4" borderId="81" xfId="0" applyFill="1" applyBorder="1" applyAlignment="1" applyProtection="1">
      <alignment horizontal="left" vertical="center" wrapText="1"/>
      <protection hidden="1"/>
    </xf>
    <xf numFmtId="0" fontId="0" fillId="4" borderId="82" xfId="0" applyFill="1" applyBorder="1" applyAlignment="1" applyProtection="1">
      <alignment horizontal="left" vertical="center" wrapText="1"/>
      <protection hidden="1"/>
    </xf>
    <xf numFmtId="0" fontId="16" fillId="3" borderId="79" xfId="0" applyFont="1" applyFill="1" applyBorder="1" applyAlignment="1" applyProtection="1">
      <alignment horizontal="center" vertical="center"/>
      <protection hidden="1"/>
    </xf>
    <xf numFmtId="0" fontId="0" fillId="0" borderId="66" xfId="0" applyBorder="1" applyAlignment="1" applyProtection="1">
      <alignment horizontal="left" vertical="center" wrapText="1"/>
      <protection hidden="1"/>
    </xf>
    <xf numFmtId="0" fontId="0" fillId="0" borderId="88" xfId="0" applyBorder="1" applyAlignment="1" applyProtection="1">
      <alignment horizontal="left" vertical="center" wrapText="1"/>
      <protection hidden="1"/>
    </xf>
    <xf numFmtId="0" fontId="0" fillId="0" borderId="89" xfId="0" applyBorder="1" applyAlignment="1" applyProtection="1">
      <alignment horizontal="left" vertical="center" wrapText="1"/>
      <protection hidden="1"/>
    </xf>
    <xf numFmtId="0" fontId="0" fillId="0" borderId="90" xfId="0" applyBorder="1" applyAlignment="1" applyProtection="1">
      <alignment horizontal="left" vertical="center" wrapText="1"/>
      <protection hidden="1"/>
    </xf>
    <xf numFmtId="49" fontId="6" fillId="0" borderId="26" xfId="9" applyBorder="1" applyAlignment="1">
      <alignment horizontal="left" vertical="center"/>
      <protection hidden="1"/>
    </xf>
    <xf numFmtId="0" fontId="5" fillId="4" borderId="143" xfId="0" applyFont="1" applyFill="1" applyBorder="1" applyAlignment="1" applyProtection="1">
      <alignment vertical="center" wrapText="1"/>
      <protection hidden="1"/>
    </xf>
    <xf numFmtId="0" fontId="5" fillId="4" borderId="138" xfId="0" applyFont="1" applyFill="1" applyBorder="1" applyAlignment="1" applyProtection="1">
      <alignment vertical="center" wrapText="1"/>
      <protection hidden="1"/>
    </xf>
    <xf numFmtId="0" fontId="5" fillId="4" borderId="139" xfId="0" applyFont="1" applyFill="1" applyBorder="1" applyAlignment="1" applyProtection="1">
      <alignment vertical="center" wrapText="1"/>
      <protection hidden="1"/>
    </xf>
    <xf numFmtId="0" fontId="0" fillId="0" borderId="142" xfId="0" applyBorder="1" applyAlignment="1" applyProtection="1">
      <alignment vertical="center" wrapText="1"/>
      <protection hidden="1"/>
    </xf>
    <xf numFmtId="0" fontId="0" fillId="0" borderId="81" xfId="0" applyBorder="1" applyAlignment="1" applyProtection="1">
      <alignment vertical="center" wrapText="1"/>
      <protection hidden="1"/>
    </xf>
    <xf numFmtId="0" fontId="0" fillId="0" borderId="82" xfId="0" applyBorder="1" applyAlignment="1" applyProtection="1">
      <alignment vertical="center" wrapText="1"/>
      <protection hidden="1"/>
    </xf>
    <xf numFmtId="0" fontId="5" fillId="0" borderId="141" xfId="0" applyFont="1" applyBorder="1" applyAlignment="1" applyProtection="1">
      <alignment vertical="center" wrapText="1"/>
      <protection hidden="1"/>
    </xf>
    <xf numFmtId="0" fontId="5" fillId="0" borderId="86" xfId="0" applyFont="1" applyBorder="1" applyAlignment="1" applyProtection="1">
      <alignment vertical="center" wrapText="1"/>
      <protection hidden="1"/>
    </xf>
    <xf numFmtId="0" fontId="5" fillId="0" borderId="87" xfId="0" applyFont="1" applyBorder="1" applyAlignment="1" applyProtection="1">
      <alignment vertical="center" wrapText="1"/>
      <protection hidden="1"/>
    </xf>
    <xf numFmtId="0" fontId="0" fillId="0" borderId="4" xfId="0" applyBorder="1" applyAlignment="1" applyProtection="1">
      <alignment horizontal="center"/>
      <protection hidden="1"/>
    </xf>
    <xf numFmtId="0" fontId="0" fillId="0" borderId="0" xfId="0" applyAlignment="1" applyProtection="1">
      <alignment horizontal="center"/>
      <protection hidden="1"/>
    </xf>
    <xf numFmtId="0" fontId="5" fillId="4" borderId="142" xfId="0" applyFont="1" applyFill="1" applyBorder="1" applyAlignment="1" applyProtection="1">
      <alignment vertical="center" wrapText="1"/>
      <protection hidden="1"/>
    </xf>
    <xf numFmtId="0" fontId="5" fillId="4" borderId="81" xfId="0" applyFont="1" applyFill="1" applyBorder="1" applyAlignment="1" applyProtection="1">
      <alignment vertical="center" wrapText="1"/>
      <protection hidden="1"/>
    </xf>
    <xf numFmtId="0" fontId="5" fillId="4" borderId="82" xfId="0" applyFont="1" applyFill="1" applyBorder="1" applyAlignment="1" applyProtection="1">
      <alignment vertical="center" wrapText="1"/>
      <protection hidden="1"/>
    </xf>
    <xf numFmtId="0" fontId="0" fillId="4" borderId="142" xfId="0" applyFill="1" applyBorder="1" applyAlignment="1" applyProtection="1">
      <alignment vertical="center" wrapText="1"/>
      <protection hidden="1"/>
    </xf>
    <xf numFmtId="0" fontId="0" fillId="4" borderId="81" xfId="0" applyFill="1" applyBorder="1" applyAlignment="1" applyProtection="1">
      <alignment vertical="center" wrapText="1"/>
      <protection hidden="1"/>
    </xf>
    <xf numFmtId="0" fontId="0" fillId="4" borderId="82" xfId="0" applyFill="1" applyBorder="1" applyAlignment="1" applyProtection="1">
      <alignment vertical="center" wrapText="1"/>
      <protection hidden="1"/>
    </xf>
    <xf numFmtId="0" fontId="16" fillId="3" borderId="156" xfId="0" applyFont="1" applyFill="1" applyBorder="1" applyAlignment="1" applyProtection="1">
      <alignment horizontal="center" wrapText="1"/>
      <protection hidden="1"/>
    </xf>
    <xf numFmtId="0" fontId="16" fillId="3" borderId="44" xfId="0" applyFont="1" applyFill="1" applyBorder="1" applyAlignment="1" applyProtection="1">
      <alignment horizontal="center" wrapText="1"/>
      <protection hidden="1"/>
    </xf>
    <xf numFmtId="0" fontId="16" fillId="3" borderId="27" xfId="0" applyFont="1" applyFill="1" applyBorder="1" applyAlignment="1" applyProtection="1">
      <alignment horizontal="center" wrapText="1"/>
      <protection hidden="1"/>
    </xf>
    <xf numFmtId="0" fontId="16" fillId="3" borderId="148" xfId="0" applyFont="1" applyFill="1" applyBorder="1" applyAlignment="1" applyProtection="1">
      <alignment horizontal="center" vertical="center" wrapText="1"/>
      <protection hidden="1"/>
    </xf>
    <xf numFmtId="0" fontId="16" fillId="3" borderId="149" xfId="0" applyFont="1" applyFill="1" applyBorder="1" applyAlignment="1" applyProtection="1">
      <alignment horizontal="center" vertical="center"/>
      <protection hidden="1"/>
    </xf>
    <xf numFmtId="0" fontId="16" fillId="3" borderId="150" xfId="0" applyFont="1" applyFill="1" applyBorder="1" applyAlignment="1" applyProtection="1">
      <alignment horizontal="center" vertical="center"/>
      <protection hidden="1"/>
    </xf>
    <xf numFmtId="0" fontId="16" fillId="3" borderId="151" xfId="0" applyFont="1" applyFill="1" applyBorder="1" applyAlignment="1" applyProtection="1">
      <alignment horizontal="center" vertical="center"/>
      <protection hidden="1"/>
    </xf>
    <xf numFmtId="0" fontId="16" fillId="3" borderId="152"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vertical="center" wrapText="1"/>
      <protection hidden="1"/>
    </xf>
    <xf numFmtId="0" fontId="16" fillId="3" borderId="153" xfId="0" applyFont="1" applyFill="1" applyBorder="1" applyAlignment="1" applyProtection="1">
      <alignment horizontal="center" vertical="center" wrapText="1"/>
      <protection hidden="1"/>
    </xf>
    <xf numFmtId="0" fontId="16" fillId="3" borderId="154" xfId="0" applyFont="1" applyFill="1" applyBorder="1" applyAlignment="1" applyProtection="1">
      <alignment horizontal="center" vertical="center" wrapText="1"/>
      <protection hidden="1"/>
    </xf>
    <xf numFmtId="0" fontId="16" fillId="3" borderId="145" xfId="0" applyFont="1" applyFill="1" applyBorder="1" applyAlignment="1" applyProtection="1">
      <alignment horizontal="center" vertical="center" wrapText="1"/>
      <protection hidden="1"/>
    </xf>
    <xf numFmtId="0" fontId="16" fillId="3" borderId="146" xfId="0" applyFont="1" applyFill="1" applyBorder="1" applyAlignment="1" applyProtection="1">
      <alignment horizontal="center" vertical="center" wrapText="1"/>
      <protection hidden="1"/>
    </xf>
    <xf numFmtId="0" fontId="16" fillId="3" borderId="147" xfId="0" applyFont="1" applyFill="1" applyBorder="1" applyAlignment="1" applyProtection="1">
      <alignment horizontal="center" vertical="center" wrapText="1"/>
      <protection hidden="1"/>
    </xf>
    <xf numFmtId="0" fontId="16" fillId="3" borderId="144" xfId="0" applyFont="1" applyFill="1" applyBorder="1" applyAlignment="1" applyProtection="1">
      <alignment horizontal="center" vertical="center" wrapText="1"/>
      <protection hidden="1"/>
    </xf>
    <xf numFmtId="0" fontId="16" fillId="3" borderId="97" xfId="0" applyFont="1" applyFill="1" applyBorder="1" applyAlignment="1" applyProtection="1">
      <alignment horizontal="center" vertical="center" wrapText="1"/>
      <protection hidden="1"/>
    </xf>
  </cellXfs>
  <cellStyles count="14">
    <cellStyle name="Aop" xfId="1" xr:uid="{00000000-0005-0000-0000-000000000000}"/>
    <cellStyle name="Calculation" xfId="2" builtinId="22" customBuiltin="1"/>
    <cellStyle name="Comma" xfId="13" builtinId="3"/>
    <cellStyle name="Good" xfId="3" builtinId="26"/>
    <cellStyle name="Grupa" xfId="4" xr:uid="{00000000-0005-0000-0000-000004000000}"/>
    <cellStyle name="Hyperlink" xfId="5" builtinId="8"/>
    <cellStyle name="Input" xfId="12" builtinId="20"/>
    <cellStyle name="Normal" xfId="0" builtinId="0" customBuiltin="1"/>
    <cellStyle name="UnosBroj" xfId="6" xr:uid="{00000000-0005-0000-0000-000008000000}"/>
    <cellStyle name="UnosPodataka" xfId="7" xr:uid="{00000000-0005-0000-0000-000009000000}"/>
    <cellStyle name="UnosTekst" xfId="8" xr:uid="{00000000-0005-0000-0000-00000A000000}"/>
    <cellStyle name="Zaglavlje" xfId="9" xr:uid="{00000000-0005-0000-0000-00000B000000}"/>
    <cellStyle name="ZiroRacun" xfId="10" xr:uid="{00000000-0005-0000-0000-00000C000000}"/>
    <cellStyle name="ZiroRacunUnos" xfId="11" xr:uid="{00000000-0005-0000-0000-00000D000000}"/>
  </cellStyles>
  <dxfs count="205">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165" formatCode="000"/>
      <protection locked="1" hidden="1"/>
    </dxf>
    <dxf>
      <numFmt numFmtId="165" formatCode="000"/>
      <protection locked="1" hidden="1"/>
    </dxf>
    <dxf>
      <numFmt numFmtId="0" formatCode="General"/>
      <protection locked="1" hidden="1"/>
    </dxf>
    <dxf>
      <protection locked="1" hidden="1"/>
    </dxf>
    <dxf>
      <alignment horizontal="center" vertical="center" textRotation="0" wrapText="1" indent="0" justifyLastLine="0" shrinkToFit="0" readingOrder="0"/>
      <protection locked="1" hidden="1"/>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n">
          <color theme="0"/>
        </left>
        <right/>
        <top style="thin">
          <color theme="0"/>
        </top>
        <bottom style="thin">
          <color theme="0"/>
        </bottom>
      </border>
    </dxf>
    <dxf>
      <fill>
        <patternFill patternType="none">
          <fgColor indexed="64"/>
          <bgColor indexed="65"/>
        </patternFill>
      </fill>
      <border diagonalUp="0" diagonalDown="0">
        <left/>
        <right style="thin">
          <color theme="0"/>
        </right>
        <top style="thin">
          <color theme="0"/>
        </top>
        <bottom style="thin">
          <color theme="0"/>
        </bottom>
      </border>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alignment horizontal="left" vertical="center" textRotation="0" wrapText="0" indent="0" justifyLastLine="0" shrinkToFit="0" readingOrder="0"/>
      <border diagonalUp="0" diagonalDown="0">
        <left style="thin">
          <color theme="0"/>
        </left>
        <right style="thin">
          <color theme="0"/>
        </right>
        <top/>
        <bottom/>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border diagonalUp="0" diagonalDown="0">
        <left style="thin">
          <color theme="0"/>
        </left>
        <right style="thin">
          <color theme="0"/>
        </right>
        <top/>
        <bottom/>
      </border>
    </dxf>
    <dxf>
      <numFmt numFmtId="0" formatCode="General"/>
    </dxf>
    <dxf>
      <numFmt numFmtId="0" formatCode="General"/>
    </dxf>
    <dxf>
      <numFmt numFmtId="0" formatCode="General"/>
    </dxf>
    <dxf>
      <numFmt numFmtId="19" formatCode="dd/mm/yyyy"/>
    </dxf>
    <dxf>
      <alignment horizontal="left" vertical="bottom" textRotation="0" wrapText="0" indent="0" justifyLastLine="0" shrinkToFit="0" readingOrder="0"/>
      <protection locked="1" hidden="1"/>
    </dxf>
    <dxf>
      <protection locked="1" hidden="1"/>
    </dxf>
    <dxf>
      <numFmt numFmtId="0" formatCode="General"/>
    </dxf>
    <dxf>
      <numFmt numFmtId="0" formatCode="General"/>
    </dxf>
    <dxf>
      <numFmt numFmtId="19" formatCode="dd/mm/yyyy"/>
    </dxf>
    <dxf>
      <numFmt numFmtId="19" formatCode="dd/mm/yyyy"/>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strike val="0"/>
        <outline val="0"/>
        <shadow val="0"/>
        <u val="none"/>
        <vertAlign val="baseline"/>
        <sz val="10"/>
      </font>
      <numFmt numFmtId="30" formatCode="@"/>
      <alignment horizontal="center"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numFmt numFmtId="0" formatCode="General"/>
    </dxf>
    <dxf>
      <numFmt numFmtId="0" formatCode="General"/>
      <alignment horizontal="center" vertical="center" textRotation="0" wrapText="0" indent="0" justifyLastLine="0" shrinkToFit="0" readingOrder="0"/>
    </dxf>
    <dxf>
      <numFmt numFmtId="0" formatCode="General"/>
    </dxf>
    <dxf>
      <numFmt numFmtId="0" formatCode="General"/>
    </dxf>
    <dxf>
      <numFmt numFmtId="0" formatCode="General"/>
    </dxf>
    <dxf>
      <alignment horizontal="center" vertical="center" textRotation="0" wrapText="1" indent="0" justifyLastLine="0" shrinkToFit="0" readingOrder="0"/>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auto="1"/>
        </bottom>
        <vertical/>
        <horizontal/>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0" formatCode="General"/>
    </dxf>
    <dxf>
      <numFmt numFmtId="0" formatCode="General"/>
    </dxf>
    <dxf>
      <numFmt numFmtId="0" formatCode="General"/>
    </dxf>
    <dxf>
      <alignment horizontal="center" vertical="center" textRotation="0" wrapText="0" indent="0" justifyLastLine="0" shrinkToFit="0" readingOrder="0"/>
    </dxf>
    <dxf>
      <fill>
        <patternFill>
          <bgColor theme="5" tint="0.79998168889431442"/>
        </patternFill>
      </fill>
    </dxf>
    <dxf>
      <font>
        <strike/>
      </font>
    </dxf>
    <dxf>
      <font>
        <strike/>
      </font>
    </dxf>
    <dxf>
      <font>
        <strike/>
      </font>
    </dxf>
    <dxf>
      <font>
        <strike/>
      </font>
    </dxf>
    <dxf>
      <font>
        <strike/>
      </font>
    </dxf>
    <dxf>
      <font>
        <strike/>
      </font>
    </dxf>
    <dxf>
      <font>
        <strike/>
      </font>
    </dxf>
    <dxf>
      <font>
        <strike/>
      </font>
    </dxf>
    <dxf>
      <font>
        <strike/>
      </font>
    </dxf>
    <dxf>
      <font>
        <strike/>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3FCFF"/>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454F67"/>
      <rgbColor rgb="00333399"/>
      <rgbColor rgb="00333333"/>
    </indexedColors>
    <mruColors>
      <color rgb="FFE8E8E8"/>
      <color rgb="FFDBDBDB"/>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GBox"/>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GBox"/>
</file>

<file path=xl/ctrlProps/ctrlProp2.xml><?xml version="1.0" encoding="utf-8"?>
<formControlPr xmlns="http://schemas.microsoft.com/office/spreadsheetml/2009/9/main" objectType="Drop" dropLines="4" dropStyle="combo" dx="22" fmlaLink="Podesavanja!$B$1" fmlaRange="Podesavanja!$C$3:$C$6" sel="1" val="0"/>
</file>

<file path=xl/ctrlProps/ctrlProp3.xml><?xml version="1.0" encoding="utf-8"?>
<formControlPr xmlns="http://schemas.microsoft.com/office/spreadsheetml/2009/9/main" objectType="CheckBox" fmlaLink="$Y$76" lockText="1"/>
</file>

<file path=xl/ctrlProps/ctrlProp4.xml><?xml version="1.0" encoding="utf-8"?>
<formControlPr xmlns="http://schemas.microsoft.com/office/spreadsheetml/2009/9/main" objectType="CheckBox" fmlaLink="$Y$62" lockText="1"/>
</file>

<file path=xl/ctrlProps/ctrlProp5.xml><?xml version="1.0" encoding="utf-8"?>
<formControlPr xmlns="http://schemas.microsoft.com/office/spreadsheetml/2009/9/main" objectType="Drop" dropLines="4" dropStyle="combo" dx="22" fmlaLink="Podesavanja!$E$1" fmlaRange="Podesavanja!$F$3:$F$6" sel="1" val="0"/>
</file>

<file path=xl/ctrlProps/ctrlProp6.xml><?xml version="1.0" encoding="utf-8"?>
<formControlPr xmlns="http://schemas.microsoft.com/office/spreadsheetml/2009/9/main" objectType="GBox"/>
</file>

<file path=xl/ctrlProps/ctrlProp7.xml><?xml version="1.0" encoding="utf-8"?>
<formControlPr xmlns="http://schemas.microsoft.com/office/spreadsheetml/2009/9/main" objectType="GBox"/>
</file>

<file path=xl/ctrlProps/ctrlProp8.xml><?xml version="1.0" encoding="utf-8"?>
<formControlPr xmlns="http://schemas.microsoft.com/office/spreadsheetml/2009/9/main" objectType="GBox"/>
</file>

<file path=xl/ctrlProps/ctrlProp9.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2.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3.xml.rels><?xml version="1.0" encoding="UTF-8" standalone="yes"?>
<Relationships xmlns="http://schemas.openxmlformats.org/package/2006/relationships"><Relationship Id="rId8" Type="http://schemas.openxmlformats.org/officeDocument/2006/relationships/hyperlink" Target="#'01'!C12"/><Relationship Id="rId3" Type="http://schemas.openxmlformats.org/officeDocument/2006/relationships/hyperlink" Target="#'03'!C12"/><Relationship Id="rId7" Type="http://schemas.openxmlformats.org/officeDocument/2006/relationships/hyperlink" Target="#Uputstvo!B5"/><Relationship Id="rId2" Type="http://schemas.openxmlformats.org/officeDocument/2006/relationships/hyperlink" Target="#'02b'!C12"/><Relationship Id="rId1" Type="http://schemas.openxmlformats.org/officeDocument/2006/relationships/hyperlink" Target="#'02a'!C12"/><Relationship Id="rId6" Type="http://schemas.openxmlformats.org/officeDocument/2006/relationships/hyperlink" Target="#Osnovni_Podaci!B5"/><Relationship Id="rId5" Type="http://schemas.openxmlformats.org/officeDocument/2006/relationships/hyperlink" Target="#'05'!C12"/><Relationship Id="rId4" Type="http://schemas.openxmlformats.org/officeDocument/2006/relationships/hyperlink" Target="#'04'!C12"/></Relationships>
</file>

<file path=xl/drawings/_rels/drawing4.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5.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6.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7.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8.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47625</xdr:rowOff>
    </xdr:from>
    <xdr:to>
      <xdr:col>18</xdr:col>
      <xdr:colOff>123825</xdr:colOff>
      <xdr:row>4</xdr:row>
      <xdr:rowOff>0</xdr:rowOff>
    </xdr:to>
    <xdr:grpSp>
      <xdr:nvGrpSpPr>
        <xdr:cNvPr id="123900" name="Okvir Navigacija">
          <a:extLst>
            <a:ext uri="{FF2B5EF4-FFF2-40B4-BE49-F238E27FC236}">
              <a16:creationId xmlns:a16="http://schemas.microsoft.com/office/drawing/2014/main" id="{00000000-0008-0000-0000-0000FCE30100}"/>
            </a:ext>
          </a:extLst>
        </xdr:cNvPr>
        <xdr:cNvGrpSpPr>
          <a:grpSpLocks/>
        </xdr:cNvGrpSpPr>
      </xdr:nvGrpSpPr>
      <xdr:grpSpPr bwMode="auto">
        <a:xfrm>
          <a:off x="361950" y="47625"/>
          <a:ext cx="10442575" cy="612775"/>
          <a:chOff x="7343770" y="3810006"/>
          <a:chExt cx="7258050" cy="590550"/>
        </a:xfrm>
      </xdr:grpSpPr>
      <mc:AlternateContent xmlns:mc="http://schemas.openxmlformats.org/markup-compatibility/2006">
        <mc:Choice xmlns:a14="http://schemas.microsoft.com/office/drawing/2010/main" Requires="a14">
          <xdr:sp macro="" textlink="">
            <xdr:nvSpPr>
              <xdr:cNvPr id="31987" name="Navigacija"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7343770" y="3810006"/>
                <a:ext cx="7258050" cy="59055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000-00000E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B9C12B-E4B6-4049-B005-B9091B59AC14}" type="TxLink">
              <a:rPr lang="en-US" sz="1050"/>
              <a:pPr algn="l"/>
              <a:t>01) Bilans stanja</a:t>
            </a:fld>
            <a:endParaRPr lang="en-US" sz="1050"/>
          </a:p>
        </xdr:txBody>
      </xdr:sp>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000-00000F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01E4AA5-37C5-4070-83BB-80091353CCF3}" type="TxLink">
              <a:rPr lang="en-US" sz="1050"/>
              <a:pPr algn="l"/>
              <a:t>02a) Bilans uspjeha</a:t>
            </a:fld>
            <a:endParaRPr lang="en-US" sz="1050"/>
          </a:p>
        </xdr:txBody>
      </xdr:sp>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000-000010000000}"/>
              </a:ext>
            </a:extLst>
          </xdr:cNvPr>
          <xdr:cNvSpPr txBox="1"/>
        </xdr:nvSpPr>
        <xdr:spPr bwMode="auto">
          <a:xfrm>
            <a:off x="10436908" y="4143376"/>
            <a:ext cx="338458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6B522FE-860F-42FF-96AF-DCA1DD6EABCB}" type="TxLink">
              <a:rPr lang="en-US" sz="1050"/>
              <a:pPr algn="l"/>
              <a:t>02b) Izvještaj o ostalim dobicima i gubicima u periodu</a:t>
            </a:fld>
            <a:endParaRPr lang="en-US" sz="1050"/>
          </a:p>
        </xdr:txBody>
      </xdr:sp>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000-000011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8CDE52-51DE-484D-8AF0-B912E8207E5C}" type="TxLink">
              <a:rPr lang="en-US" sz="1050"/>
              <a:pPr algn="l"/>
              <a:t>03) Bilans tokova gotovine</a:t>
            </a:fld>
            <a:endParaRPr lang="en-US" sz="1050"/>
          </a:p>
        </xdr:txBody>
      </xdr:sp>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000-000012000000}"/>
              </a:ext>
            </a:extLst>
          </xdr:cNvPr>
          <xdr:cNvSpPr txBox="1"/>
        </xdr:nvSpPr>
        <xdr:spPr bwMode="auto">
          <a:xfrm>
            <a:off x="7428390" y="4143376"/>
            <a:ext cx="62990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AE79C66-FCE6-4951-9DF3-F98D302ABC93}" type="TxLink">
              <a:rPr lang="en-US" sz="1050"/>
              <a:pPr algn="l"/>
              <a:t>04) Aneks</a:t>
            </a:fld>
            <a:endParaRPr lang="en-US" sz="1050"/>
          </a:p>
        </xdr:txBody>
      </xdr:sp>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000-000013000000}"/>
              </a:ext>
            </a:extLst>
          </xdr:cNvPr>
          <xdr:cNvSpPr txBox="1"/>
        </xdr:nvSpPr>
        <xdr:spPr bwMode="auto">
          <a:xfrm>
            <a:off x="8142913" y="4143376"/>
            <a:ext cx="2209381"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AD2D9C9-1AD0-4067-BD35-164F5F613F5B}" type="TxLink">
              <a:rPr lang="en-US" sz="1050"/>
              <a:pPr algn="l"/>
              <a:t>05) Izvještaj o promjenama u kapitalu</a:t>
            </a:fld>
            <a:endParaRPr lang="en-US" sz="1050"/>
          </a:p>
        </xdr:txBody>
      </xdr:sp>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000-000014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FBC4A-DEE3-4F04-BB86-FD03EB2105B8}" type="TxLink">
              <a:rPr lang="en-US" sz="1050"/>
              <a:pPr algn="l"/>
              <a:t>Osnovni podaci</a:t>
            </a:fld>
            <a:endParaRPr lang="en-US" sz="1050"/>
          </a:p>
        </xdr:txBody>
      </xdr:sp>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000-000015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C56B1BD-DFF1-4E03-A168-65F1B3862D47}" type="TxLink">
              <a:rPr lang="en-US" sz="1050"/>
              <a:pPr algn="l"/>
              <a:t>Uputstvo za popunjavanje</a:t>
            </a:fld>
            <a:endParaRPr lang="en-US" sz="1050"/>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365167</xdr:colOff>
      <xdr:row>0</xdr:row>
      <xdr:rowOff>0</xdr:rowOff>
    </xdr:from>
    <xdr:to>
      <xdr:col>27</xdr:col>
      <xdr:colOff>1600200</xdr:colOff>
      <xdr:row>3</xdr:row>
      <xdr:rowOff>38461</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358817" y="0"/>
          <a:ext cx="9077283" cy="819511"/>
          <a:chOff x="365167" y="0"/>
          <a:chExt cx="9521783" cy="819510"/>
        </a:xfrm>
      </xdr:grpSpPr>
      <mc:AlternateContent xmlns:mc="http://schemas.openxmlformats.org/markup-compatibility/2006">
        <mc:Choice xmlns:a14="http://schemas.microsoft.com/office/drawing/2010/main" Requires="a14">
          <xdr:sp macro="" textlink="">
            <xdr:nvSpPr>
              <xdr:cNvPr id="24786" name="Navigacija" hidden="1">
                <a:extLst>
                  <a:ext uri="{63B3BB69-23CF-44E3-9099-C40C66FF867C}">
                    <a14:compatExt spid="_x0000_s24786"/>
                  </a:ext>
                  <a:ext uri="{FF2B5EF4-FFF2-40B4-BE49-F238E27FC236}">
                    <a16:creationId xmlns:a16="http://schemas.microsoft.com/office/drawing/2014/main" id="{00000000-0008-0000-0100-0000D2600000}"/>
                  </a:ext>
                </a:extLst>
              </xdr:cNvPr>
              <xdr:cNvSpPr/>
            </xdr:nvSpPr>
            <xdr:spPr bwMode="auto">
              <a:xfrm>
                <a:off x="365167" y="0"/>
                <a:ext cx="9521783" cy="81951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88" name="Link BS">
            <a:hlinkClick xmlns:r="http://schemas.openxmlformats.org/officeDocument/2006/relationships" r:id="rId1" tooltip="01"/>
            <a:extLst>
              <a:ext uri="{FF2B5EF4-FFF2-40B4-BE49-F238E27FC236}">
                <a16:creationId xmlns:a16="http://schemas.microsoft.com/office/drawing/2014/main" id="{00000000-0008-0000-0100-000058000000}"/>
              </a:ext>
            </a:extLst>
          </xdr:cNvPr>
          <xdr:cNvSpPr txBox="1"/>
        </xdr:nvSpPr>
        <xdr:spPr bwMode="auto">
          <a:xfrm>
            <a:off x="3872255" y="133351"/>
            <a:ext cx="1509370" cy="247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8849A43-8610-4671-827E-CC9BC53D1E38}" type="TxLink">
              <a:rPr lang="en-US" sz="1050"/>
              <a:pPr algn="l"/>
              <a:t>01) Bilans stanja</a:t>
            </a:fld>
            <a:endParaRPr lang="en-US" sz="1050"/>
          </a:p>
        </xdr:txBody>
      </xdr:sp>
      <xdr:sp macro="" textlink="Linkovi_Link_BU">
        <xdr:nvSpPr>
          <xdr:cNvPr id="89" name="Link BU">
            <a:hlinkClick xmlns:r="http://schemas.openxmlformats.org/officeDocument/2006/relationships" r:id="rId2" tooltip="02a"/>
            <a:extLst>
              <a:ext uri="{FF2B5EF4-FFF2-40B4-BE49-F238E27FC236}">
                <a16:creationId xmlns:a16="http://schemas.microsoft.com/office/drawing/2014/main" id="{00000000-0008-0000-0100-000059000000}"/>
              </a:ext>
            </a:extLst>
          </xdr:cNvPr>
          <xdr:cNvSpPr txBox="1"/>
        </xdr:nvSpPr>
        <xdr:spPr bwMode="auto">
          <a:xfrm>
            <a:off x="5410200" y="123825"/>
            <a:ext cx="1943100" cy="247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2BF5BE6-695B-487E-ACF0-2A754A56E9CD}" type="TxLink">
              <a:rPr lang="en-US" sz="1050"/>
              <a:pPr algn="l"/>
              <a:t>02a) Bilans uspjeha</a:t>
            </a:fld>
            <a:endParaRPr lang="en-US" sz="1050"/>
          </a:p>
        </xdr:txBody>
      </xdr:sp>
      <xdr:sp macro="" textlink="Linkovi_Link_ODGP">
        <xdr:nvSpPr>
          <xdr:cNvPr id="90" name="Link ODGP">
            <a:hlinkClick xmlns:r="http://schemas.openxmlformats.org/officeDocument/2006/relationships" r:id="rId3" tooltip="02b"/>
            <a:extLst>
              <a:ext uri="{FF2B5EF4-FFF2-40B4-BE49-F238E27FC236}">
                <a16:creationId xmlns:a16="http://schemas.microsoft.com/office/drawing/2014/main" id="{00000000-0008-0000-0100-00005A000000}"/>
              </a:ext>
            </a:extLst>
          </xdr:cNvPr>
          <xdr:cNvSpPr txBox="1"/>
        </xdr:nvSpPr>
        <xdr:spPr bwMode="auto">
          <a:xfrm>
            <a:off x="5406399" y="409575"/>
            <a:ext cx="4356725" cy="266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BFE3C0E-8725-4CF4-8BC6-D522D8CE98BA}" type="TxLink">
              <a:rPr lang="en-US" sz="1050"/>
              <a:pPr algn="l"/>
              <a:t>02b) Izvještaj o ostalim dobicima i gubicima u periodu</a:t>
            </a:fld>
            <a:endParaRPr lang="en-US" sz="1050"/>
          </a:p>
        </xdr:txBody>
      </xdr:sp>
      <xdr:sp macro="" textlink="Linkovi_Link_BTG">
        <xdr:nvSpPr>
          <xdr:cNvPr id="91" name="Link BTG">
            <a:hlinkClick xmlns:r="http://schemas.openxmlformats.org/officeDocument/2006/relationships" r:id="rId4" tooltip="03"/>
            <a:extLst>
              <a:ext uri="{FF2B5EF4-FFF2-40B4-BE49-F238E27FC236}">
                <a16:creationId xmlns:a16="http://schemas.microsoft.com/office/drawing/2014/main" id="{00000000-0008-0000-0100-00005B000000}"/>
              </a:ext>
            </a:extLst>
          </xdr:cNvPr>
          <xdr:cNvSpPr txBox="1"/>
        </xdr:nvSpPr>
        <xdr:spPr bwMode="auto">
          <a:xfrm>
            <a:off x="7391399" y="128333"/>
            <a:ext cx="2390776" cy="232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72CEA70-1EE3-4C86-B787-B9C9A17D4E44}" type="TxLink">
              <a:rPr lang="en-US" sz="1050"/>
              <a:pPr algn="l"/>
              <a:t>03) Bilans tokova gotovine</a:t>
            </a:fld>
            <a:endParaRPr lang="en-US" sz="1050"/>
          </a:p>
        </xdr:txBody>
      </xdr:sp>
      <xdr:sp macro="" textlink="Linkovi_Link_Aneks">
        <xdr:nvSpPr>
          <xdr:cNvPr id="92" name="Link Aneks">
            <a:hlinkClick xmlns:r="http://schemas.openxmlformats.org/officeDocument/2006/relationships" r:id="rId5" tooltip="04"/>
            <a:extLst>
              <a:ext uri="{FF2B5EF4-FFF2-40B4-BE49-F238E27FC236}">
                <a16:creationId xmlns:a16="http://schemas.microsoft.com/office/drawing/2014/main" id="{00000000-0008-0000-0100-00005C000000}"/>
              </a:ext>
            </a:extLst>
          </xdr:cNvPr>
          <xdr:cNvSpPr txBox="1"/>
        </xdr:nvSpPr>
        <xdr:spPr bwMode="auto">
          <a:xfrm>
            <a:off x="400050" y="421990"/>
            <a:ext cx="2028825" cy="25428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92D7FA8-9975-45C1-AAC8-B3998350E841}" type="TxLink">
              <a:rPr lang="en-US" sz="1050"/>
              <a:pPr algn="l"/>
              <a:t>04) Aneks</a:t>
            </a:fld>
            <a:endParaRPr lang="en-US" sz="1050"/>
          </a:p>
        </xdr:txBody>
      </xdr:sp>
      <xdr:sp macro="" textlink="Linkovi_Link_BPK">
        <xdr:nvSpPr>
          <xdr:cNvPr id="93" name="Link BPK">
            <a:hlinkClick xmlns:r="http://schemas.openxmlformats.org/officeDocument/2006/relationships" r:id="rId6" tooltip="05"/>
            <a:extLst>
              <a:ext uri="{FF2B5EF4-FFF2-40B4-BE49-F238E27FC236}">
                <a16:creationId xmlns:a16="http://schemas.microsoft.com/office/drawing/2014/main" id="{00000000-0008-0000-0100-00005D000000}"/>
              </a:ext>
            </a:extLst>
          </xdr:cNvPr>
          <xdr:cNvSpPr txBox="1"/>
        </xdr:nvSpPr>
        <xdr:spPr bwMode="auto">
          <a:xfrm>
            <a:off x="2473497" y="411451"/>
            <a:ext cx="2927178" cy="27434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EFFE08-6F30-4F16-9B35-9EF78942F8C2}" type="TxLink">
              <a:rPr lang="en-US" sz="1050"/>
              <a:pPr algn="l"/>
              <a:t>05) Izvještaj o promjenama u kapitalu</a:t>
            </a:fld>
            <a:endParaRPr lang="en-US" sz="1050"/>
          </a:p>
        </xdr:txBody>
      </xdr:sp>
      <xdr:sp macro="" textlink="Linkovi_Link_Osnovni_podaci">
        <xdr:nvSpPr>
          <xdr:cNvPr id="94" name="Link Osnovni podaci">
            <a:hlinkClick xmlns:r="http://schemas.openxmlformats.org/officeDocument/2006/relationships" r:id="rId7" tooltip="Osnovni podaci"/>
            <a:extLst>
              <a:ext uri="{FF2B5EF4-FFF2-40B4-BE49-F238E27FC236}">
                <a16:creationId xmlns:a16="http://schemas.microsoft.com/office/drawing/2014/main" id="{00000000-0008-0000-0100-00005E000000}"/>
              </a:ext>
            </a:extLst>
          </xdr:cNvPr>
          <xdr:cNvSpPr txBox="1"/>
        </xdr:nvSpPr>
        <xdr:spPr bwMode="auto">
          <a:xfrm>
            <a:off x="2487928" y="133350"/>
            <a:ext cx="1360172" cy="24677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BF013A-84C7-4090-A946-4BB6BE7F8754}" type="TxLink">
              <a:rPr lang="en-US" sz="1050"/>
              <a:pPr algn="l"/>
              <a:t>Osnovni podaci</a:t>
            </a:fld>
            <a:endParaRPr lang="en-US" sz="1050"/>
          </a:p>
        </xdr:txBody>
      </xdr:sp>
      <xdr:sp macro="" textlink="Linkovi_Link_Uputstvo">
        <xdr:nvSpPr>
          <xdr:cNvPr id="95" name="Link Uputstvo">
            <a:hlinkClick xmlns:r="http://schemas.openxmlformats.org/officeDocument/2006/relationships" r:id="rId8" tooltip="Uputstvo za popunjavanje"/>
            <a:extLst>
              <a:ext uri="{FF2B5EF4-FFF2-40B4-BE49-F238E27FC236}">
                <a16:creationId xmlns:a16="http://schemas.microsoft.com/office/drawing/2014/main" id="{00000000-0008-0000-0100-00005F000000}"/>
              </a:ext>
            </a:extLst>
          </xdr:cNvPr>
          <xdr:cNvSpPr txBox="1"/>
        </xdr:nvSpPr>
        <xdr:spPr bwMode="auto">
          <a:xfrm>
            <a:off x="369415" y="120910"/>
            <a:ext cx="2078509" cy="26009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8E1E52-8EC9-4356-9832-B7D7623A8EB2}" type="TxLink">
              <a:rPr lang="en-US" sz="1050"/>
              <a:pPr algn="l"/>
              <a:t>Uputstvo za popunjavanje</a:t>
            </a:fld>
            <a:endParaRPr lang="en-US" sz="1050"/>
          </a:p>
        </xdr:txBody>
      </xdr:sp>
    </xdr:grpSp>
    <xdr:clientData fPrintsWithSheet="0"/>
  </xdr:twoCellAnchor>
  <mc:AlternateContent xmlns:mc="http://schemas.openxmlformats.org/markup-compatibility/2006">
    <mc:Choice xmlns:a14="http://schemas.microsoft.com/office/drawing/2010/main" Requires="a14">
      <xdr:twoCellAnchor editAs="oneCell">
        <xdr:from>
          <xdr:col>2</xdr:col>
          <xdr:colOff>69850</xdr:colOff>
          <xdr:row>3</xdr:row>
          <xdr:rowOff>152400</xdr:rowOff>
        </xdr:from>
        <xdr:to>
          <xdr:col>9</xdr:col>
          <xdr:colOff>133350</xdr:colOff>
          <xdr:row>4</xdr:row>
          <xdr:rowOff>190500</xdr:rowOff>
        </xdr:to>
        <xdr:sp macro="" textlink="">
          <xdr:nvSpPr>
            <xdr:cNvPr id="14497" name="Jezik" hidden="1">
              <a:extLst>
                <a:ext uri="{63B3BB69-23CF-44E3-9099-C40C66FF867C}">
                  <a14:compatExt spid="_x0000_s14497"/>
                </a:ext>
                <a:ext uri="{FF2B5EF4-FFF2-40B4-BE49-F238E27FC236}">
                  <a16:creationId xmlns:a16="http://schemas.microsoft.com/office/drawing/2014/main" id="{00000000-0008-0000-0100-0000A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75</xdr:row>
          <xdr:rowOff>0</xdr:rowOff>
        </xdr:from>
        <xdr:to>
          <xdr:col>4</xdr:col>
          <xdr:colOff>171450</xdr:colOff>
          <xdr:row>76</xdr:row>
          <xdr:rowOff>50800</xdr:rowOff>
        </xdr:to>
        <xdr:sp macro="" textlink="">
          <xdr:nvSpPr>
            <xdr:cNvPr id="53459" name="Check Box 9427" hidden="1">
              <a:extLst>
                <a:ext uri="{63B3BB69-23CF-44E3-9099-C40C66FF867C}">
                  <a14:compatExt spid="_x0000_s53459"/>
                </a:ext>
                <a:ext uri="{FF2B5EF4-FFF2-40B4-BE49-F238E27FC236}">
                  <a16:creationId xmlns:a16="http://schemas.microsoft.com/office/drawing/2014/main" id="{00000000-0008-0000-0100-0000D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61</xdr:row>
          <xdr:rowOff>0</xdr:rowOff>
        </xdr:from>
        <xdr:to>
          <xdr:col>4</xdr:col>
          <xdr:colOff>171450</xdr:colOff>
          <xdr:row>62</xdr:row>
          <xdr:rowOff>50800</xdr:rowOff>
        </xdr:to>
        <xdr:sp macro="" textlink="">
          <xdr:nvSpPr>
            <xdr:cNvPr id="61709" name="Check Box 10509" hidden="1">
              <a:extLst>
                <a:ext uri="{63B3BB69-23CF-44E3-9099-C40C66FF867C}">
                  <a14:compatExt spid="_x0000_s61709"/>
                </a:ext>
                <a:ext uri="{FF2B5EF4-FFF2-40B4-BE49-F238E27FC236}">
                  <a16:creationId xmlns:a16="http://schemas.microsoft.com/office/drawing/2014/main" id="{00000000-0008-0000-0100-00000D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50800</xdr:rowOff>
        </xdr:from>
        <xdr:to>
          <xdr:col>11</xdr:col>
          <xdr:colOff>107950</xdr:colOff>
          <xdr:row>64</xdr:row>
          <xdr:rowOff>19050</xdr:rowOff>
        </xdr:to>
        <xdr:sp macro="" textlink="">
          <xdr:nvSpPr>
            <xdr:cNvPr id="72960" name="Drop Down 11520" hidden="1">
              <a:extLst>
                <a:ext uri="{63B3BB69-23CF-44E3-9099-C40C66FF867C}">
                  <a14:compatExt spid="_x0000_s72960"/>
                </a:ext>
                <a:ext uri="{FF2B5EF4-FFF2-40B4-BE49-F238E27FC236}">
                  <a16:creationId xmlns:a16="http://schemas.microsoft.com/office/drawing/2014/main" id="{00000000-0008-0000-0100-0000001D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95250</xdr:colOff>
          <xdr:row>0</xdr:row>
          <xdr:rowOff>0</xdr:rowOff>
        </xdr:from>
        <xdr:to>
          <xdr:col>12</xdr:col>
          <xdr:colOff>152400</xdr:colOff>
          <xdr:row>3</xdr:row>
          <xdr:rowOff>107950</xdr:rowOff>
        </xdr:to>
        <xdr:sp macro="" textlink="">
          <xdr:nvSpPr>
            <xdr:cNvPr id="27308" name="Navigacija" hidden="1">
              <a:extLst>
                <a:ext uri="{63B3BB69-23CF-44E3-9099-C40C66FF867C}">
                  <a14:compatExt spid="_x0000_s27308"/>
                </a:ext>
                <a:ext uri="{FF2B5EF4-FFF2-40B4-BE49-F238E27FC236}">
                  <a16:creationId xmlns:a16="http://schemas.microsoft.com/office/drawing/2014/main" id="{00000000-0008-0000-0200-0000AC6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6</xdr:col>
      <xdr:colOff>47624</xdr:colOff>
      <xdr:row>0</xdr:row>
      <xdr:rowOff>144641</xdr:rowOff>
    </xdr:from>
    <xdr:to>
      <xdr:col>7</xdr:col>
      <xdr:colOff>942974</xdr:colOff>
      <xdr:row>2</xdr:row>
      <xdr:rowOff>19050</xdr:rowOff>
    </xdr:to>
    <xdr:sp macro="" textlink="Linkovi_Link_BU">
      <xdr:nvSpPr>
        <xdr:cNvPr id="15" name="Link BU">
          <a:hlinkClick xmlns:r="http://schemas.openxmlformats.org/officeDocument/2006/relationships" r:id="rId1" tooltip="02a"/>
          <a:extLst>
            <a:ext uri="{FF2B5EF4-FFF2-40B4-BE49-F238E27FC236}">
              <a16:creationId xmlns:a16="http://schemas.microsoft.com/office/drawing/2014/main" id="{00000000-0008-0000-0200-00000F000000}"/>
            </a:ext>
          </a:extLst>
        </xdr:cNvPr>
        <xdr:cNvSpPr txBox="1"/>
      </xdr:nvSpPr>
      <xdr:spPr bwMode="auto">
        <a:xfrm>
          <a:off x="5114924" y="144641"/>
          <a:ext cx="2047875" cy="1982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A87C41F-45E7-4745-B445-47FBF06FB7DC}" type="TxLink">
            <a:rPr lang="en-US" sz="1050"/>
            <a:pPr algn="l"/>
            <a:t>02a) Bilans uspjeha</a:t>
          </a:fld>
          <a:endParaRPr lang="en-US" sz="1050"/>
        </a:p>
      </xdr:txBody>
    </xdr:sp>
    <xdr:clientData fPrintsWithSheet="0"/>
  </xdr:twoCellAnchor>
  <xdr:twoCellAnchor editAs="absolute">
    <xdr:from>
      <xdr:col>6</xdr:col>
      <xdr:colOff>57149</xdr:colOff>
      <xdr:row>2</xdr:row>
      <xdr:rowOff>38283</xdr:rowOff>
    </xdr:from>
    <xdr:to>
      <xdr:col>11</xdr:col>
      <xdr:colOff>571500</xdr:colOff>
      <xdr:row>3</xdr:row>
      <xdr:rowOff>66675</xdr:rowOff>
    </xdr:to>
    <xdr:sp macro="" textlink="Linkovi_Link_ODGP">
      <xdr:nvSpPr>
        <xdr:cNvPr id="16" name="Link ODGP">
          <a:hlinkClick xmlns:r="http://schemas.openxmlformats.org/officeDocument/2006/relationships" r:id="rId2" tooltip="02b"/>
          <a:extLst>
            <a:ext uri="{FF2B5EF4-FFF2-40B4-BE49-F238E27FC236}">
              <a16:creationId xmlns:a16="http://schemas.microsoft.com/office/drawing/2014/main" id="{00000000-0008-0000-0200-000010000000}"/>
            </a:ext>
          </a:extLst>
        </xdr:cNvPr>
        <xdr:cNvSpPr txBox="1"/>
      </xdr:nvSpPr>
      <xdr:spPr bwMode="auto">
        <a:xfrm>
          <a:off x="5124449" y="362133"/>
          <a:ext cx="4724401" cy="19031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9E49E98-C350-4FBD-9D6B-8EFBD8B18190}" type="TxLink">
            <a:rPr lang="en-US" sz="1050"/>
            <a:pPr algn="l"/>
            <a:t>02b) Izvještaj o ostalim dobicima i gubicima u periodu</a:t>
          </a:fld>
          <a:endParaRPr lang="en-US" sz="1050"/>
        </a:p>
      </xdr:txBody>
    </xdr:sp>
    <xdr:clientData fPrintsWithSheet="0"/>
  </xdr:twoCellAnchor>
  <xdr:twoCellAnchor editAs="absolute">
    <xdr:from>
      <xdr:col>7</xdr:col>
      <xdr:colOff>990600</xdr:colOff>
      <xdr:row>0</xdr:row>
      <xdr:rowOff>144641</xdr:rowOff>
    </xdr:from>
    <xdr:to>
      <xdr:col>11</xdr:col>
      <xdr:colOff>581024</xdr:colOff>
      <xdr:row>2</xdr:row>
      <xdr:rowOff>47625</xdr:rowOff>
    </xdr:to>
    <xdr:sp macro="" textlink="Linkovi_Link_BTG">
      <xdr:nvSpPr>
        <xdr:cNvPr id="17" name="Link BTG">
          <a:hlinkClick xmlns:r="http://schemas.openxmlformats.org/officeDocument/2006/relationships" r:id="rId3" tooltip="03"/>
          <a:extLst>
            <a:ext uri="{FF2B5EF4-FFF2-40B4-BE49-F238E27FC236}">
              <a16:creationId xmlns:a16="http://schemas.microsoft.com/office/drawing/2014/main" id="{00000000-0008-0000-0200-000011000000}"/>
            </a:ext>
          </a:extLst>
        </xdr:cNvPr>
        <xdr:cNvSpPr txBox="1"/>
      </xdr:nvSpPr>
      <xdr:spPr bwMode="auto">
        <a:xfrm>
          <a:off x="7210425" y="144641"/>
          <a:ext cx="2647949" cy="226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B72085D-BDE9-468A-8B87-DA950087BCBE}" type="TxLink">
            <a:rPr lang="en-US" sz="1050"/>
            <a:pPr algn="l"/>
            <a:t>03) Bilans tokova gotovine</a:t>
          </a:fld>
          <a:endParaRPr lang="en-US" sz="1050"/>
        </a:p>
      </xdr:txBody>
    </xdr:sp>
    <xdr:clientData fPrintsWithSheet="0"/>
  </xdr:twoCellAnchor>
  <xdr:twoCellAnchor editAs="absolute">
    <xdr:from>
      <xdr:col>2</xdr:col>
      <xdr:colOff>115104</xdr:colOff>
      <xdr:row>2</xdr:row>
      <xdr:rowOff>57334</xdr:rowOff>
    </xdr:from>
    <xdr:to>
      <xdr:col>3</xdr:col>
      <xdr:colOff>581025</xdr:colOff>
      <xdr:row>3</xdr:row>
      <xdr:rowOff>38101</xdr:rowOff>
    </xdr:to>
    <xdr:sp macro="" textlink="Linkovi_Link_Aneks">
      <xdr:nvSpPr>
        <xdr:cNvPr id="18" name="Link Aneks">
          <a:hlinkClick xmlns:r="http://schemas.openxmlformats.org/officeDocument/2006/relationships" r:id="rId4" tooltip="04"/>
          <a:extLst>
            <a:ext uri="{FF2B5EF4-FFF2-40B4-BE49-F238E27FC236}">
              <a16:creationId xmlns:a16="http://schemas.microsoft.com/office/drawing/2014/main" id="{00000000-0008-0000-0200-000012000000}"/>
            </a:ext>
          </a:extLst>
        </xdr:cNvPr>
        <xdr:cNvSpPr txBox="1"/>
      </xdr:nvSpPr>
      <xdr:spPr bwMode="auto">
        <a:xfrm>
          <a:off x="467529" y="381184"/>
          <a:ext cx="1723221" cy="14269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9C7CE8-97E0-4FBA-98E5-87286F037C1E}" type="TxLink">
            <a:rPr lang="en-US" sz="1050"/>
            <a:pPr algn="l"/>
            <a:t>04) Aneks</a:t>
          </a:fld>
          <a:endParaRPr lang="en-US" sz="1050"/>
        </a:p>
      </xdr:txBody>
    </xdr:sp>
    <xdr:clientData fPrintsWithSheet="0"/>
  </xdr:twoCellAnchor>
  <xdr:twoCellAnchor editAs="absolute">
    <xdr:from>
      <xdr:col>3</xdr:col>
      <xdr:colOff>564906</xdr:colOff>
      <xdr:row>2</xdr:row>
      <xdr:rowOff>47809</xdr:rowOff>
    </xdr:from>
    <xdr:to>
      <xdr:col>6</xdr:col>
      <xdr:colOff>28575</xdr:colOff>
      <xdr:row>3</xdr:row>
      <xdr:rowOff>47626</xdr:rowOff>
    </xdr:to>
    <xdr:sp macro="" textlink="Linkovi_Link_BPK">
      <xdr:nvSpPr>
        <xdr:cNvPr id="19" name="Link BPK">
          <a:hlinkClick xmlns:r="http://schemas.openxmlformats.org/officeDocument/2006/relationships" r:id="rId5" tooltip="05"/>
          <a:extLst>
            <a:ext uri="{FF2B5EF4-FFF2-40B4-BE49-F238E27FC236}">
              <a16:creationId xmlns:a16="http://schemas.microsoft.com/office/drawing/2014/main" id="{00000000-0008-0000-0200-000013000000}"/>
            </a:ext>
          </a:extLst>
        </xdr:cNvPr>
        <xdr:cNvSpPr txBox="1"/>
      </xdr:nvSpPr>
      <xdr:spPr bwMode="auto">
        <a:xfrm>
          <a:off x="2174631" y="371659"/>
          <a:ext cx="2921244" cy="16174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E24EEAC-FA60-4C6D-80FF-ED2EFC51EA4C}" type="TxLink">
            <a:rPr lang="en-US" sz="1050"/>
            <a:pPr algn="l"/>
            <a:t>05) Izvještaj o promjenama u kapitalu</a:t>
          </a:fld>
          <a:endParaRPr lang="en-US" sz="1050"/>
        </a:p>
      </xdr:txBody>
    </xdr:sp>
    <xdr:clientData fPrintsWithSheet="0"/>
  </xdr:twoCellAnchor>
  <xdr:twoCellAnchor editAs="absolute">
    <xdr:from>
      <xdr:col>3</xdr:col>
      <xdr:colOff>527539</xdr:colOff>
      <xdr:row>0</xdr:row>
      <xdr:rowOff>151968</xdr:rowOff>
    </xdr:from>
    <xdr:to>
      <xdr:col>4</xdr:col>
      <xdr:colOff>648433</xdr:colOff>
      <xdr:row>2</xdr:row>
      <xdr:rowOff>9885</xdr:rowOff>
    </xdr:to>
    <xdr:sp macro="" textlink="Linkovi_Link_Osnovni_podaci">
      <xdr:nvSpPr>
        <xdr:cNvPr id="20" name="Link Osnovni podaci">
          <a:hlinkClick xmlns:r="http://schemas.openxmlformats.org/officeDocument/2006/relationships" r:id="rId6" tooltip="Osnovni podaci"/>
          <a:extLst>
            <a:ext uri="{FF2B5EF4-FFF2-40B4-BE49-F238E27FC236}">
              <a16:creationId xmlns:a16="http://schemas.microsoft.com/office/drawing/2014/main" id="{00000000-0008-0000-0200-000014000000}"/>
            </a:ext>
          </a:extLst>
        </xdr:cNvPr>
        <xdr:cNvSpPr txBox="1"/>
      </xdr:nvSpPr>
      <xdr:spPr bwMode="auto">
        <a:xfrm>
          <a:off x="2139462" y="151968"/>
          <a:ext cx="1274884"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AC34A22-7D91-4067-9BEB-213349254700}" type="TxLink">
            <a:rPr lang="en-US" sz="1050"/>
            <a:pPr algn="l"/>
            <a:t>Osnovni podaci</a:t>
          </a:fld>
          <a:endParaRPr lang="en-US" sz="1050"/>
        </a:p>
      </xdr:txBody>
    </xdr:sp>
    <xdr:clientData fPrintsWithSheet="0"/>
  </xdr:twoCellAnchor>
  <xdr:twoCellAnchor editAs="absolute">
    <xdr:from>
      <xdr:col>2</xdr:col>
      <xdr:colOff>115105</xdr:colOff>
      <xdr:row>0</xdr:row>
      <xdr:rowOff>151968</xdr:rowOff>
    </xdr:from>
    <xdr:to>
      <xdr:col>3</xdr:col>
      <xdr:colOff>552406</xdr:colOff>
      <xdr:row>2</xdr:row>
      <xdr:rowOff>9885</xdr:rowOff>
    </xdr:to>
    <xdr:sp macro="" textlink="Linkovi_Link_Uputstvo">
      <xdr:nvSpPr>
        <xdr:cNvPr id="21" name="Link Uputstvo">
          <a:hlinkClick xmlns:r="http://schemas.openxmlformats.org/officeDocument/2006/relationships" r:id="rId7" tooltip="Uputstvo za popunjavanje"/>
          <a:extLst>
            <a:ext uri="{FF2B5EF4-FFF2-40B4-BE49-F238E27FC236}">
              <a16:creationId xmlns:a16="http://schemas.microsoft.com/office/drawing/2014/main" id="{00000000-0008-0000-0200-000015000000}"/>
            </a:ext>
          </a:extLst>
        </xdr:cNvPr>
        <xdr:cNvSpPr txBox="1"/>
      </xdr:nvSpPr>
      <xdr:spPr bwMode="auto">
        <a:xfrm>
          <a:off x="466797" y="151968"/>
          <a:ext cx="1697532"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C496F20-AF85-47B8-9B1C-9F9839828A2E}" type="TxLink">
            <a:rPr lang="en-US" sz="1050"/>
            <a:pPr algn="l"/>
            <a:t>Uputstvo za popunjavanje</a:t>
          </a:fld>
          <a:endParaRPr lang="en-US" sz="1050"/>
        </a:p>
      </xdr:txBody>
    </xdr:sp>
    <xdr:clientData fPrintsWithSheet="0"/>
  </xdr:twoCellAnchor>
  <xdr:twoCellAnchor editAs="absolute">
    <xdr:from>
      <xdr:col>4</xdr:col>
      <xdr:colOff>699721</xdr:colOff>
      <xdr:row>0</xdr:row>
      <xdr:rowOff>151968</xdr:rowOff>
    </xdr:from>
    <xdr:to>
      <xdr:col>6</xdr:col>
      <xdr:colOff>28575</xdr:colOff>
      <xdr:row>2</xdr:row>
      <xdr:rowOff>19050</xdr:rowOff>
    </xdr:to>
    <xdr:sp macro="" textlink="Linkovi_Link_BS">
      <xdr:nvSpPr>
        <xdr:cNvPr id="14" name="Link BS">
          <a:hlinkClick xmlns:r="http://schemas.openxmlformats.org/officeDocument/2006/relationships" r:id="rId8" tooltip="01"/>
          <a:extLst>
            <a:ext uri="{FF2B5EF4-FFF2-40B4-BE49-F238E27FC236}">
              <a16:creationId xmlns:a16="http://schemas.microsoft.com/office/drawing/2014/main" id="{00000000-0008-0000-0200-00000E000000}"/>
            </a:ext>
          </a:extLst>
        </xdr:cNvPr>
        <xdr:cNvSpPr txBox="1"/>
      </xdr:nvSpPr>
      <xdr:spPr bwMode="auto">
        <a:xfrm>
          <a:off x="3461971" y="151968"/>
          <a:ext cx="1633904" cy="19093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2FB3455-F798-437E-97D5-0BFF2EDE2A07}" type="TxLink">
            <a:rPr lang="en-US" sz="1050"/>
            <a:pPr algn="l"/>
            <a:t>01) Bilans stanja</a:t>
          </a:fld>
          <a:endParaRPr lang="en-US" sz="105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12700</xdr:colOff>
          <xdr:row>0</xdr:row>
          <xdr:rowOff>50800</xdr:rowOff>
        </xdr:from>
        <xdr:to>
          <xdr:col>13</xdr:col>
          <xdr:colOff>0</xdr:colOff>
          <xdr:row>4</xdr:row>
          <xdr:rowOff>19050</xdr:rowOff>
        </xdr:to>
        <xdr:sp macro="" textlink="">
          <xdr:nvSpPr>
            <xdr:cNvPr id="113665" name="Navigacija" hidden="1">
              <a:extLst>
                <a:ext uri="{63B3BB69-23CF-44E3-9099-C40C66FF867C}">
                  <a14:compatExt spid="_x0000_s113665"/>
                </a:ext>
                <a:ext uri="{FF2B5EF4-FFF2-40B4-BE49-F238E27FC236}">
                  <a16:creationId xmlns:a16="http://schemas.microsoft.com/office/drawing/2014/main" id="{00000000-0008-0000-0300-000001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595977</xdr:colOff>
      <xdr:row>1</xdr:row>
      <xdr:rowOff>28575</xdr:rowOff>
    </xdr:from>
    <xdr:to>
      <xdr:col>5</xdr:col>
      <xdr:colOff>1078479</xdr:colOff>
      <xdr:row>2</xdr:row>
      <xdr:rowOff>57012</xdr:rowOff>
    </xdr:to>
    <xdr:sp macro="" textlink="Linkovi_Link_BS">
      <xdr:nvSpPr>
        <xdr:cNvPr id="2" name="Link BS">
          <a:hlinkClick xmlns:r="http://schemas.openxmlformats.org/officeDocument/2006/relationships" r:id="rId1" tooltip="01"/>
          <a:extLst>
            <a:ext uri="{FF2B5EF4-FFF2-40B4-BE49-F238E27FC236}">
              <a16:creationId xmlns:a16="http://schemas.microsoft.com/office/drawing/2014/main" id="{00000000-0008-0000-0300-000002000000}"/>
            </a:ext>
          </a:extLst>
        </xdr:cNvPr>
        <xdr:cNvSpPr txBox="1"/>
      </xdr:nvSpPr>
      <xdr:spPr bwMode="auto">
        <a:xfrm>
          <a:off x="3301077" y="190500"/>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6</xdr:col>
      <xdr:colOff>2912</xdr:colOff>
      <xdr:row>1</xdr:row>
      <xdr:rowOff>19049</xdr:rowOff>
    </xdr:from>
    <xdr:to>
      <xdr:col>7</xdr:col>
      <xdr:colOff>874468</xdr:colOff>
      <xdr:row>2</xdr:row>
      <xdr:rowOff>47487</xdr:rowOff>
    </xdr:to>
    <xdr:sp macro="" textlink="Linkovi_Link_BU">
      <xdr:nvSpPr>
        <xdr:cNvPr id="3" name="Link BU">
          <a:hlinkClick xmlns:r="http://schemas.openxmlformats.org/officeDocument/2006/relationships" r:id="rId2" tooltip="02a"/>
          <a:extLst>
            <a:ext uri="{FF2B5EF4-FFF2-40B4-BE49-F238E27FC236}">
              <a16:creationId xmlns:a16="http://schemas.microsoft.com/office/drawing/2014/main" id="{00000000-0008-0000-0300-000003000000}"/>
            </a:ext>
          </a:extLst>
        </xdr:cNvPr>
        <xdr:cNvSpPr txBox="1"/>
      </xdr:nvSpPr>
      <xdr:spPr bwMode="auto">
        <a:xfrm>
          <a:off x="4965437" y="180974"/>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5</xdr:col>
      <xdr:colOff>1077667</xdr:colOff>
      <xdr:row>2</xdr:row>
      <xdr:rowOff>76201</xdr:rowOff>
    </xdr:from>
    <xdr:to>
      <xdr:col>10</xdr:col>
      <xdr:colOff>803211</xdr:colOff>
      <xdr:row>3</xdr:row>
      <xdr:rowOff>114163</xdr:rowOff>
    </xdr:to>
    <xdr:sp macro="" textlink="Linkovi_Link_ODGP">
      <xdr:nvSpPr>
        <xdr:cNvPr id="4" name="Link ODGP">
          <a:hlinkClick xmlns:r="http://schemas.openxmlformats.org/officeDocument/2006/relationships" r:id="rId3" tooltip="02b"/>
          <a:extLst>
            <a:ext uri="{FF2B5EF4-FFF2-40B4-BE49-F238E27FC236}">
              <a16:creationId xmlns:a16="http://schemas.microsoft.com/office/drawing/2014/main" id="{00000000-0008-0000-0300-000004000000}"/>
            </a:ext>
          </a:extLst>
        </xdr:cNvPr>
        <xdr:cNvSpPr txBox="1"/>
      </xdr:nvSpPr>
      <xdr:spPr bwMode="auto">
        <a:xfrm>
          <a:off x="4960692" y="400051"/>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7</xdr:col>
      <xdr:colOff>922092</xdr:colOff>
      <xdr:row>1</xdr:row>
      <xdr:rowOff>0</xdr:rowOff>
    </xdr:from>
    <xdr:to>
      <xdr:col>10</xdr:col>
      <xdr:colOff>819412</xdr:colOff>
      <xdr:row>2</xdr:row>
      <xdr:rowOff>57013</xdr:rowOff>
    </xdr:to>
    <xdr:sp macro="" textlink="Linkovi_Link_BTG">
      <xdr:nvSpPr>
        <xdr:cNvPr id="5" name="Link BTG">
          <a:hlinkClick xmlns:r="http://schemas.openxmlformats.org/officeDocument/2006/relationships" r:id="rId4" tooltip="03"/>
          <a:extLst>
            <a:ext uri="{FF2B5EF4-FFF2-40B4-BE49-F238E27FC236}">
              <a16:creationId xmlns:a16="http://schemas.microsoft.com/office/drawing/2014/main" id="{00000000-0008-0000-0300-000005000000}"/>
            </a:ext>
          </a:extLst>
        </xdr:cNvPr>
        <xdr:cNvSpPr txBox="1"/>
      </xdr:nvSpPr>
      <xdr:spPr bwMode="auto">
        <a:xfrm>
          <a:off x="7027617" y="161925"/>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1</xdr:col>
      <xdr:colOff>0</xdr:colOff>
      <xdr:row>2</xdr:row>
      <xdr:rowOff>76200</xdr:rowOff>
    </xdr:from>
    <xdr:to>
      <xdr:col>3</xdr:col>
      <xdr:colOff>464892</xdr:colOff>
      <xdr:row>3</xdr:row>
      <xdr:rowOff>114162</xdr:rowOff>
    </xdr:to>
    <xdr:sp macro="" textlink="Linkovi_Link_Aneks">
      <xdr:nvSpPr>
        <xdr:cNvPr id="6" name="Link Aneks">
          <a:hlinkClick xmlns:r="http://schemas.openxmlformats.org/officeDocument/2006/relationships" r:id="rId5" tooltip="04"/>
          <a:extLst>
            <a:ext uri="{FF2B5EF4-FFF2-40B4-BE49-F238E27FC236}">
              <a16:creationId xmlns:a16="http://schemas.microsoft.com/office/drawing/2014/main" id="{00000000-0008-0000-0300-000006000000}"/>
            </a:ext>
          </a:extLst>
        </xdr:cNvPr>
        <xdr:cNvSpPr txBox="1"/>
      </xdr:nvSpPr>
      <xdr:spPr bwMode="auto">
        <a:xfrm>
          <a:off x="314325" y="400050"/>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474417</xdr:colOff>
      <xdr:row>2</xdr:row>
      <xdr:rowOff>76200</xdr:rowOff>
    </xdr:from>
    <xdr:to>
      <xdr:col>6</xdr:col>
      <xdr:colOff>1342</xdr:colOff>
      <xdr:row>3</xdr:row>
      <xdr:rowOff>104638</xdr:rowOff>
    </xdr:to>
    <xdr:sp macro="" textlink="Linkovi_Link_BPK">
      <xdr:nvSpPr>
        <xdr:cNvPr id="7" name="Link BPK">
          <a:hlinkClick xmlns:r="http://schemas.openxmlformats.org/officeDocument/2006/relationships" r:id="rId6" tooltip="05"/>
          <a:extLst>
            <a:ext uri="{FF2B5EF4-FFF2-40B4-BE49-F238E27FC236}">
              <a16:creationId xmlns:a16="http://schemas.microsoft.com/office/drawing/2014/main" id="{00000000-0008-0000-0300-000007000000}"/>
            </a:ext>
          </a:extLst>
        </xdr:cNvPr>
        <xdr:cNvSpPr txBox="1"/>
      </xdr:nvSpPr>
      <xdr:spPr bwMode="auto">
        <a:xfrm>
          <a:off x="2046042" y="400050"/>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483943</xdr:colOff>
      <xdr:row>1</xdr:row>
      <xdr:rowOff>28437</xdr:rowOff>
    </xdr:from>
    <xdr:to>
      <xdr:col>4</xdr:col>
      <xdr:colOff>569667</xdr:colOff>
      <xdr:row>2</xdr:row>
      <xdr:rowOff>37963</xdr:rowOff>
    </xdr:to>
    <xdr:sp macro="" textlink="Linkovi_Link_Osnovni_podaci">
      <xdr:nvSpPr>
        <xdr:cNvPr id="8" name="Link Osnovni podaci">
          <a:hlinkClick xmlns:r="http://schemas.openxmlformats.org/officeDocument/2006/relationships" r:id="rId7" tooltip="Osnovni podaci"/>
          <a:extLst>
            <a:ext uri="{FF2B5EF4-FFF2-40B4-BE49-F238E27FC236}">
              <a16:creationId xmlns:a16="http://schemas.microsoft.com/office/drawing/2014/main" id="{00000000-0008-0000-0300-000008000000}"/>
            </a:ext>
          </a:extLst>
        </xdr:cNvPr>
        <xdr:cNvSpPr txBox="1"/>
      </xdr:nvSpPr>
      <xdr:spPr bwMode="auto">
        <a:xfrm>
          <a:off x="2055568" y="190362"/>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1</xdr:col>
      <xdr:colOff>0</xdr:colOff>
      <xdr:row>1</xdr:row>
      <xdr:rowOff>18913</xdr:rowOff>
    </xdr:from>
    <xdr:to>
      <xdr:col>3</xdr:col>
      <xdr:colOff>436318</xdr:colOff>
      <xdr:row>2</xdr:row>
      <xdr:rowOff>47488</xdr:rowOff>
    </xdr:to>
    <xdr:sp macro="" textlink="Linkovi_Link_Uputstvo">
      <xdr:nvSpPr>
        <xdr:cNvPr id="9" name="Link Uputstvo">
          <a:hlinkClick xmlns:r="http://schemas.openxmlformats.org/officeDocument/2006/relationships" r:id="rId8" tooltip="Uputstvo za popunjavanje"/>
          <a:extLst>
            <a:ext uri="{FF2B5EF4-FFF2-40B4-BE49-F238E27FC236}">
              <a16:creationId xmlns:a16="http://schemas.microsoft.com/office/drawing/2014/main" id="{00000000-0008-0000-0300-000009000000}"/>
            </a:ext>
          </a:extLst>
        </xdr:cNvPr>
        <xdr:cNvSpPr txBox="1"/>
      </xdr:nvSpPr>
      <xdr:spPr bwMode="auto">
        <a:xfrm>
          <a:off x="314325" y="180838"/>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12700</xdr:colOff>
          <xdr:row>0</xdr:row>
          <xdr:rowOff>50800</xdr:rowOff>
        </xdr:from>
        <xdr:to>
          <xdr:col>13</xdr:col>
          <xdr:colOff>0</xdr:colOff>
          <xdr:row>4</xdr:row>
          <xdr:rowOff>19050</xdr:rowOff>
        </xdr:to>
        <xdr:sp macro="" textlink="">
          <xdr:nvSpPr>
            <xdr:cNvPr id="32773" name="Navigacija" hidden="1">
              <a:extLst>
                <a:ext uri="{63B3BB69-23CF-44E3-9099-C40C66FF867C}">
                  <a14:compatExt spid="_x0000_s32773"/>
                </a:ext>
                <a:ext uri="{FF2B5EF4-FFF2-40B4-BE49-F238E27FC236}">
                  <a16:creationId xmlns:a16="http://schemas.microsoft.com/office/drawing/2014/main" id="{00000000-0008-0000-0400-000005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5</xdr:col>
      <xdr:colOff>159660</xdr:colOff>
      <xdr:row>1</xdr:row>
      <xdr:rowOff>9662</xdr:rowOff>
    </xdr:from>
    <xdr:to>
      <xdr:col>6</xdr:col>
      <xdr:colOff>724712</xdr:colOff>
      <xdr:row>2</xdr:row>
      <xdr:rowOff>38099</xdr:rowOff>
    </xdr:to>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400-000016000000}"/>
            </a:ext>
          </a:extLst>
        </xdr:cNvPr>
        <xdr:cNvSpPr txBox="1"/>
      </xdr:nvSpPr>
      <xdr:spPr bwMode="auto">
        <a:xfrm>
          <a:off x="3474360" y="171587"/>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6</xdr:col>
      <xdr:colOff>766745</xdr:colOff>
      <xdr:row>1</xdr:row>
      <xdr:rowOff>136</xdr:rowOff>
    </xdr:from>
    <xdr:to>
      <xdr:col>9</xdr:col>
      <xdr:colOff>190501</xdr:colOff>
      <xdr:row>2</xdr:row>
      <xdr:rowOff>28574</xdr:rowOff>
    </xdr:to>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400-000017000000}"/>
            </a:ext>
          </a:extLst>
        </xdr:cNvPr>
        <xdr:cNvSpPr txBox="1"/>
      </xdr:nvSpPr>
      <xdr:spPr bwMode="auto">
        <a:xfrm>
          <a:off x="5138720" y="162061"/>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6</xdr:col>
      <xdr:colOff>762000</xdr:colOff>
      <xdr:row>2</xdr:row>
      <xdr:rowOff>57288</xdr:rowOff>
    </xdr:from>
    <xdr:to>
      <xdr:col>11</xdr:col>
      <xdr:colOff>585969</xdr:colOff>
      <xdr:row>3</xdr:row>
      <xdr:rowOff>95250</xdr:rowOff>
    </xdr:to>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400-000018000000}"/>
            </a:ext>
          </a:extLst>
        </xdr:cNvPr>
        <xdr:cNvSpPr txBox="1"/>
      </xdr:nvSpPr>
      <xdr:spPr bwMode="auto">
        <a:xfrm>
          <a:off x="5133975" y="381138"/>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9</xdr:col>
      <xdr:colOff>238125</xdr:colOff>
      <xdr:row>0</xdr:row>
      <xdr:rowOff>143012</xdr:rowOff>
    </xdr:from>
    <xdr:to>
      <xdr:col>11</xdr:col>
      <xdr:colOff>602170</xdr:colOff>
      <xdr:row>2</xdr:row>
      <xdr:rowOff>38100</xdr:rowOff>
    </xdr:to>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400-000019000000}"/>
            </a:ext>
          </a:extLst>
        </xdr:cNvPr>
        <xdr:cNvSpPr txBox="1"/>
      </xdr:nvSpPr>
      <xdr:spPr bwMode="auto">
        <a:xfrm>
          <a:off x="7200900" y="143012"/>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2</xdr:col>
      <xdr:colOff>116133</xdr:colOff>
      <xdr:row>2</xdr:row>
      <xdr:rowOff>57287</xdr:rowOff>
    </xdr:from>
    <xdr:to>
      <xdr:col>3</xdr:col>
      <xdr:colOff>1009650</xdr:colOff>
      <xdr:row>3</xdr:row>
      <xdr:rowOff>95249</xdr:rowOff>
    </xdr:to>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400-00001A000000}"/>
            </a:ext>
          </a:extLst>
        </xdr:cNvPr>
        <xdr:cNvSpPr txBox="1"/>
      </xdr:nvSpPr>
      <xdr:spPr bwMode="auto">
        <a:xfrm>
          <a:off x="487608" y="381137"/>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1019175</xdr:colOff>
      <xdr:row>2</xdr:row>
      <xdr:rowOff>57287</xdr:rowOff>
    </xdr:from>
    <xdr:to>
      <xdr:col>6</xdr:col>
      <xdr:colOff>733425</xdr:colOff>
      <xdr:row>3</xdr:row>
      <xdr:rowOff>85725</xdr:rowOff>
    </xdr:to>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400-00001B000000}"/>
            </a:ext>
          </a:extLst>
        </xdr:cNvPr>
        <xdr:cNvSpPr txBox="1"/>
      </xdr:nvSpPr>
      <xdr:spPr bwMode="auto">
        <a:xfrm>
          <a:off x="2219325" y="381137"/>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1028701</xdr:colOff>
      <xdr:row>1</xdr:row>
      <xdr:rowOff>9524</xdr:rowOff>
    </xdr:from>
    <xdr:to>
      <xdr:col>5</xdr:col>
      <xdr:colOff>133350</xdr:colOff>
      <xdr:row>2</xdr:row>
      <xdr:rowOff>19050</xdr:rowOff>
    </xdr:to>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400-00001C000000}"/>
            </a:ext>
          </a:extLst>
        </xdr:cNvPr>
        <xdr:cNvSpPr txBox="1"/>
      </xdr:nvSpPr>
      <xdr:spPr bwMode="auto">
        <a:xfrm>
          <a:off x="2228851" y="171449"/>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2</xdr:col>
      <xdr:colOff>116133</xdr:colOff>
      <xdr:row>1</xdr:row>
      <xdr:rowOff>0</xdr:rowOff>
    </xdr:from>
    <xdr:to>
      <xdr:col>3</xdr:col>
      <xdr:colOff>981076</xdr:colOff>
      <xdr:row>2</xdr:row>
      <xdr:rowOff>28575</xdr:rowOff>
    </xdr:to>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400-00001D000000}"/>
            </a:ext>
          </a:extLst>
        </xdr:cNvPr>
        <xdr:cNvSpPr txBox="1"/>
      </xdr:nvSpPr>
      <xdr:spPr bwMode="auto">
        <a:xfrm>
          <a:off x="487608" y="161925"/>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257174</xdr:colOff>
      <xdr:row>0</xdr:row>
      <xdr:rowOff>28575</xdr:rowOff>
    </xdr:from>
    <xdr:to>
      <xdr:col>11</xdr:col>
      <xdr:colOff>379534</xdr:colOff>
      <xdr:row>3</xdr:row>
      <xdr:rowOff>109904</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57174" y="28575"/>
          <a:ext cx="9101260" cy="576629"/>
          <a:chOff x="257174" y="28575"/>
          <a:chExt cx="8943975" cy="528271"/>
        </a:xfrm>
      </xdr:grpSpPr>
      <mc:AlternateContent xmlns:mc="http://schemas.openxmlformats.org/markup-compatibility/2006">
        <mc:Choice xmlns:a14="http://schemas.microsoft.com/office/drawing/2010/main" Requires="a14">
          <xdr:sp macro="" textlink="">
            <xdr:nvSpPr>
              <xdr:cNvPr id="85669" name="Navigacija" hidden="1">
                <a:extLst>
                  <a:ext uri="{63B3BB69-23CF-44E3-9099-C40C66FF867C}">
                    <a14:compatExt spid="_x0000_s85669"/>
                  </a:ext>
                  <a:ext uri="{FF2B5EF4-FFF2-40B4-BE49-F238E27FC236}">
                    <a16:creationId xmlns:a16="http://schemas.microsoft.com/office/drawing/2014/main" id="{00000000-0008-0000-0500-0000A54E0100}"/>
                  </a:ext>
                </a:extLst>
              </xdr:cNvPr>
              <xdr:cNvSpPr/>
            </xdr:nvSpPr>
            <xdr:spPr bwMode="auto">
              <a:xfrm>
                <a:off x="257174" y="28575"/>
                <a:ext cx="8943975" cy="528271"/>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500-000016000000}"/>
              </a:ext>
            </a:extLst>
          </xdr:cNvPr>
          <xdr:cNvSpPr txBox="1"/>
        </xdr:nvSpPr>
        <xdr:spPr bwMode="auto">
          <a:xfrm>
            <a:off x="3726607" y="139877"/>
            <a:ext cx="1544200" cy="16105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DE24274-55BE-4EC5-9602-B19E4B486C4C}" type="TxLink">
              <a:rPr lang="en-US" sz="1050"/>
              <a:pPr algn="l"/>
              <a:t>01) Bilans stanja</a:t>
            </a:fld>
            <a:endParaRPr lang="en-US" sz="1050"/>
          </a:p>
        </xdr:txBody>
      </xdr:sp>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500-000017000000}"/>
              </a:ext>
            </a:extLst>
          </xdr:cNvPr>
          <xdr:cNvSpPr txBox="1"/>
        </xdr:nvSpPr>
        <xdr:spPr bwMode="auto">
          <a:xfrm>
            <a:off x="5289719" y="131202"/>
            <a:ext cx="2022674" cy="16973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028517B-A260-4F5A-A0CC-3B4EAED12B17}" type="TxLink">
              <a:rPr lang="en-US" sz="1050"/>
              <a:pPr algn="l"/>
              <a:t>02a) Bilans uspjeha</a:t>
            </a:fld>
            <a:endParaRPr lang="en-US" sz="1050"/>
          </a:p>
        </xdr:txBody>
      </xdr:sp>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500-000018000000}"/>
              </a:ext>
            </a:extLst>
          </xdr:cNvPr>
          <xdr:cNvSpPr txBox="1"/>
        </xdr:nvSpPr>
        <xdr:spPr bwMode="auto">
          <a:xfrm>
            <a:off x="5300807" y="324470"/>
            <a:ext cx="3857847" cy="1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0C68DAB-33A6-4757-B97B-D49EA52BE32E}" type="TxLink">
              <a:rPr lang="en-US" sz="1050"/>
              <a:pPr algn="l"/>
              <a:t>02b) Izvještaj o ostalim dobicima i gubicima u periodu</a:t>
            </a:fld>
            <a:endParaRPr lang="en-US" sz="1050"/>
          </a:p>
        </xdr:txBody>
      </xdr:sp>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500-000019000000}"/>
              </a:ext>
            </a:extLst>
          </xdr:cNvPr>
          <xdr:cNvSpPr txBox="1"/>
        </xdr:nvSpPr>
        <xdr:spPr bwMode="auto">
          <a:xfrm>
            <a:off x="7359958" y="122775"/>
            <a:ext cx="1793624" cy="16171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D1AC7D-A1AC-4560-8A55-3816E6DE247B}" type="TxLink">
              <a:rPr lang="en-US" sz="1050"/>
              <a:pPr algn="l"/>
              <a:t>03) Bilans tokova gotovine</a:t>
            </a:fld>
            <a:endParaRPr lang="en-US" sz="1050"/>
          </a:p>
        </xdr:txBody>
      </xdr:sp>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500-00001A000000}"/>
              </a:ext>
            </a:extLst>
          </xdr:cNvPr>
          <xdr:cNvSpPr txBox="1"/>
        </xdr:nvSpPr>
        <xdr:spPr bwMode="auto">
          <a:xfrm>
            <a:off x="340603" y="335143"/>
            <a:ext cx="1930743" cy="1630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3E588A0-24DE-421D-8644-A68C9A8AFF44}" type="TxLink">
              <a:rPr lang="en-US" sz="1050"/>
              <a:pPr algn="l"/>
              <a:t>04) Aneks</a:t>
            </a:fld>
            <a:endParaRPr lang="en-US" sz="1050"/>
          </a:p>
        </xdr:txBody>
      </xdr:sp>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500-00001B000000}"/>
              </a:ext>
            </a:extLst>
          </xdr:cNvPr>
          <xdr:cNvSpPr txBox="1"/>
        </xdr:nvSpPr>
        <xdr:spPr bwMode="auto">
          <a:xfrm>
            <a:off x="2312830" y="327817"/>
            <a:ext cx="2955227" cy="1557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BBBC847-91F1-4AF4-98AC-1D3F7BA53DD8}" type="TxLink">
              <a:rPr lang="en-US" sz="1050"/>
              <a:pPr algn="l"/>
              <a:t>05) Izvještaj o promjenama u kapitalu</a:t>
            </a:fld>
            <a:endParaRPr lang="en-US" sz="1050"/>
          </a:p>
        </xdr:txBody>
      </xdr:sp>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500-00001C000000}"/>
              </a:ext>
            </a:extLst>
          </xdr:cNvPr>
          <xdr:cNvSpPr txBox="1"/>
        </xdr:nvSpPr>
        <xdr:spPr bwMode="auto">
          <a:xfrm>
            <a:off x="2315709" y="131325"/>
            <a:ext cx="1360884" cy="16960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D441AB0-A429-4C50-86B9-1AFE776086DD}" type="TxLink">
              <a:rPr lang="en-US" sz="1050"/>
              <a:pPr algn="l"/>
              <a:t>Osnovni podaci</a:t>
            </a:fld>
            <a:endParaRPr lang="en-US" sz="1050"/>
          </a:p>
        </xdr:txBody>
      </xdr:sp>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500-00001D000000}"/>
              </a:ext>
            </a:extLst>
          </xdr:cNvPr>
          <xdr:cNvSpPr txBox="1"/>
        </xdr:nvSpPr>
        <xdr:spPr bwMode="auto">
          <a:xfrm>
            <a:off x="340604" y="122773"/>
            <a:ext cx="1915109" cy="16183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79C2238-408E-4610-A37B-A1F59B0CBB38}" type="TxLink">
              <a:rPr lang="en-US" sz="1050"/>
              <a:pPr algn="l"/>
              <a:t>Uputstvo za popunjavanje</a:t>
            </a:fld>
            <a:endParaRPr lang="en-US" sz="1050"/>
          </a:p>
        </xdr:txBody>
      </xdr:sp>
    </xdr:grp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0</xdr:row>
          <xdr:rowOff>38100</xdr:rowOff>
        </xdr:from>
        <xdr:to>
          <xdr:col>10</xdr:col>
          <xdr:colOff>850900</xdr:colOff>
          <xdr:row>3</xdr:row>
          <xdr:rowOff>146050</xdr:rowOff>
        </xdr:to>
        <xdr:sp macro="" textlink="">
          <xdr:nvSpPr>
            <xdr:cNvPr id="31079" name="Navigacija" hidden="1">
              <a:extLst>
                <a:ext uri="{63B3BB69-23CF-44E3-9099-C40C66FF867C}">
                  <a14:compatExt spid="_x0000_s31079"/>
                </a:ext>
                <a:ext uri="{FF2B5EF4-FFF2-40B4-BE49-F238E27FC236}">
                  <a16:creationId xmlns:a16="http://schemas.microsoft.com/office/drawing/2014/main" id="{00000000-0008-0000-0600-000067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733425</xdr:colOff>
      <xdr:row>1</xdr:row>
      <xdr:rowOff>0</xdr:rowOff>
    </xdr:from>
    <xdr:to>
      <xdr:col>6</xdr:col>
      <xdr:colOff>57150</xdr:colOff>
      <xdr:row>1</xdr:row>
      <xdr:rowOff>152400</xdr:rowOff>
    </xdr:to>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600-00000E000000}"/>
            </a:ext>
          </a:extLst>
        </xdr:cNvPr>
        <xdr:cNvSpPr txBox="1"/>
      </xdr:nvSpPr>
      <xdr:spPr bwMode="auto">
        <a:xfrm>
          <a:off x="3495675" y="161925"/>
          <a:ext cx="1590675" cy="1524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2FDAD94-FEC8-426B-A893-4B2E5711E056}" type="TxLink">
            <a:rPr lang="en-US" sz="1050"/>
            <a:pPr algn="l"/>
            <a:t>01) Bilans stanja</a:t>
          </a:fld>
          <a:endParaRPr lang="en-US" sz="1050"/>
        </a:p>
      </xdr:txBody>
    </xdr:sp>
    <xdr:clientData fPrintsWithSheet="0"/>
  </xdr:twoCellAnchor>
  <xdr:twoCellAnchor editAs="absolute">
    <xdr:from>
      <xdr:col>6</xdr:col>
      <xdr:colOff>85724</xdr:colOff>
      <xdr:row>0</xdr:row>
      <xdr:rowOff>143013</xdr:rowOff>
    </xdr:from>
    <xdr:to>
      <xdr:col>7</xdr:col>
      <xdr:colOff>904874</xdr:colOff>
      <xdr:row>2</xdr:row>
      <xdr:rowOff>1</xdr:rowOff>
    </xdr:to>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600-00000F000000}"/>
            </a:ext>
          </a:extLst>
        </xdr:cNvPr>
        <xdr:cNvSpPr txBox="1"/>
      </xdr:nvSpPr>
      <xdr:spPr bwMode="auto">
        <a:xfrm>
          <a:off x="5114924" y="143013"/>
          <a:ext cx="195262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98916F3-C80B-4412-9BBD-9D69E872C229}" type="TxLink">
            <a:rPr lang="en-US" sz="1050"/>
            <a:pPr algn="l"/>
            <a:t>02a) Bilans uspjeha</a:t>
          </a:fld>
          <a:endParaRPr lang="en-US" sz="1050"/>
        </a:p>
      </xdr:txBody>
    </xdr:sp>
    <xdr:clientData fPrintsWithSheet="0"/>
  </xdr:twoCellAnchor>
  <xdr:twoCellAnchor editAs="absolute">
    <xdr:from>
      <xdr:col>6</xdr:col>
      <xdr:colOff>85730</xdr:colOff>
      <xdr:row>2</xdr:row>
      <xdr:rowOff>47763</xdr:rowOff>
    </xdr:from>
    <xdr:to>
      <xdr:col>9</xdr:col>
      <xdr:colOff>409576</xdr:colOff>
      <xdr:row>3</xdr:row>
      <xdr:rowOff>47625</xdr:rowOff>
    </xdr:to>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600-000010000000}"/>
            </a:ext>
          </a:extLst>
        </xdr:cNvPr>
        <xdr:cNvSpPr txBox="1"/>
      </xdr:nvSpPr>
      <xdr:spPr bwMode="auto">
        <a:xfrm>
          <a:off x="5114930" y="371613"/>
          <a:ext cx="3067046"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6908A6-EB04-4902-BB4D-5A409BA38ACB}" type="TxLink">
            <a:rPr lang="en-US" sz="1050"/>
            <a:pPr algn="l"/>
            <a:t>02b) Izvještaj o ostalim dobicima i gubicima u periodu</a:t>
          </a:fld>
          <a:endParaRPr lang="en-US" sz="1050"/>
        </a:p>
      </xdr:txBody>
    </xdr:sp>
    <xdr:clientData fPrintsWithSheet="0"/>
  </xdr:twoCellAnchor>
  <xdr:twoCellAnchor editAs="absolute">
    <xdr:from>
      <xdr:col>7</xdr:col>
      <xdr:colOff>933450</xdr:colOff>
      <xdr:row>0</xdr:row>
      <xdr:rowOff>143012</xdr:rowOff>
    </xdr:from>
    <xdr:to>
      <xdr:col>10</xdr:col>
      <xdr:colOff>809625</xdr:colOff>
      <xdr:row>2</xdr:row>
      <xdr:rowOff>0</xdr:rowOff>
    </xdr:to>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600-000011000000}"/>
            </a:ext>
          </a:extLst>
        </xdr:cNvPr>
        <xdr:cNvSpPr txBox="1"/>
      </xdr:nvSpPr>
      <xdr:spPr bwMode="auto">
        <a:xfrm>
          <a:off x="7096125" y="143012"/>
          <a:ext cx="2438400"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D6E7D92-CB20-4A42-AEB1-FB9150B400E0}" type="TxLink">
            <a:rPr lang="en-US" sz="1050"/>
            <a:pPr algn="l"/>
            <a:t>03) Bilans tokova gotovine</a:t>
          </a:fld>
          <a:endParaRPr lang="en-US" sz="1050"/>
        </a:p>
      </xdr:txBody>
    </xdr:sp>
    <xdr:clientData fPrintsWithSheet="0"/>
  </xdr:twoCellAnchor>
  <xdr:twoCellAnchor editAs="absolute">
    <xdr:from>
      <xdr:col>2</xdr:col>
      <xdr:colOff>161926</xdr:colOff>
      <xdr:row>2</xdr:row>
      <xdr:rowOff>47763</xdr:rowOff>
    </xdr:from>
    <xdr:to>
      <xdr:col>3</xdr:col>
      <xdr:colOff>571501</xdr:colOff>
      <xdr:row>3</xdr:row>
      <xdr:rowOff>47625</xdr:rowOff>
    </xdr:to>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600-000012000000}"/>
            </a:ext>
          </a:extLst>
        </xdr:cNvPr>
        <xdr:cNvSpPr txBox="1"/>
      </xdr:nvSpPr>
      <xdr:spPr bwMode="auto">
        <a:xfrm>
          <a:off x="485776" y="371613"/>
          <a:ext cx="1714500"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8061F5F-3A57-42B5-9E4B-974FDA80C4A8}" type="TxLink">
            <a:rPr lang="en-US" sz="1050"/>
            <a:pPr algn="l"/>
            <a:t>04) Aneks</a:t>
          </a:fld>
          <a:endParaRPr lang="en-US" sz="1050"/>
        </a:p>
      </xdr:txBody>
    </xdr:sp>
    <xdr:clientData fPrintsWithSheet="0"/>
  </xdr:twoCellAnchor>
  <xdr:twoCellAnchor editAs="absolute">
    <xdr:from>
      <xdr:col>3</xdr:col>
      <xdr:colOff>638175</xdr:colOff>
      <xdr:row>2</xdr:row>
      <xdr:rowOff>47626</xdr:rowOff>
    </xdr:from>
    <xdr:to>
      <xdr:col>6</xdr:col>
      <xdr:colOff>60981</xdr:colOff>
      <xdr:row>3</xdr:row>
      <xdr:rowOff>38100</xdr:rowOff>
    </xdr:to>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600-000013000000}"/>
            </a:ext>
          </a:extLst>
        </xdr:cNvPr>
        <xdr:cNvSpPr txBox="1"/>
      </xdr:nvSpPr>
      <xdr:spPr bwMode="auto">
        <a:xfrm>
          <a:off x="2266950" y="371476"/>
          <a:ext cx="2823231" cy="1523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6BF7A5B-E433-4183-A7AE-0F1D6CA53C9A}" type="TxLink">
            <a:rPr lang="en-US" sz="1050"/>
            <a:pPr algn="l"/>
            <a:t>05) Izvještaj o promjenama u kapitalu</a:t>
          </a:fld>
          <a:endParaRPr lang="en-US" sz="1050"/>
        </a:p>
      </xdr:txBody>
    </xdr:sp>
    <xdr:clientData fPrintsWithSheet="0"/>
  </xdr:twoCellAnchor>
  <xdr:twoCellAnchor editAs="absolute">
    <xdr:from>
      <xdr:col>3</xdr:col>
      <xdr:colOff>590550</xdr:colOff>
      <xdr:row>0</xdr:row>
      <xdr:rowOff>152538</xdr:rowOff>
    </xdr:from>
    <xdr:to>
      <xdr:col>4</xdr:col>
      <xdr:colOff>685800</xdr:colOff>
      <xdr:row>2</xdr:row>
      <xdr:rowOff>0</xdr:rowOff>
    </xdr:to>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600-000014000000}"/>
            </a:ext>
          </a:extLst>
        </xdr:cNvPr>
        <xdr:cNvSpPr txBox="1"/>
      </xdr:nvSpPr>
      <xdr:spPr bwMode="auto">
        <a:xfrm>
          <a:off x="2219325" y="152538"/>
          <a:ext cx="1228725" cy="1713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5BD85E1-DE56-40D1-90D2-253A9D7F30D8}" type="TxLink">
            <a:rPr lang="en-US" sz="1050"/>
            <a:pPr algn="l"/>
            <a:t>Osnovni podaci</a:t>
          </a:fld>
          <a:endParaRPr lang="en-US" sz="1050"/>
        </a:p>
      </xdr:txBody>
    </xdr:sp>
    <xdr:clientData fPrintsWithSheet="0"/>
  </xdr:twoCellAnchor>
  <xdr:twoCellAnchor editAs="absolute">
    <xdr:from>
      <xdr:col>2</xdr:col>
      <xdr:colOff>152405</xdr:colOff>
      <xdr:row>0</xdr:row>
      <xdr:rowOff>143013</xdr:rowOff>
    </xdr:from>
    <xdr:to>
      <xdr:col>3</xdr:col>
      <xdr:colOff>561975</xdr:colOff>
      <xdr:row>2</xdr:row>
      <xdr:rowOff>1</xdr:rowOff>
    </xdr:to>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600-000015000000}"/>
            </a:ext>
          </a:extLst>
        </xdr:cNvPr>
        <xdr:cNvSpPr txBox="1"/>
      </xdr:nvSpPr>
      <xdr:spPr bwMode="auto">
        <a:xfrm>
          <a:off x="476255" y="143013"/>
          <a:ext cx="171449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1D5B6FC-4D4B-4106-B85F-EB8AC4C6E83F}" type="TxLink">
            <a:rPr lang="en-US" sz="1050"/>
            <a:pPr algn="l"/>
            <a:t>Uputstvo za popunjavanje</a:t>
          </a:fld>
          <a:endParaRPr lang="en-US" sz="105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2</xdr:col>
      <xdr:colOff>28575</xdr:colOff>
      <xdr:row>0</xdr:row>
      <xdr:rowOff>47625</xdr:rowOff>
    </xdr:from>
    <xdr:to>
      <xdr:col>12</xdr:col>
      <xdr:colOff>590550</xdr:colOff>
      <xdr:row>3</xdr:row>
      <xdr:rowOff>152400</xdr:rowOff>
    </xdr:to>
    <xdr:grpSp>
      <xdr:nvGrpSpPr>
        <xdr:cNvPr id="129020" name="Okvir Navigacija">
          <a:extLst>
            <a:ext uri="{FF2B5EF4-FFF2-40B4-BE49-F238E27FC236}">
              <a16:creationId xmlns:a16="http://schemas.microsoft.com/office/drawing/2014/main" id="{00000000-0008-0000-0900-0000FCF70100}"/>
            </a:ext>
          </a:extLst>
        </xdr:cNvPr>
        <xdr:cNvGrpSpPr>
          <a:grpSpLocks/>
        </xdr:cNvGrpSpPr>
      </xdr:nvGrpSpPr>
      <xdr:grpSpPr bwMode="auto">
        <a:xfrm>
          <a:off x="365125" y="47625"/>
          <a:ext cx="11191875" cy="600075"/>
          <a:chOff x="7343770" y="3809524"/>
          <a:chExt cx="7258050" cy="590550"/>
        </a:xfrm>
      </xdr:grpSpPr>
      <mc:AlternateContent xmlns:mc="http://schemas.openxmlformats.org/markup-compatibility/2006">
        <mc:Choice xmlns:a14="http://schemas.microsoft.com/office/drawing/2010/main" Requires="a14">
          <xdr:sp macro="" textlink="">
            <xdr:nvSpPr>
              <xdr:cNvPr id="7723" name="Navigacija" hidden="1">
                <a:extLst>
                  <a:ext uri="{63B3BB69-23CF-44E3-9099-C40C66FF867C}">
                    <a14:compatExt spid="_x0000_s7723"/>
                  </a:ext>
                  <a:ext uri="{FF2B5EF4-FFF2-40B4-BE49-F238E27FC236}">
                    <a16:creationId xmlns:a16="http://schemas.microsoft.com/office/drawing/2014/main" id="{00000000-0008-0000-0900-00002B1E0000}"/>
                  </a:ext>
                </a:extLst>
              </xdr:cNvPr>
              <xdr:cNvSpPr/>
            </xdr:nvSpPr>
            <xdr:spPr bwMode="auto">
              <a:xfrm>
                <a:off x="7343770" y="3809524"/>
                <a:ext cx="7258050" cy="59055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4" name="Link BS">
            <a:hlinkClick xmlns:r="http://schemas.openxmlformats.org/officeDocument/2006/relationships" r:id="rId1" tooltip="01"/>
            <a:extLst>
              <a:ext uri="{FF2B5EF4-FFF2-40B4-BE49-F238E27FC236}">
                <a16:creationId xmlns:a16="http://schemas.microsoft.com/office/drawing/2014/main" id="{00000000-0008-0000-0900-000004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7DA41995-96D8-4639-A1A5-1D85EB3E747A}" type="TxLink">
              <a:rPr lang="en-US" sz="1050"/>
              <a:pPr algn="l"/>
              <a:t>01) Bilans stanja</a:t>
            </a:fld>
            <a:endParaRPr lang="en-US" sz="1050"/>
          </a:p>
        </xdr:txBody>
      </xdr:sp>
      <xdr:sp macro="" textlink="Linkovi_Link_BU">
        <xdr:nvSpPr>
          <xdr:cNvPr id="5" name="Link BU">
            <a:hlinkClick xmlns:r="http://schemas.openxmlformats.org/officeDocument/2006/relationships" r:id="rId2" tooltip="02a"/>
            <a:extLst>
              <a:ext uri="{FF2B5EF4-FFF2-40B4-BE49-F238E27FC236}">
                <a16:creationId xmlns:a16="http://schemas.microsoft.com/office/drawing/2014/main" id="{00000000-0008-0000-0900-000005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3B76B50-8E53-4705-8B50-2B88206340D3}" type="TxLink">
              <a:rPr lang="en-US" sz="1050"/>
              <a:pPr algn="l"/>
              <a:t>02a) Bilans uspjeha</a:t>
            </a:fld>
            <a:endParaRPr lang="en-US" sz="1050"/>
          </a:p>
        </xdr:txBody>
      </xdr:sp>
      <xdr:sp macro="" textlink="Linkovi_Link_ODGP">
        <xdr:nvSpPr>
          <xdr:cNvPr id="6" name="Link ODGP">
            <a:hlinkClick xmlns:r="http://schemas.openxmlformats.org/officeDocument/2006/relationships" r:id="rId3" tooltip="02b"/>
            <a:extLst>
              <a:ext uri="{FF2B5EF4-FFF2-40B4-BE49-F238E27FC236}">
                <a16:creationId xmlns:a16="http://schemas.microsoft.com/office/drawing/2014/main" id="{00000000-0008-0000-0900-000006000000}"/>
              </a:ext>
            </a:extLst>
          </xdr:cNvPr>
          <xdr:cNvSpPr txBox="1"/>
        </xdr:nvSpPr>
        <xdr:spPr bwMode="auto">
          <a:xfrm>
            <a:off x="11341898" y="4152901"/>
            <a:ext cx="2993385" cy="17130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D64D741-6D07-4D9B-AFC0-31CA6D4C3C7F}" type="TxLink">
              <a:rPr lang="en-US" sz="1050"/>
              <a:pPr algn="l"/>
              <a:t>02b) Izvještaj o ostalim dobicima i gubicima u periodu</a:t>
            </a:fld>
            <a:endParaRPr lang="en-US" sz="1050"/>
          </a:p>
        </xdr:txBody>
      </xdr:sp>
      <xdr:sp macro="" textlink="Linkovi_Link_BTG">
        <xdr:nvSpPr>
          <xdr:cNvPr id="7" name="Link BTG">
            <a:hlinkClick xmlns:r="http://schemas.openxmlformats.org/officeDocument/2006/relationships" r:id="rId4" tooltip="03"/>
            <a:extLst>
              <a:ext uri="{FF2B5EF4-FFF2-40B4-BE49-F238E27FC236}">
                <a16:creationId xmlns:a16="http://schemas.microsoft.com/office/drawing/2014/main" id="{00000000-0008-0000-0900-000007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013FE93-F095-4351-8F47-FD68D990E5A6}" type="TxLink">
              <a:rPr lang="en-US" sz="1050"/>
              <a:pPr algn="l"/>
              <a:t>03) Bilans tokova gotovine</a:t>
            </a:fld>
            <a:endParaRPr lang="en-US" sz="1050"/>
          </a:p>
        </xdr:txBody>
      </xdr:sp>
      <xdr:sp macro="" textlink="Linkovi_Link_Aneks">
        <xdr:nvSpPr>
          <xdr:cNvPr id="8" name="Link Aneks">
            <a:hlinkClick xmlns:r="http://schemas.openxmlformats.org/officeDocument/2006/relationships" r:id="rId5" tooltip="04"/>
            <a:extLst>
              <a:ext uri="{FF2B5EF4-FFF2-40B4-BE49-F238E27FC236}">
                <a16:creationId xmlns:a16="http://schemas.microsoft.com/office/drawing/2014/main" id="{00000000-0008-0000-0900-000008000000}"/>
              </a:ext>
            </a:extLst>
          </xdr:cNvPr>
          <xdr:cNvSpPr txBox="1"/>
        </xdr:nvSpPr>
        <xdr:spPr bwMode="auto">
          <a:xfrm>
            <a:off x="7428390" y="4143377"/>
            <a:ext cx="1568964" cy="180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DA991-FBA8-4765-8B08-2A25AA90BA75}" type="TxLink">
              <a:rPr lang="en-US" sz="1050"/>
              <a:pPr algn="l"/>
              <a:t>04) Aneks</a:t>
            </a:fld>
            <a:endParaRPr lang="en-US" sz="1050"/>
          </a:p>
        </xdr:txBody>
      </xdr:sp>
      <xdr:sp macro="" textlink="Linkovi_Link_BPK">
        <xdr:nvSpPr>
          <xdr:cNvPr id="9" name="Link BPK">
            <a:hlinkClick xmlns:r="http://schemas.openxmlformats.org/officeDocument/2006/relationships" r:id="rId6" tooltip="05"/>
            <a:extLst>
              <a:ext uri="{FF2B5EF4-FFF2-40B4-BE49-F238E27FC236}">
                <a16:creationId xmlns:a16="http://schemas.microsoft.com/office/drawing/2014/main" id="{00000000-0008-0000-0900-000009000000}"/>
              </a:ext>
            </a:extLst>
          </xdr:cNvPr>
          <xdr:cNvSpPr txBox="1"/>
        </xdr:nvSpPr>
        <xdr:spPr bwMode="auto">
          <a:xfrm>
            <a:off x="9056410" y="4133851"/>
            <a:ext cx="2234883" cy="1903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F9DBFF-F2C3-453E-806C-FCC94B9F46BF}" type="TxLink">
              <a:rPr lang="en-US" sz="1050"/>
              <a:pPr algn="l"/>
              <a:t>05) Izvještaj o promjenama u kapitalu</a:t>
            </a:fld>
            <a:endParaRPr lang="en-US" sz="1050"/>
          </a:p>
        </xdr:txBody>
      </xdr:sp>
      <xdr:sp macro="" textlink="Linkovi_Link_Osnovni_podaci">
        <xdr:nvSpPr>
          <xdr:cNvPr id="10" name="Link Osnovni podaci">
            <a:hlinkClick xmlns:r="http://schemas.openxmlformats.org/officeDocument/2006/relationships" r:id="rId7" tooltip="Osnovni podaci"/>
            <a:extLst>
              <a:ext uri="{FF2B5EF4-FFF2-40B4-BE49-F238E27FC236}">
                <a16:creationId xmlns:a16="http://schemas.microsoft.com/office/drawing/2014/main" id="{00000000-0008-0000-0900-00000A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CE1E122-A6F7-4F14-AF2C-16334948C0F7}" type="TxLink">
              <a:rPr lang="en-US" sz="1050"/>
              <a:pPr algn="l"/>
              <a:t>Osnovni podaci</a:t>
            </a:fld>
            <a:endParaRPr lang="en-US" sz="1050"/>
          </a:p>
        </xdr:txBody>
      </xdr:sp>
      <xdr:sp macro="" textlink="Linkovi_Link_Uputstvo">
        <xdr:nvSpPr>
          <xdr:cNvPr id="11" name="Link Uputstvo">
            <a:hlinkClick xmlns:r="http://schemas.openxmlformats.org/officeDocument/2006/relationships" r:id="rId8" tooltip="Uputstvo za popunjavanje"/>
            <a:extLst>
              <a:ext uri="{FF2B5EF4-FFF2-40B4-BE49-F238E27FC236}">
                <a16:creationId xmlns:a16="http://schemas.microsoft.com/office/drawing/2014/main" id="{00000000-0008-0000-0900-00000B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B25046B9-4652-46D9-AD9E-87486CDB03B7}" type="TxLink">
              <a:rPr lang="en-US" sz="1050"/>
              <a:pPr algn="l"/>
              <a:t>Uputstvo za popunjavanje</a:t>
            </a:fld>
            <a:endParaRPr lang="en-US" sz="1050"/>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16</xdr:col>
      <xdr:colOff>248478</xdr:colOff>
      <xdr:row>2</xdr:row>
      <xdr:rowOff>91109</xdr:rowOff>
    </xdr:from>
    <xdr:to>
      <xdr:col>29</xdr:col>
      <xdr:colOff>530088</xdr:colOff>
      <xdr:row>14</xdr:row>
      <xdr:rowOff>41413</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0320130" y="629479"/>
          <a:ext cx="8961784" cy="19381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_Prevod" displayName="T_Prevod" ref="A1:I110" totalsRowShown="0" headerRowDxfId="192" headerRowCellStyle="Normal" dataCellStyle="Normal">
  <autoFilter ref="A1:I110" xr:uid="{00000000-0009-0000-0100-000001000000}"/>
  <tableColumns count="9">
    <tableColumn id="1" xr3:uid="{00000000-0010-0000-0000-000001000000}" name="Grupa" dataCellStyle="Normal"/>
    <tableColumn id="6" xr3:uid="{00000000-0010-0000-0000-000006000000}" name="Naziv Celije" dataCellStyle="Normal"/>
    <tableColumn id="2" xr3:uid="{00000000-0010-0000-0000-000002000000}" name="Latinica" dataCellStyle="Normal"/>
    <tableColumn id="3" xr3:uid="{00000000-0010-0000-0000-000003000000}" name="Ћирилица" dataCellStyle="Normal"/>
    <tableColumn id="4" xr3:uid="{00000000-0010-0000-0000-000004000000}" name="English" dataCellStyle="Normal"/>
    <tableColumn id="9" xr3:uid="{08CEAED0-9A3D-46A4-AB50-0EAE5A2EA735}" name="Русский"/>
    <tableColumn id="5" xr3:uid="{00000000-0010-0000-0000-000005000000}" name="Prikaz" dataDxfId="191" dataCellStyle="Normal">
      <calculatedColumnFormula>CHOOSE( ID_Jezik, C2, D2, E2,F2)</calculatedColumnFormula>
    </tableColumn>
    <tableColumn id="7" xr3:uid="{00000000-0010-0000-0000-000007000000}" name="Kolona za pravljenje imena" dataDxfId="190" dataCellStyle="Normal">
      <calculatedColumnFormula>SUBSTITUTE(A2&amp;"_"&amp;B2," ","_")</calculatedColumnFormula>
    </tableColumn>
    <tableColumn id="8" xr3:uid="{00000000-0010-0000-0000-000008000000}" name="Kontrola broj" dataDxfId="189" dataCellStyle="Normal">
      <calculatedColumnFormula>COUNTIF($B$2:$B$1034,"="&amp;B2)</calculatedColumnFormula>
    </tableColumn>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9000000}" name="T_Baza_BPK" displayName="T_Baza_BPK" ref="A1:S35" totalsRowShown="0" headerRowDxfId="46" dataDxfId="44" headerRowBorderDxfId="45" tableBorderDxfId="43" totalsRowBorderDxfId="42" headerRowCellStyle="Normal" dataCellStyle="Normal">
  <autoFilter ref="A1:S35" xr:uid="{00000000-0009-0000-0100-000038000000}"/>
  <tableColumns count="19">
    <tableColumn id="1" xr3:uid="{00000000-0010-0000-0900-000001000000}" name="Id" dataDxfId="41" dataCellStyle="Normal"/>
    <tableColumn id="2" xr3:uid="{00000000-0010-0000-0900-000002000000}" name="Bilans" dataDxfId="40" dataCellStyle="Normal">
      <calculatedColumnFormula>VLOOKUP( $A2, Aop!$A$2:$P$453, 2, 0)</calculatedColumnFormula>
    </tableColumn>
    <tableColumn id="10" xr3:uid="{00000000-0010-0000-0900-00000A000000}" name="MB" dataDxfId="39" dataCellStyle="Normal">
      <calculatedColumnFormula>Podatak_MB</calculatedColumnFormula>
    </tableColumn>
    <tableColumn id="11" xr3:uid="{00000000-0010-0000-0900-00000B000000}" name="JIB" dataDxfId="38" dataCellStyle="Normal">
      <calculatedColumnFormula>Podatak_JIB</calculatedColumnFormula>
    </tableColumn>
    <tableColumn id="17" xr3:uid="{00000000-0010-0000-0900-000011000000}" name="Konsolidovan" dataDxfId="37" dataCellStyle="Normal">
      <calculatedColumnFormula>Konsolidovan_izvjestaj</calculatedColumnFormula>
    </tableColumn>
    <tableColumn id="3" xr3:uid="{00000000-0010-0000-0900-000003000000}" name="AOP" dataDxfId="36" dataCellStyle="Normal">
      <calculatedColumnFormula>VLOOKUP( $A2, Aop!$A$2:$P$453, 4, 0)</calculatedColumnFormula>
    </tableColumn>
    <tableColumn id="4" xr3:uid="{00000000-0010-0000-0900-000004000000}" name="Godina" dataDxfId="35" dataCellStyle="Normal">
      <calculatedColumnFormula>Godina</calculatedColumnFormula>
    </tableColumn>
    <tableColumn id="12" xr3:uid="{00000000-0010-0000-0900-00000C000000}" name="Datum" dataDxfId="34" dataCellStyle="Normal">
      <calculatedColumnFormula>Datum_Broj</calculatedColumnFormula>
    </tableColumn>
    <tableColumn id="5" xr3:uid="{00000000-0010-0000-0900-000005000000}" name="Vrsta_izvjestaja" dataDxfId="33" dataCellStyle="Normal">
      <calculatedColumnFormula>ID_Izvjestaj</calculatedColumnFormula>
    </tableColumn>
    <tableColumn id="6" xr3:uid="{00000000-0010-0000-0900-000006000000}" name="3" dataDxfId="32" dataCellStyle="Normal">
      <calculatedColumnFormula>IF(VLOOKUP($F2,INDIRECT("Lookup_"&amp;$B2),J$1-1,0)="","",VLOOKUP($F2,INDIRECT("Lookup_"&amp;$B2),J$1-1,0))</calculatedColumnFormula>
    </tableColumn>
    <tableColumn id="7" xr3:uid="{00000000-0010-0000-0900-000007000000}" name="4" dataDxfId="31" dataCellStyle="Normal"/>
    <tableColumn id="8" xr3:uid="{00000000-0010-0000-0900-000008000000}" name="5" dataDxfId="30" dataCellStyle="Normal"/>
    <tableColumn id="18" xr3:uid="{77354D2D-9497-424A-85B1-27F00CAE02EC}" name="6" dataDxfId="29"/>
    <tableColumn id="19" xr3:uid="{1DDF88FA-57D6-44D9-ADBA-774359C0ADB3}" name="7" dataDxfId="28"/>
    <tableColumn id="9" xr3:uid="{00000000-0010-0000-0900-000009000000}" name="8" dataDxfId="27" dataCellStyle="Normal"/>
    <tableColumn id="13" xr3:uid="{00000000-0010-0000-0900-00000D000000}" name="9" dataDxfId="26" dataCellStyle="Normal"/>
    <tableColumn id="14" xr3:uid="{00000000-0010-0000-0900-00000E000000}" name="10" dataDxfId="25" dataCellStyle="Normal"/>
    <tableColumn id="15" xr3:uid="{00000000-0010-0000-0900-00000F000000}" name="11" dataDxfId="24" dataCellStyle="Normal"/>
    <tableColumn id="16" xr3:uid="{00000000-0010-0000-0900-000010000000}" name="12" dataDxfId="23" dataCellStyle="Normal"/>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A000000}" name="T_ApifImport" displayName="T_ApifImport" ref="B1:P441" totalsRowShown="0" headerRowDxfId="16" dataDxfId="15">
  <tableColumns count="15">
    <tableColumn id="1" xr3:uid="{00000000-0010-0000-0A00-000001000000}" name="Id izvještaja" dataDxfId="14">
      <calculatedColumnFormula>VLOOKUP( T_ApifImport[[#This Row],[Kolona10]], T_Bilansi[], 4, 0)</calculatedColumnFormula>
    </tableColumn>
    <tableColumn id="11" xr3:uid="{00000000-0010-0000-0A00-00000B000000}" name="AOP" dataDxfId="13">
      <calculatedColumnFormula>VLOOKUP( T_ApifImport[[#This Row],[ld]], T_Aop[], 4, 0)</calculatedColumnFormula>
    </tableColumn>
    <tableColumn id="15" xr3:uid="{135E3155-8B21-46CC-A9C3-C052AEAFDE47}" name="Napomena" dataDxfId="12">
      <calculatedColumnFormul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calculatedColumnFormula>
    </tableColumn>
    <tableColumn id="3" xr3:uid="{00000000-0010-0000-0A00-000003000000}" name="Kolona1" dataDxfId="11">
      <calculatedColumnFormul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calculatedColumnFormula>
    </tableColumn>
    <tableColumn id="4" xr3:uid="{00000000-0010-0000-0A00-000004000000}" name="Kolona2" dataDxfId="10">
      <calculatedColumnFormula>IF( ISNA( VLOOKUP( T_ApifImport[[#This Row],[Bilans]:[Bilans]] &amp; T_ApifImport[[#Headers],[Kolona2]],T_ApifKolone[], 4, 0)), "", VLOOKUP( T_ApifImport[[#This Row],[AOP]:[AOP]], INDIRECT( "Lookup_" &amp; T_ApifImport[[#This Row],[Bilans]:[Bilans]]), VLOOKUP( T_ApifImport[[#This Row],[Bilans]:[Bilans]] &amp; T_ApifImport[[#Headers],[Kolona2]],T_ApifKolone[], 4, 0), 0))</calculatedColumnFormula>
    </tableColumn>
    <tableColumn id="5" xr3:uid="{00000000-0010-0000-0A00-000005000000}" name="Kolona3" dataDxfId="9">
      <calculatedColumnFormula>IF( ISNA( VLOOKUP( T_ApifImport[[#This Row],[Bilans]:[Bilans]] &amp; T_ApifImport[[#Headers],[Kolona3]],T_ApifKolone[], 4, 0)), "", VLOOKUP( T_ApifImport[[#This Row],[AOP]:[AOP]], INDIRECT( "Lookup_" &amp; T_ApifImport[[#This Row],[Bilans]:[Bilans]]), VLOOKUP( T_ApifImport[[#This Row],[Bilans]:[Bilans]] &amp; T_ApifImport[[#Headers],[Kolona3]],T_ApifKolone[], 4, 0), 0))</calculatedColumnFormula>
    </tableColumn>
    <tableColumn id="6" xr3:uid="{00000000-0010-0000-0A00-000006000000}" name="Kolona4" dataDxfId="8">
      <calculatedColumnFormula>IF( ISNA( VLOOKUP( T_ApifImport[[#This Row],[Bilans]:[Bilans]] &amp; T_ApifImport[[#Headers],[Kolona4]],T_ApifKolone[], 4, 0)), "", VLOOKUP( T_ApifImport[[#This Row],[AOP]:[AOP]], INDIRECT( "Lookup_" &amp; T_ApifImport[[#This Row],[Bilans]:[Bilans]]), VLOOKUP( T_ApifImport[[#This Row],[Bilans]:[Bilans]] &amp; T_ApifImport[[#Headers],[Kolona4]],T_ApifKolone[], 4, 0), 0))</calculatedColumnFormula>
    </tableColumn>
    <tableColumn id="7" xr3:uid="{00000000-0010-0000-0A00-000007000000}" name="Kolona5" dataDxfId="7">
      <calculatedColumnFormula>IF( ISNA( VLOOKUP( T_ApifImport[[#This Row],[Bilans]:[Bilans]] &amp; T_ApifImport[[#Headers],[Kolona5]],T_ApifKolone[], 4, 0)), "", VLOOKUP( T_ApifImport[[#This Row],[AOP]:[AOP]], INDIRECT( "Lookup_" &amp; T_ApifImport[[#This Row],[Bilans]:[Bilans]]), VLOOKUP( T_ApifImport[[#This Row],[Bilans]:[Bilans]] &amp; T_ApifImport[[#Headers],[Kolona5]],T_ApifKolone[], 4, 0), 0))</calculatedColumnFormula>
    </tableColumn>
    <tableColumn id="8" xr3:uid="{00000000-0010-0000-0A00-000008000000}" name="Kolona6" dataDxfId="6">
      <calculatedColumnFormula>IF( ISNA( VLOOKUP( T_ApifImport[[#This Row],[Bilans]:[Bilans]] &amp; T_ApifImport[[#Headers],[Kolona6]],T_ApifKolone[], 4, 0)), "", VLOOKUP( T_ApifImport[[#This Row],[AOP]:[AOP]], INDIRECT( "Lookup_" &amp; T_ApifImport[[#This Row],[Kolona10]:[Bilans]]), VLOOKUP( T_ApifImport[[#This Row],[Bilans]:[Bilans]] &amp; T_ApifImport[[#Headers],[Kolona6]],T_ApifKolone[], 4, 0), 0))</calculatedColumnFormula>
    </tableColumn>
    <tableColumn id="9" xr3:uid="{00000000-0010-0000-0A00-000009000000}" name="Kolona7" dataDxfId="5">
      <calculatedColumnFormula>IF( ISNA( VLOOKUP( T_ApifImport[[#This Row],[Bilans]:[Bilans]] &amp; T_ApifImport[[#Headers],[Kolona7]],T_ApifKolone[], 4, 0)), "", VLOOKUP( T_ApifImport[[#This Row],[AOP]:[AOP]], INDIRECT( "Lookup_" &amp; T_ApifImport[[#This Row],[Kolona10]:[Kolona10]]), VLOOKUP( T_ApifImport[[#This Row],[Bilans]:[Bilans]] &amp; T_ApifImport[[#Headers],[Kolona7]],T_ApifKolone[], 4, 0), 0))</calculatedColumnFormula>
    </tableColumn>
    <tableColumn id="10" xr3:uid="{00000000-0010-0000-0A00-00000A000000}" name="Kolona8" dataDxfId="4">
      <calculatedColumnFormula>IF( ISNA( VLOOKUP( T_ApifImport[[#This Row],[Kolona10]:[Kolona10]] &amp; T_ApifImport[[#Headers],[Kolona8]],T_ApifKolone[], 4, 0)), "", VLOOKUP( T_ApifImport[[#This Row],[AOP]:[AOP]], INDIRECT( "Lookup_" &amp; T_ApifImport[[#This Row],[Kolona10]:[Kolona10]]), VLOOKUP( T_ApifImport[[#This Row],[Kolona10]:[Kolona10]] &amp; T_ApifImport[[#Headers],[Kolona8]],T_ApifKolone[], 4, 0), 0))</calculatedColumnFormula>
    </tableColumn>
    <tableColumn id="13" xr3:uid="{00000000-0010-0000-0A00-00000D000000}" name="Kolona9" dataDxfId="3"/>
    <tableColumn id="12" xr3:uid="{00000000-0010-0000-0A00-00000C000000}" name="Kolona10" dataDxfId="2"/>
    <tableColumn id="2" xr3:uid="{978CEA93-111E-4A8B-B31C-0172E7744C26}" name="ld" dataDxfId="1"/>
    <tableColumn id="14" xr3:uid="{F71AD27B-37C9-43AF-ABD7-C8D1D837431C}" name="Bilans"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_Aop" displayName="T_Aop" ref="A1:P453" totalsRowShown="0" headerRowDxfId="91">
  <autoFilter ref="A1:P453" xr:uid="{00000000-0009-0000-0100-000005000000}"/>
  <tableColumns count="16">
    <tableColumn id="1" xr3:uid="{00000000-0010-0000-0100-000001000000}" name="Id" dataDxfId="90">
      <calculatedColumnFormula>ROW()-ROW($A$1)</calculatedColumnFormula>
    </tableColumn>
    <tableColumn id="10" xr3:uid="{00000000-0010-0000-0100-00000A000000}" name="Bilans"/>
    <tableColumn id="2" xr3:uid="{00000000-0010-0000-0100-000002000000}" name="Aop nivo" dataDxfId="89"/>
    <tableColumn id="4" xr3:uid="{00000000-0010-0000-0100-000004000000}" name="AOP" dataDxfId="88"/>
    <tableColumn id="14" xr3:uid="{00000000-0010-0000-0100-00000E000000}" name="Grupa Prikaz" dataDxfId="87">
      <calculatedColumnFormula>VLOOKUP( T_Aop[[#This Row],[Id]], T_Aop[], ID_Jezik +10, 1)</calculatedColumnFormula>
    </tableColumn>
    <tableColumn id="7" xr3:uid="{00000000-0010-0000-0100-000007000000}" name="Pozicija Prikaz" dataDxfId="86">
      <calculatedColumnFormula>REPT( "  ", T_Aop[[#This Row],[Aop nivo]]) &amp; VLOOKUP( T_Aop[[#This Row],[Id]], T_Aop[], ID_Jezik + 6, 1)</calculatedColumnFormula>
    </tableColumn>
    <tableColumn id="5" xr3:uid="{00000000-0010-0000-0100-000005000000}" name="Pozicija Srpski - latinica" dataDxfId="85"/>
    <tableColumn id="9" xr3:uid="{00000000-0010-0000-0100-000009000000}" name="Pozicija Srpski - cirilica" dataDxfId="84"/>
    <tableColumn id="6" xr3:uid="{00000000-0010-0000-0100-000006000000}" name="Pozicija Engleski" dataDxfId="83"/>
    <tableColumn id="3" xr3:uid="{B7FC0DC3-2B29-4230-9171-A884D115B682}" name="Pozicija Руски" dataDxfId="82"/>
    <tableColumn id="11" xr3:uid="{00000000-0010-0000-0100-00000B000000}" name="Grupa Sr - latinica" dataDxfId="81"/>
    <tableColumn id="12" xr3:uid="{00000000-0010-0000-0100-00000C000000}" name="Grupa Sr - cirilica" dataDxfId="80"/>
    <tableColumn id="13" xr3:uid="{00000000-0010-0000-0100-00000D000000}" name="Grupa En" dataDxfId="79"/>
    <tableColumn id="8" xr3:uid="{57B98E24-6AE4-4ABE-9314-AE9FFBC65E64}" name="Grupa Rus" dataDxfId="78"/>
    <tableColumn id="16" xr3:uid="{00000000-0010-0000-0100-000010000000}" name="Bold" dataDxfId="77"/>
    <tableColumn id="17" xr3:uid="{00000000-0010-0000-0100-000011000000}" name="Visina reda" dataDxfId="7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_Jezik" displayName="T_Jezik" ref="B2:C6" totalsRowShown="0" headerRowCellStyle="Normal" dataCellStyle="Normal">
  <autoFilter ref="B2:C6" xr:uid="{00000000-0009-0000-0100-000002000000}"/>
  <tableColumns count="2">
    <tableColumn id="3" xr3:uid="{00000000-0010-0000-0200-000003000000}" name="Jezik_Id" dataCellStyle="Normal"/>
    <tableColumn id="1" xr3:uid="{00000000-0010-0000-0200-000001000000}" name="Jezik"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_Vrsta_izvjestaja" displayName="T_Vrsta_izvjestaja" ref="H2:L6" totalsRowShown="0" headerRowCellStyle="Normal" dataCellStyle="Normal">
  <autoFilter ref="H2:L6" xr:uid="{00000000-0009-0000-0100-000003000000}"/>
  <tableColumns count="5">
    <tableColumn id="1" xr3:uid="{00000000-0010-0000-0300-000001000000}" name="Datum izvještaja" dataDxfId="75" dataCellStyle="Normal">
      <calculatedColumnFormula>DATE(Godina, K3, L3)</calculatedColumnFormula>
    </tableColumn>
    <tableColumn id="6" xr3:uid="{00000000-0010-0000-0300-000006000000}" name="Vrsta_Id" dataCellStyle="Normal"/>
    <tableColumn id="5" xr3:uid="{00000000-0010-0000-0300-000005000000}" name="Vrsta izvještaja" dataCellStyle="Normal"/>
    <tableColumn id="2" xr3:uid="{00000000-0010-0000-0300-000002000000}" name="Mjesec" dataDxfId="74" dataCellStyle="Normal"/>
    <tableColumn id="3" xr3:uid="{00000000-0010-0000-0300-000003000000}" name="Dan" dataDxfId="73"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4000000}" name="T_Bilansi" displayName="T_Bilansi" ref="N2:Q9" totalsRowShown="0">
  <autoFilter ref="N2:Q9" xr:uid="{00000000-0009-0000-0100-000015000000}"/>
  <tableColumns count="4">
    <tableColumn id="6" xr3:uid="{00000000-0010-0000-0400-000006000000}" name="Bilans"/>
    <tableColumn id="5" xr3:uid="{00000000-0010-0000-0400-000005000000}" name="Min Id" dataDxfId="72"/>
    <tableColumn id="1" xr3:uid="{00000000-0010-0000-0400-000001000000}" name="Max Id"/>
    <tableColumn id="2" xr3:uid="{00000000-0010-0000-0400-000002000000}" name="APIF_Id"/>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9" xr:uid="{00000000-000C-0000-FFFF-FFFF05000000}" name="T_Misljenje" displayName="T_Misljenje" ref="E2:F6" totalsRowShown="0">
  <autoFilter ref="E2:F6" xr:uid="{00000000-0009-0000-0100-0000E9010000}"/>
  <tableColumns count="2">
    <tableColumn id="1" xr3:uid="{00000000-0010-0000-0500-000001000000}" name="Misljenje_Id" dataDxfId="71"/>
    <tableColumn id="2" xr3:uid="{00000000-0010-0000-0500-000002000000}" name="Opis" dataDxfId="70"/>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0" xr:uid="{00000000-000C-0000-FFFF-FFFF06000000}" name="T_Datum_BPK" displayName="T_Datum_BPK" ref="S2:Y6" totalsRowShown="0">
  <autoFilter ref="S2:Y6" xr:uid="{00000000-0009-0000-0100-0000EA010000}"/>
  <tableColumns count="7">
    <tableColumn id="1" xr3:uid="{00000000-0010-0000-0600-000001000000}" name="Opis Datum IOPK"/>
    <tableColumn id="2" xr3:uid="{00000000-0010-0000-0600-000002000000}" name="Godina"/>
    <tableColumn id="3" xr3:uid="{00000000-0010-0000-0600-000003000000}" name="Mjesec"/>
    <tableColumn id="4" xr3:uid="{00000000-0010-0000-0600-000004000000}" name="Dan"/>
    <tableColumn id="5" xr3:uid="{00000000-0010-0000-0600-000005000000}" name="Datum" dataDxfId="69">
      <calculatedColumnFormula>DATE( Godina + T3, U3, V3)</calculatedColumnFormula>
    </tableColumn>
    <tableColumn id="6" xr3:uid="{00000000-0010-0000-0600-000006000000}" name="Datum format" dataDxfId="68">
      <calculatedColumnFormula>TEXT(W3, "dd.mm.yyyy.")</calculatedColumnFormula>
    </tableColumn>
    <tableColumn id="7" xr3:uid="{00000000-0010-0000-0600-000007000000}" name="Datum format eng" dataDxfId="67">
      <calculatedColumnFormula>TEXT(W3, "dd.mm.yyyy")</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_ApifKolone" displayName="T_ApifKolone" ref="AA2:AD33" totalsRowShown="0">
  <autoFilter ref="AA2:AD33" xr:uid="{00000000-0009-0000-0100-000008000000}"/>
  <tableColumns count="4">
    <tableColumn id="4" xr3:uid="{00000000-0010-0000-0700-000004000000}" name="LookupText" dataDxfId="66">
      <calculatedColumnFormula>CONCATENATE(T_ApifKolone[[#This Row],[Bilans]],T_ApifKolone[[#This Row],[ApifKolona]])</calculatedColumnFormula>
    </tableColumn>
    <tableColumn id="1" xr3:uid="{00000000-0010-0000-0700-000001000000}" name="Bilans"/>
    <tableColumn id="2" xr3:uid="{00000000-0010-0000-0700-000002000000}" name="ApifKolona"/>
    <tableColumn id="3" xr3:uid="{00000000-0010-0000-0700-000003000000}" name="LookupBroj"/>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8000000}" name="T_Baza" displayName="T_Baza" ref="A1:N408" totalsRowShown="0" headerRowDxfId="65" dataDxfId="63" headerRowBorderDxfId="64" tableBorderDxfId="62" totalsRowBorderDxfId="61" headerRowCellStyle="Normal" dataCellStyle="Normal">
  <autoFilter ref="A1:N408" xr:uid="{00000000-0009-0000-0100-000014000000}"/>
  <tableColumns count="14">
    <tableColumn id="1" xr3:uid="{00000000-0010-0000-0800-000001000000}" name="Id" dataDxfId="60" dataCellStyle="Normal"/>
    <tableColumn id="2" xr3:uid="{00000000-0010-0000-0800-000002000000}" name="Bilans" dataDxfId="59" dataCellStyle="Normal">
      <calculatedColumnFormula>VLOOKUP( $A2, Aop!$A$2:$P$453, 2, 0)</calculatedColumnFormula>
    </tableColumn>
    <tableColumn id="5" xr3:uid="{00000000-0010-0000-0800-000005000000}" name="Vrsta_izvjestaja" dataDxfId="58" dataCellStyle="Normal">
      <calculatedColumnFormula>ID_Izvjestaj</calculatedColumnFormula>
    </tableColumn>
    <tableColumn id="10" xr3:uid="{00000000-0010-0000-0800-00000A000000}" name="MB" dataDxfId="57" dataCellStyle="Normal">
      <calculatedColumnFormula>Podatak_MB</calculatedColumnFormula>
    </tableColumn>
    <tableColumn id="11" xr3:uid="{00000000-0010-0000-0800-00000B000000}" name="JIB" dataDxfId="56" dataCellStyle="Normal">
      <calculatedColumnFormula>Podatak_JIB</calculatedColumnFormula>
    </tableColumn>
    <tableColumn id="13" xr3:uid="{00000000-0010-0000-0800-00000D000000}" name="Konsolidovan" dataDxfId="55" dataCellStyle="Normal">
      <calculatedColumnFormula>Konsolidovan_izvjestaj</calculatedColumnFormula>
    </tableColumn>
    <tableColumn id="12" xr3:uid="{00000000-0010-0000-0800-00000C000000}" name="Datum" dataDxfId="54" dataCellStyle="Normal">
      <calculatedColumnFormula>Datum_Broj</calculatedColumnFormula>
    </tableColumn>
    <tableColumn id="3" xr3:uid="{00000000-0010-0000-0800-000003000000}" name="AOP" dataDxfId="53" dataCellStyle="Normal">
      <calculatedColumnFormula>VLOOKUP( $A2, Aop!$A$2:$P$453, 4, 0)</calculatedColumnFormula>
    </tableColumn>
    <tableColumn id="4" xr3:uid="{00000000-0010-0000-0800-000004000000}" name="Godina" dataDxfId="52" dataCellStyle="Normal">
      <calculatedColumnFormula>Godina</calculatedColumnFormula>
    </tableColumn>
    <tableColumn id="14" xr3:uid="{4BD27D0A-5644-4F7F-8152-94AFCBFEEC84}" name="Napomena" dataDxfId="51">
      <calculatedColumnFormula>IF( VLOOKUP( $H2, INDIRECT( "Lookup_" &amp; $B2), IF( LEFT( $B2, 2) = "BS", P$2, P$1), 0) = "", "", VLOOKUP( $H2, INDIRECT( "Lookup_" &amp; $B2), IF( $B2 = "BSa", P$2, P$1), 0))</calculatedColumnFormula>
    </tableColumn>
    <tableColumn id="6" xr3:uid="{00000000-0010-0000-0800-000006000000}" name="Bruto" dataDxfId="50" dataCellStyle="Normal">
      <calculatedColumnFormula>IF( VLOOKUP( $H2, INDIRECT( "Lookup_" &amp; $B2), IF( LEFT( $B2, 2) = "BS", Q$2, Q$1), 0) = "", "", VLOOKUP( $H2, INDIRECT( "Lookup_" &amp; $B2), IF( $B2 = "BSa", Q$2, Q$1), 0))</calculatedColumnFormula>
    </tableColumn>
    <tableColumn id="7" xr3:uid="{00000000-0010-0000-0800-000007000000}" name="Ispravka" dataDxfId="49" dataCellStyle="Normal">
      <calculatedColumnFormula>IF( VLOOKUP( $H2, INDIRECT( "Lookup_" &amp; $B2), IF( LEFT( $B2, 2) = "BS", R$2, R$1), 0) = "", "", VLOOKUP( $H2, INDIRECT( "Lookup_" &amp; $B2), IF( $B2 = "BSa", R$2, R$1), 0))</calculatedColumnFormula>
    </tableColumn>
    <tableColumn id="8" xr3:uid="{00000000-0010-0000-0800-000008000000}" name="Neto" dataDxfId="48" dataCellStyle="Normal">
      <calculatedColumnFormula>IF( VLOOKUP( $H2, INDIRECT( "Lookup_" &amp; $B2), IF( LEFT( $B2, 2) = "BS", R$2, R$1), 0) = "", "", VLOOKUP( $H2, INDIRECT( "Lookup_" &amp; $B2), IF( LEFT( $B2, 2) = "BS", R$2, R$1), 0))</calculatedColumnFormula>
    </tableColumn>
    <tableColumn id="9" xr3:uid="{00000000-0010-0000-0800-000009000000}" name="NetoPr" dataDxfId="47" dataCellStyle="Normal">
      <calculatedColumnFormula>IF( VLOOKUP( $H2, INDIRECT( "Lookup_" &amp; $B2), IF( LEFT( $B2, 2) = "BS", S$2, S$1), 0) = "", "", VLOOKUP( $H2, INDIRECT( "Lookup_" &amp; $B2), IF( LEFT( $B2, 2) = "BS", S$2, S$1), 0))</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4.bin"/><Relationship Id="rId5" Type="http://schemas.openxmlformats.org/officeDocument/2006/relationships/comments" Target="../comments5.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0a">
    <tabColor rgb="FFB2B2B2"/>
    <pageSetUpPr fitToPage="1"/>
  </sheetPr>
  <dimension ref="A1:U62"/>
  <sheetViews>
    <sheetView showGridLines="0" showRowColHeaders="0" tabSelected="1" zoomScaleNormal="100" zoomScaleSheetLayoutView="85" workbookViewId="0">
      <pane ySplit="4" topLeftCell="A26" activePane="bottomLeft" state="frozen"/>
      <selection activeCell="K31" sqref="K31"/>
      <selection pane="bottomLeft" activeCell="K31" sqref="K31"/>
    </sheetView>
  </sheetViews>
  <sheetFormatPr defaultColWidth="0" defaultRowHeight="13" zeroHeight="1" x14ac:dyDescent="0.3"/>
  <cols>
    <col min="1" max="1" width="5.69921875" style="8" customWidth="1"/>
    <col min="2" max="4" width="10.3984375" style="8" customWidth="1"/>
    <col min="5" max="17" width="9.3984375" style="8" customWidth="1"/>
    <col min="18" max="22" width="9.09765625" style="8" customWidth="1"/>
    <col min="23" max="16384" width="0" style="8" hidden="1"/>
  </cols>
  <sheetData>
    <row r="1" spans="2:21" x14ac:dyDescent="0.3">
      <c r="B1" s="18"/>
      <c r="C1" s="18"/>
      <c r="D1" s="18"/>
      <c r="E1" s="18"/>
      <c r="F1" s="18"/>
      <c r="G1" s="18"/>
      <c r="H1" s="18"/>
      <c r="I1" s="18"/>
      <c r="J1" s="18"/>
      <c r="K1" s="18"/>
      <c r="L1" s="18"/>
      <c r="M1" s="18"/>
      <c r="N1" s="18"/>
      <c r="O1" s="18"/>
      <c r="P1" s="18"/>
      <c r="Q1" s="18"/>
    </row>
    <row r="2" spans="2:21" x14ac:dyDescent="0.3">
      <c r="B2" s="18"/>
      <c r="C2" s="18"/>
      <c r="D2" s="18"/>
      <c r="E2" s="18"/>
      <c r="F2" s="18"/>
      <c r="G2" s="18"/>
      <c r="H2" s="18"/>
      <c r="I2" s="18"/>
      <c r="J2" s="18"/>
      <c r="K2" s="18"/>
      <c r="L2" s="18"/>
      <c r="M2" s="18"/>
      <c r="N2" s="18"/>
      <c r="O2" s="18"/>
      <c r="P2" s="18"/>
      <c r="Q2" s="18"/>
    </row>
    <row r="3" spans="2:21" x14ac:dyDescent="0.3">
      <c r="B3" s="18"/>
      <c r="C3" s="18"/>
      <c r="D3" s="18"/>
      <c r="E3" s="18"/>
      <c r="F3" s="18"/>
      <c r="G3" s="18"/>
      <c r="H3" s="18"/>
      <c r="I3" s="18"/>
      <c r="J3" s="18"/>
      <c r="K3" s="18"/>
      <c r="L3" s="18"/>
      <c r="M3" s="18"/>
      <c r="N3" s="18"/>
      <c r="O3" s="18"/>
      <c r="P3" s="18"/>
      <c r="Q3" s="18"/>
    </row>
    <row r="4" spans="2:21" x14ac:dyDescent="0.3">
      <c r="B4" s="18"/>
      <c r="C4" s="18"/>
      <c r="D4" s="18"/>
      <c r="E4" s="18"/>
      <c r="F4" s="18"/>
      <c r="G4" s="18"/>
      <c r="H4" s="18"/>
      <c r="I4" s="18"/>
      <c r="J4" s="18"/>
      <c r="K4" s="18"/>
      <c r="L4" s="18"/>
      <c r="M4" s="18"/>
      <c r="N4" s="18"/>
      <c r="O4" s="18"/>
      <c r="P4" s="18"/>
      <c r="Q4" s="18"/>
    </row>
    <row r="5" spans="2:21" ht="18.5" x14ac:dyDescent="0.3">
      <c r="B5" s="578" t="s">
        <v>58</v>
      </c>
      <c r="C5" s="578"/>
      <c r="D5" s="578"/>
      <c r="E5" s="578"/>
      <c r="F5" s="578"/>
      <c r="G5" s="578"/>
      <c r="H5" s="578"/>
      <c r="I5" s="578"/>
      <c r="J5" s="578"/>
      <c r="K5" s="578"/>
      <c r="L5" s="578"/>
      <c r="M5" s="578"/>
      <c r="N5" s="578"/>
      <c r="O5" s="578"/>
      <c r="P5" s="578"/>
      <c r="Q5" s="578"/>
      <c r="R5" s="578"/>
      <c r="S5" s="578"/>
      <c r="T5" s="578"/>
      <c r="U5" s="578"/>
    </row>
    <row r="6" spans="2:21" ht="18.5" x14ac:dyDescent="0.35">
      <c r="B6" s="144" t="s">
        <v>491</v>
      </c>
      <c r="C6" s="145"/>
      <c r="D6" s="145"/>
      <c r="E6" s="145"/>
      <c r="F6" s="145"/>
      <c r="G6" s="145"/>
      <c r="H6" s="145"/>
      <c r="I6" s="145"/>
      <c r="J6" s="145"/>
      <c r="K6" s="145"/>
      <c r="L6" s="145"/>
      <c r="M6" s="145"/>
      <c r="N6" s="145"/>
      <c r="O6" s="145"/>
      <c r="P6" s="145"/>
      <c r="Q6" s="145"/>
    </row>
    <row r="7" spans="2:21" ht="14.5" x14ac:dyDescent="0.35">
      <c r="B7" s="143" t="s">
        <v>308</v>
      </c>
      <c r="C7" s="18"/>
      <c r="D7" s="18"/>
      <c r="E7" s="18"/>
      <c r="F7" s="18"/>
      <c r="G7" s="18"/>
      <c r="H7" s="18"/>
      <c r="I7" s="18"/>
      <c r="J7" s="18"/>
      <c r="K7" s="18"/>
      <c r="L7" s="18"/>
      <c r="M7" s="18"/>
      <c r="N7" s="18"/>
      <c r="O7" s="18"/>
      <c r="P7" s="18"/>
      <c r="Q7" s="18"/>
    </row>
    <row r="8" spans="2:21" ht="14.5" x14ac:dyDescent="0.35">
      <c r="B8" s="422" t="s">
        <v>2743</v>
      </c>
      <c r="C8" s="423"/>
      <c r="D8" s="423"/>
      <c r="E8" s="423"/>
      <c r="F8" s="423"/>
      <c r="G8" s="423"/>
      <c r="H8" s="18"/>
      <c r="I8" s="18"/>
      <c r="J8" s="18"/>
      <c r="K8" s="18"/>
      <c r="L8" s="18"/>
      <c r="M8" s="18"/>
      <c r="N8" s="18"/>
      <c r="O8" s="18"/>
      <c r="P8" s="18"/>
      <c r="Q8" s="18"/>
    </row>
    <row r="9" spans="2:21" ht="14.5" x14ac:dyDescent="0.35">
      <c r="B9" s="143" t="s">
        <v>314</v>
      </c>
      <c r="C9" s="18"/>
      <c r="D9" s="18"/>
      <c r="E9" s="18"/>
      <c r="F9" s="18"/>
      <c r="G9" s="18"/>
      <c r="H9" s="18"/>
      <c r="I9" s="18"/>
      <c r="J9" s="18"/>
      <c r="K9" s="18"/>
      <c r="L9" s="18"/>
      <c r="M9" s="18"/>
      <c r="N9" s="18"/>
      <c r="O9" s="18"/>
      <c r="P9" s="18"/>
      <c r="Q9" s="18"/>
    </row>
    <row r="10" spans="2:21" ht="14.5" x14ac:dyDescent="0.35">
      <c r="B10" s="143" t="s">
        <v>758</v>
      </c>
      <c r="C10" s="18"/>
      <c r="D10" s="18"/>
      <c r="E10" s="18"/>
      <c r="F10" s="18"/>
      <c r="G10" s="18"/>
      <c r="H10" s="18"/>
      <c r="I10" s="18"/>
      <c r="J10" s="18"/>
      <c r="K10" s="18"/>
      <c r="L10" s="18"/>
      <c r="M10" s="18"/>
      <c r="N10" s="18"/>
      <c r="O10" s="18"/>
      <c r="P10" s="18"/>
      <c r="Q10" s="18"/>
    </row>
    <row r="11" spans="2:21" ht="14.5" x14ac:dyDescent="0.35">
      <c r="B11" s="143"/>
      <c r="C11" s="18"/>
      <c r="D11" s="18"/>
      <c r="E11" s="18"/>
      <c r="F11" s="18"/>
      <c r="G11" s="18"/>
      <c r="H11" s="18"/>
      <c r="I11" s="18"/>
      <c r="J11" s="18"/>
      <c r="K11" s="18"/>
      <c r="L11" s="18"/>
      <c r="M11" s="18"/>
      <c r="N11" s="18"/>
      <c r="O11" s="18"/>
      <c r="P11" s="18"/>
      <c r="Q11" s="18"/>
    </row>
    <row r="12" spans="2:21" ht="14.5" x14ac:dyDescent="0.35">
      <c r="B12" s="144" t="s">
        <v>493</v>
      </c>
      <c r="C12" s="18"/>
      <c r="D12" s="18"/>
      <c r="E12" s="18"/>
      <c r="F12" s="18"/>
      <c r="G12" s="18"/>
      <c r="H12" s="18"/>
      <c r="I12" s="18"/>
      <c r="J12" s="18"/>
      <c r="K12" s="18"/>
      <c r="L12" s="18"/>
      <c r="M12" s="18"/>
      <c r="N12" s="18"/>
      <c r="O12" s="18"/>
      <c r="P12" s="18"/>
      <c r="Q12" s="18"/>
    </row>
    <row r="13" spans="2:21" ht="14.5" x14ac:dyDescent="0.35">
      <c r="B13" s="143" t="s">
        <v>492</v>
      </c>
      <c r="C13" s="18"/>
      <c r="D13" s="18"/>
      <c r="E13" s="18"/>
      <c r="F13" s="18"/>
      <c r="G13" s="18"/>
      <c r="H13" s="18"/>
      <c r="I13" s="18"/>
      <c r="J13" s="18"/>
      <c r="K13" s="18"/>
      <c r="L13" s="18"/>
      <c r="M13" s="18"/>
      <c r="N13" s="18"/>
      <c r="O13" s="18"/>
      <c r="P13" s="18"/>
      <c r="Q13" s="18"/>
    </row>
    <row r="14" spans="2:21" ht="14.5" x14ac:dyDescent="0.35">
      <c r="B14" s="143"/>
      <c r="C14" s="18"/>
      <c r="D14" s="18"/>
      <c r="E14" s="18"/>
      <c r="F14" s="18"/>
      <c r="G14" s="18"/>
      <c r="H14" s="18"/>
      <c r="I14" s="18"/>
      <c r="J14" s="18"/>
      <c r="K14" s="18"/>
      <c r="L14" s="18"/>
      <c r="M14" s="18"/>
      <c r="N14" s="18"/>
      <c r="O14" s="18"/>
      <c r="P14" s="18"/>
      <c r="Q14" s="18"/>
    </row>
    <row r="15" spans="2:21" ht="14.5" x14ac:dyDescent="0.35">
      <c r="B15" s="214" t="s">
        <v>21</v>
      </c>
      <c r="C15" s="215"/>
      <c r="D15" s="215"/>
      <c r="E15" s="215"/>
      <c r="F15" s="215"/>
      <c r="G15" s="215"/>
      <c r="H15" s="215"/>
      <c r="I15" s="215"/>
      <c r="J15" s="215"/>
      <c r="K15" s="215"/>
      <c r="L15" s="215"/>
      <c r="M15" s="216"/>
      <c r="N15" s="18"/>
      <c r="O15" s="18"/>
      <c r="P15" s="18"/>
      <c r="Q15" s="18"/>
    </row>
    <row r="16" spans="2:21" ht="14.5" x14ac:dyDescent="0.35">
      <c r="B16" s="217" t="s">
        <v>25</v>
      </c>
      <c r="C16" s="138"/>
      <c r="D16" s="138"/>
      <c r="E16" s="138"/>
      <c r="F16" s="138"/>
      <c r="G16" s="138"/>
      <c r="H16" s="138"/>
      <c r="I16" s="138"/>
      <c r="J16" s="138"/>
      <c r="K16" s="138"/>
      <c r="L16" s="138"/>
      <c r="M16" s="218"/>
      <c r="N16" s="18"/>
      <c r="O16" s="18"/>
      <c r="P16" s="18"/>
      <c r="Q16" s="18"/>
    </row>
    <row r="17" spans="2:17" ht="14.5" x14ac:dyDescent="0.35">
      <c r="B17" s="219" t="s">
        <v>22</v>
      </c>
      <c r="C17" s="138"/>
      <c r="D17" s="138"/>
      <c r="E17" s="138"/>
      <c r="F17" s="138"/>
      <c r="G17" s="138"/>
      <c r="H17" s="138"/>
      <c r="I17" s="138"/>
      <c r="J17" s="138"/>
      <c r="K17" s="138"/>
      <c r="L17" s="138"/>
      <c r="M17" s="218"/>
      <c r="N17" s="18"/>
      <c r="O17" s="18"/>
      <c r="P17" s="18"/>
      <c r="Q17" s="18"/>
    </row>
    <row r="18" spans="2:17" ht="14.5" x14ac:dyDescent="0.35">
      <c r="B18" s="220" t="s">
        <v>23</v>
      </c>
      <c r="C18" s="221"/>
      <c r="D18" s="221"/>
      <c r="E18" s="221"/>
      <c r="F18" s="221"/>
      <c r="G18" s="221"/>
      <c r="H18" s="221"/>
      <c r="I18" s="221"/>
      <c r="J18" s="221"/>
      <c r="K18" s="221"/>
      <c r="L18" s="221"/>
      <c r="M18" s="222"/>
      <c r="N18" s="18"/>
      <c r="O18" s="18"/>
      <c r="P18" s="18"/>
      <c r="Q18" s="18"/>
    </row>
    <row r="19" spans="2:17" x14ac:dyDescent="0.3">
      <c r="C19" s="18"/>
      <c r="D19" s="18"/>
      <c r="E19" s="18"/>
      <c r="F19" s="18"/>
      <c r="G19" s="18"/>
      <c r="H19" s="18"/>
      <c r="I19" s="18"/>
      <c r="J19" s="18"/>
      <c r="K19" s="18"/>
      <c r="L19" s="18"/>
      <c r="M19" s="18"/>
      <c r="N19" s="18"/>
      <c r="O19" s="18"/>
      <c r="P19" s="18"/>
      <c r="Q19" s="18"/>
    </row>
    <row r="20" spans="2:17" ht="14.5" x14ac:dyDescent="0.35">
      <c r="B20" s="144" t="s">
        <v>16</v>
      </c>
      <c r="C20" s="18"/>
      <c r="D20" s="18"/>
      <c r="E20" s="18"/>
      <c r="F20" s="18"/>
      <c r="G20" s="18"/>
      <c r="H20" s="18"/>
      <c r="I20" s="18"/>
      <c r="J20" s="18"/>
      <c r="K20" s="18"/>
      <c r="L20" s="18"/>
      <c r="M20" s="18"/>
      <c r="N20" s="18"/>
      <c r="O20" s="18"/>
      <c r="P20" s="18"/>
      <c r="Q20" s="18"/>
    </row>
    <row r="21" spans="2:17" ht="14.5" x14ac:dyDescent="0.35">
      <c r="B21" s="143" t="s">
        <v>2736</v>
      </c>
      <c r="C21" s="18"/>
      <c r="D21" s="18"/>
      <c r="E21" s="18"/>
      <c r="F21" s="18"/>
      <c r="G21" s="18"/>
      <c r="H21" s="18"/>
      <c r="I21" s="18"/>
      <c r="J21" s="18"/>
      <c r="K21" s="18"/>
      <c r="L21" s="18"/>
      <c r="M21" s="18"/>
      <c r="N21" s="18"/>
      <c r="O21" s="18"/>
      <c r="P21" s="18"/>
      <c r="Q21" s="18"/>
    </row>
    <row r="22" spans="2:17" ht="14.5" x14ac:dyDescent="0.35">
      <c r="B22" s="143" t="s">
        <v>2737</v>
      </c>
      <c r="C22" s="18"/>
      <c r="D22" s="18"/>
      <c r="E22" s="18"/>
      <c r="F22" s="18"/>
      <c r="G22" s="18"/>
      <c r="H22" s="18"/>
      <c r="I22" s="18"/>
      <c r="J22" s="18"/>
      <c r="K22" s="18"/>
      <c r="L22" s="18"/>
      <c r="M22" s="18"/>
      <c r="N22" s="18"/>
      <c r="O22" s="18"/>
      <c r="P22" s="18"/>
      <c r="Q22" s="18"/>
    </row>
    <row r="23" spans="2:17" ht="14.5" x14ac:dyDescent="0.35">
      <c r="B23" s="146" t="s">
        <v>2741</v>
      </c>
      <c r="C23" s="18"/>
      <c r="D23" s="18"/>
      <c r="E23" s="18"/>
      <c r="F23" s="18"/>
      <c r="G23" s="18"/>
      <c r="H23" s="18"/>
      <c r="I23" s="18"/>
      <c r="J23" s="18"/>
      <c r="K23" s="18"/>
      <c r="L23" s="18"/>
      <c r="M23" s="18"/>
      <c r="N23" s="18"/>
      <c r="O23" s="18"/>
      <c r="P23" s="18"/>
      <c r="Q23" s="18"/>
    </row>
    <row r="24" spans="2:17" ht="14.5" x14ac:dyDescent="0.35">
      <c r="B24" s="143"/>
      <c r="C24" s="18"/>
      <c r="D24" s="18"/>
      <c r="E24" s="18"/>
      <c r="F24" s="18"/>
      <c r="G24" s="18"/>
      <c r="H24" s="18"/>
      <c r="I24" s="18"/>
      <c r="J24" s="18"/>
      <c r="K24" s="18"/>
      <c r="L24" s="18"/>
      <c r="M24" s="18"/>
      <c r="N24" s="18"/>
      <c r="O24" s="18"/>
      <c r="P24" s="18"/>
      <c r="Q24" s="18"/>
    </row>
    <row r="25" spans="2:17" ht="14.5" x14ac:dyDescent="0.35">
      <c r="B25" s="144" t="s">
        <v>17</v>
      </c>
      <c r="C25" s="18"/>
      <c r="D25" s="18"/>
      <c r="E25" s="18"/>
      <c r="F25" s="18"/>
      <c r="G25" s="18"/>
      <c r="H25" s="18"/>
      <c r="I25" s="18"/>
      <c r="J25" s="18"/>
      <c r="K25" s="18"/>
      <c r="L25" s="18"/>
      <c r="M25" s="18"/>
      <c r="N25" s="18"/>
      <c r="O25" s="18"/>
      <c r="P25" s="18"/>
      <c r="Q25" s="18"/>
    </row>
    <row r="26" spans="2:17" ht="14.5" x14ac:dyDescent="0.35">
      <c r="B26" s="143" t="s">
        <v>2738</v>
      </c>
      <c r="C26" s="18"/>
      <c r="D26" s="18"/>
      <c r="E26" s="18"/>
      <c r="F26" s="18"/>
      <c r="G26" s="18"/>
      <c r="H26" s="18"/>
      <c r="I26" s="18"/>
      <c r="J26" s="18"/>
      <c r="K26" s="18"/>
      <c r="L26" s="18"/>
      <c r="M26" s="18"/>
      <c r="N26" s="18"/>
      <c r="O26" s="18"/>
      <c r="P26" s="18"/>
      <c r="Q26" s="18"/>
    </row>
    <row r="27" spans="2:17" ht="14.5" x14ac:dyDescent="0.35">
      <c r="B27" s="143"/>
      <c r="C27" s="18"/>
      <c r="D27" s="18"/>
      <c r="E27" s="18"/>
      <c r="F27" s="18"/>
      <c r="G27" s="18"/>
      <c r="H27" s="18"/>
      <c r="I27" s="18"/>
      <c r="J27" s="18"/>
      <c r="K27" s="18"/>
      <c r="L27" s="18"/>
      <c r="M27" s="18"/>
      <c r="N27" s="18"/>
      <c r="O27" s="18"/>
      <c r="P27" s="18"/>
      <c r="Q27" s="18"/>
    </row>
    <row r="28" spans="2:17" ht="14.5" x14ac:dyDescent="0.35">
      <c r="B28" s="144" t="s">
        <v>2911</v>
      </c>
      <c r="C28" s="18"/>
      <c r="D28" s="18"/>
      <c r="E28" s="18"/>
      <c r="F28" s="18"/>
      <c r="G28" s="18"/>
      <c r="H28" s="18"/>
      <c r="I28" s="18"/>
      <c r="J28" s="18"/>
      <c r="K28" s="18"/>
      <c r="L28" s="18"/>
      <c r="M28" s="18"/>
      <c r="N28" s="18"/>
      <c r="O28" s="18"/>
      <c r="P28" s="18"/>
      <c r="Q28" s="18"/>
    </row>
    <row r="29" spans="2:17" ht="14.5" x14ac:dyDescent="0.35">
      <c r="B29" s="143" t="s">
        <v>2910</v>
      </c>
      <c r="C29" s="18"/>
      <c r="D29" s="18"/>
      <c r="E29" s="18"/>
      <c r="F29" s="18"/>
      <c r="G29" s="18"/>
      <c r="H29" s="18"/>
      <c r="I29" s="18"/>
      <c r="J29" s="18"/>
      <c r="K29" s="18"/>
      <c r="L29" s="18"/>
      <c r="M29" s="18"/>
      <c r="N29" s="18"/>
      <c r="O29" s="18"/>
      <c r="P29" s="18"/>
      <c r="Q29" s="18"/>
    </row>
    <row r="30" spans="2:17" ht="14.5" x14ac:dyDescent="0.35">
      <c r="B30" s="143"/>
      <c r="C30" s="18"/>
      <c r="D30" s="18"/>
      <c r="E30" s="18"/>
      <c r="F30" s="18"/>
      <c r="G30" s="18"/>
      <c r="H30" s="18"/>
      <c r="I30" s="18"/>
      <c r="J30" s="18"/>
      <c r="K30" s="18"/>
      <c r="L30" s="18"/>
      <c r="M30" s="18"/>
      <c r="N30" s="18"/>
      <c r="O30" s="18"/>
      <c r="P30" s="18"/>
      <c r="Q30" s="18"/>
    </row>
    <row r="31" spans="2:17" ht="14.5" x14ac:dyDescent="0.35">
      <c r="B31" s="144" t="s">
        <v>18</v>
      </c>
      <c r="C31" s="18"/>
      <c r="D31" s="18"/>
      <c r="E31" s="18"/>
      <c r="F31" s="18"/>
      <c r="G31" s="18"/>
      <c r="H31" s="18"/>
      <c r="I31" s="18"/>
      <c r="J31" s="18"/>
      <c r="K31" s="18"/>
      <c r="L31" s="18"/>
      <c r="M31" s="18"/>
      <c r="N31" s="18"/>
      <c r="O31" s="18"/>
      <c r="P31" s="18"/>
      <c r="Q31" s="18"/>
    </row>
    <row r="32" spans="2:17" ht="14.5" x14ac:dyDescent="0.35">
      <c r="B32" s="143" t="s">
        <v>2739</v>
      </c>
      <c r="C32" s="18"/>
      <c r="D32" s="18"/>
      <c r="E32" s="18"/>
      <c r="F32" s="18"/>
      <c r="G32" s="18"/>
      <c r="H32" s="18"/>
      <c r="I32" s="18"/>
      <c r="J32" s="18"/>
      <c r="K32" s="18"/>
      <c r="L32" s="18"/>
      <c r="M32" s="18"/>
      <c r="N32" s="18"/>
      <c r="O32" s="18"/>
      <c r="P32" s="18"/>
      <c r="Q32" s="18"/>
    </row>
    <row r="33" spans="2:21" ht="14.5" x14ac:dyDescent="0.35">
      <c r="B33" s="143"/>
      <c r="C33" s="18"/>
      <c r="D33" s="18"/>
      <c r="E33" s="18"/>
      <c r="F33" s="18"/>
      <c r="G33" s="18"/>
      <c r="H33" s="18"/>
      <c r="I33" s="18"/>
      <c r="J33" s="18"/>
      <c r="K33" s="18"/>
      <c r="L33" s="18"/>
      <c r="M33" s="18"/>
      <c r="N33" s="18"/>
      <c r="O33" s="18"/>
      <c r="P33" s="18"/>
      <c r="Q33" s="18"/>
    </row>
    <row r="34" spans="2:21" ht="14.5" x14ac:dyDescent="0.35">
      <c r="B34" s="144" t="s">
        <v>134</v>
      </c>
      <c r="C34" s="18"/>
      <c r="D34" s="18"/>
      <c r="E34" s="18"/>
      <c r="F34" s="18"/>
      <c r="G34" s="18"/>
      <c r="H34" s="18"/>
      <c r="I34" s="18"/>
      <c r="J34" s="18"/>
      <c r="K34" s="18"/>
      <c r="L34" s="18"/>
      <c r="M34" s="18"/>
      <c r="N34" s="18"/>
      <c r="O34" s="18"/>
      <c r="P34" s="18"/>
      <c r="Q34" s="18"/>
    </row>
    <row r="35" spans="2:21" ht="14.5" x14ac:dyDescent="0.35">
      <c r="B35" s="143" t="s">
        <v>759</v>
      </c>
      <c r="C35" s="18"/>
      <c r="D35" s="18"/>
      <c r="E35" s="18"/>
      <c r="F35" s="18"/>
      <c r="G35" s="18"/>
      <c r="H35" s="18"/>
      <c r="I35" s="18"/>
      <c r="J35" s="18"/>
      <c r="K35" s="18"/>
      <c r="L35" s="18"/>
      <c r="M35" s="18"/>
      <c r="N35" s="18"/>
      <c r="O35" s="18"/>
      <c r="P35" s="18"/>
      <c r="Q35" s="18"/>
    </row>
    <row r="36" spans="2:21" ht="14.5" x14ac:dyDescent="0.35">
      <c r="B36" s="143"/>
      <c r="C36" s="18"/>
      <c r="D36" s="18"/>
      <c r="E36" s="18"/>
      <c r="F36" s="18"/>
      <c r="G36" s="18"/>
      <c r="H36" s="18"/>
      <c r="I36" s="18"/>
      <c r="J36" s="18"/>
      <c r="K36" s="18"/>
      <c r="L36" s="18"/>
      <c r="M36" s="18"/>
      <c r="N36" s="18"/>
      <c r="O36" s="18"/>
      <c r="P36" s="18"/>
      <c r="Q36" s="18"/>
    </row>
    <row r="37" spans="2:21" ht="14.5" x14ac:dyDescent="0.35">
      <c r="B37" s="144" t="s">
        <v>494</v>
      </c>
      <c r="C37" s="18"/>
      <c r="D37" s="18"/>
      <c r="E37" s="18"/>
      <c r="F37" s="18"/>
      <c r="G37" s="18"/>
      <c r="H37" s="18"/>
      <c r="I37" s="18"/>
      <c r="J37" s="18"/>
      <c r="K37" s="18"/>
      <c r="L37" s="18"/>
      <c r="M37" s="18"/>
      <c r="N37" s="18"/>
      <c r="O37" s="18"/>
      <c r="P37" s="18"/>
      <c r="Q37" s="18"/>
    </row>
    <row r="38" spans="2:21" ht="14.5" x14ac:dyDescent="0.35">
      <c r="B38" s="143" t="s">
        <v>31</v>
      </c>
      <c r="C38" s="18"/>
      <c r="D38" s="18"/>
      <c r="E38" s="18"/>
      <c r="F38" s="18"/>
      <c r="G38" s="18"/>
      <c r="H38" s="18"/>
      <c r="I38" s="18"/>
      <c r="J38" s="18"/>
      <c r="K38" s="18"/>
      <c r="L38" s="18"/>
      <c r="M38" s="18"/>
      <c r="N38" s="18"/>
      <c r="O38" s="18"/>
      <c r="P38" s="18"/>
      <c r="Q38" s="18"/>
    </row>
    <row r="39" spans="2:21" ht="14.5" x14ac:dyDescent="0.35">
      <c r="B39" s="143" t="s">
        <v>57</v>
      </c>
      <c r="C39" s="18"/>
      <c r="D39" s="18"/>
      <c r="E39" s="18"/>
      <c r="F39" s="18"/>
      <c r="G39" s="18"/>
      <c r="H39" s="18"/>
      <c r="I39" s="18"/>
      <c r="J39" s="18"/>
      <c r="K39" s="18"/>
      <c r="L39" s="18"/>
      <c r="M39" s="18"/>
      <c r="N39" s="18"/>
      <c r="O39" s="18"/>
      <c r="P39" s="18"/>
      <c r="Q39" s="18"/>
    </row>
    <row r="40" spans="2:21" ht="14.5" x14ac:dyDescent="0.35">
      <c r="B40" s="143" t="s">
        <v>2742</v>
      </c>
      <c r="C40" s="18"/>
      <c r="D40" s="18"/>
      <c r="E40" s="18"/>
      <c r="F40" s="18"/>
      <c r="G40" s="18"/>
      <c r="H40" s="18"/>
      <c r="I40" s="18"/>
      <c r="J40" s="18"/>
      <c r="K40" s="18"/>
      <c r="L40" s="18"/>
      <c r="M40" s="18"/>
      <c r="N40" s="18"/>
      <c r="O40" s="18"/>
      <c r="P40" s="18"/>
      <c r="Q40" s="18"/>
    </row>
    <row r="41" spans="2:21" ht="14.5" x14ac:dyDescent="0.35">
      <c r="B41" s="143" t="s">
        <v>2740</v>
      </c>
      <c r="C41" s="18"/>
      <c r="D41" s="18"/>
      <c r="E41" s="18"/>
      <c r="F41" s="18"/>
      <c r="G41" s="18"/>
      <c r="H41" s="18"/>
      <c r="I41" s="18"/>
      <c r="J41" s="18"/>
      <c r="K41" s="18"/>
      <c r="L41" s="18"/>
      <c r="M41" s="18"/>
      <c r="N41" s="18"/>
      <c r="O41" s="18"/>
      <c r="P41" s="18"/>
      <c r="Q41" s="18"/>
    </row>
    <row r="42" spans="2:21" ht="14.5" x14ac:dyDescent="0.35">
      <c r="B42" s="143" t="s">
        <v>2924</v>
      </c>
      <c r="C42" s="18"/>
      <c r="D42" s="18"/>
      <c r="E42" s="18"/>
      <c r="F42" s="18"/>
      <c r="G42" s="18"/>
      <c r="H42" s="18"/>
      <c r="I42" s="18"/>
      <c r="J42" s="18"/>
      <c r="K42" s="18"/>
      <c r="L42" s="18"/>
      <c r="M42" s="18"/>
      <c r="N42" s="18"/>
      <c r="O42" s="18"/>
      <c r="P42" s="18"/>
      <c r="Q42" s="18"/>
    </row>
    <row r="43" spans="2:21" ht="14.5" x14ac:dyDescent="0.35">
      <c r="B43" s="143"/>
      <c r="C43" s="18"/>
      <c r="D43" s="18"/>
      <c r="E43" s="18"/>
      <c r="F43" s="18"/>
      <c r="G43" s="18"/>
      <c r="H43" s="18"/>
      <c r="I43" s="18"/>
      <c r="J43" s="18"/>
      <c r="K43" s="18"/>
      <c r="L43" s="18"/>
      <c r="M43" s="18"/>
      <c r="N43" s="18"/>
      <c r="O43" s="18"/>
      <c r="P43" s="18"/>
      <c r="Q43" s="18"/>
    </row>
    <row r="44" spans="2:21" ht="14.5" x14ac:dyDescent="0.35">
      <c r="B44" s="143"/>
      <c r="C44" s="18"/>
      <c r="D44" s="18"/>
      <c r="E44" s="18"/>
      <c r="F44" s="18"/>
      <c r="G44" s="18"/>
      <c r="H44" s="18"/>
      <c r="I44" s="18"/>
      <c r="J44" s="18"/>
      <c r="K44" s="18"/>
      <c r="L44" s="18"/>
      <c r="M44" s="18"/>
      <c r="N44" s="18"/>
      <c r="O44" s="18"/>
      <c r="P44" s="18"/>
      <c r="Q44" s="18"/>
    </row>
    <row r="45" spans="2:21" ht="14.5" x14ac:dyDescent="0.35">
      <c r="B45" s="144" t="s">
        <v>716</v>
      </c>
      <c r="C45" s="18"/>
      <c r="D45" s="18"/>
      <c r="E45" s="18"/>
      <c r="F45" s="18"/>
      <c r="G45" s="18"/>
      <c r="H45" s="18"/>
      <c r="I45" s="18"/>
      <c r="J45" s="18"/>
      <c r="K45" s="18"/>
      <c r="L45" s="18"/>
      <c r="M45" s="18"/>
      <c r="N45" s="18"/>
      <c r="O45" s="18"/>
      <c r="P45" s="18"/>
      <c r="Q45" s="18"/>
    </row>
    <row r="46" spans="2:21" ht="43.5" x14ac:dyDescent="0.3">
      <c r="B46" s="210" t="s">
        <v>719</v>
      </c>
      <c r="C46" s="210" t="s">
        <v>717</v>
      </c>
      <c r="D46" s="210" t="s">
        <v>718</v>
      </c>
      <c r="E46" s="18"/>
      <c r="F46" s="18"/>
      <c r="G46" s="18"/>
      <c r="H46" s="18"/>
      <c r="I46" s="18"/>
      <c r="J46" s="18"/>
      <c r="K46" s="18"/>
      <c r="L46" s="18"/>
      <c r="M46" s="18"/>
      <c r="N46" s="18"/>
      <c r="O46" s="18"/>
      <c r="P46" s="18"/>
      <c r="Q46" s="18"/>
    </row>
    <row r="47" spans="2:21" ht="14.5" x14ac:dyDescent="0.35">
      <c r="B47" s="213" t="s">
        <v>702</v>
      </c>
      <c r="C47" s="211">
        <f>--(VLOOKUP( 66, Lookup_BSa,5, 0) = VLOOKUP( 169, Lookup_BSp, 5, 0))</f>
        <v>1</v>
      </c>
      <c r="D47" s="211">
        <f>--(VLOOKUP( 66, Lookup_BSa, 6, 0) = VLOOKUP( 169, Lookup_BSp, 6, 0))</f>
        <v>1</v>
      </c>
      <c r="E47" s="209" t="s">
        <v>2883</v>
      </c>
      <c r="F47" s="18"/>
      <c r="G47" s="18"/>
      <c r="H47" s="18"/>
      <c r="I47" s="18"/>
      <c r="J47" s="18"/>
      <c r="K47" s="18"/>
      <c r="L47" s="18"/>
      <c r="O47" s="18"/>
      <c r="P47" s="18"/>
      <c r="Q47" s="18"/>
      <c r="S47" s="18"/>
      <c r="T47" s="18"/>
      <c r="U47" s="18"/>
    </row>
    <row r="48" spans="2:21" ht="14.5" x14ac:dyDescent="0.35">
      <c r="B48" s="213" t="s">
        <v>703</v>
      </c>
      <c r="C48" s="211">
        <f>--(VLOOKUP( 67, Lookup_BSa, 5, 0) = VLOOKUP( 170, Lookup_BSp, 5, 0))</f>
        <v>1</v>
      </c>
      <c r="D48" s="211">
        <f>--(VLOOKUP( 67, Lookup_BSa, 6, 0) = VLOOKUP( 170, Lookup_BSp, 6, 0))</f>
        <v>1</v>
      </c>
      <c r="E48" s="209" t="s">
        <v>2884</v>
      </c>
      <c r="F48" s="18"/>
      <c r="G48" s="18"/>
      <c r="H48" s="18"/>
      <c r="I48" s="18"/>
      <c r="J48" s="18"/>
      <c r="K48" s="18"/>
      <c r="L48" s="18"/>
      <c r="O48" s="18"/>
      <c r="P48" s="18"/>
      <c r="Q48" s="18"/>
      <c r="S48" s="18"/>
      <c r="T48" s="18"/>
      <c r="U48" s="18"/>
    </row>
    <row r="49" spans="1:21" ht="14.5" x14ac:dyDescent="0.35">
      <c r="B49" s="213" t="s">
        <v>704</v>
      </c>
      <c r="C49" s="211">
        <f>--(VLOOKUP( 316, Lookup_BUa,3, 0) = VLOOKUP( 126, Lookup_BSp, 5, 0))</f>
        <v>1</v>
      </c>
      <c r="D49" s="211" t="str">
        <f>IF(ID_Izvjestaj=4,--(VLOOKUP( 316, Lookup_BUa,4, 0) = VLOOKUP( 126, Lookup_BSp, 6, 0)),"")</f>
        <v/>
      </c>
      <c r="E49" s="209" t="s">
        <v>2885</v>
      </c>
      <c r="F49" s="18"/>
      <c r="G49" s="18"/>
      <c r="H49" s="18"/>
      <c r="I49" s="18"/>
      <c r="J49" s="18"/>
      <c r="K49" s="18"/>
      <c r="L49" s="18"/>
      <c r="O49" s="18"/>
      <c r="P49" s="18"/>
      <c r="Q49" s="18"/>
      <c r="S49" s="18"/>
      <c r="T49" s="18"/>
      <c r="U49" s="18"/>
    </row>
    <row r="50" spans="1:21" ht="14.5" x14ac:dyDescent="0.35">
      <c r="B50" s="213" t="s">
        <v>705</v>
      </c>
      <c r="C50" s="211">
        <f>--(VLOOKUP( 317, Lookup_BUa,3, 0) = VLOOKUP( 130, Lookup_BSp, 5, 0))</f>
        <v>1</v>
      </c>
      <c r="D50" s="211" t="str">
        <f>IF(ID_Izvjestaj=4,--(VLOOKUP( 317, Lookup_BUa,4, 0) = VLOOKUP( 130, Lookup_BSp, 6, 0)),"")</f>
        <v/>
      </c>
      <c r="E50" s="209" t="s">
        <v>2886</v>
      </c>
      <c r="F50" s="18"/>
      <c r="G50" s="18"/>
      <c r="H50" s="18"/>
      <c r="I50" s="18"/>
      <c r="J50" s="18"/>
      <c r="K50" s="18"/>
      <c r="L50" s="18"/>
      <c r="O50" s="18"/>
      <c r="P50" s="18"/>
      <c r="Q50" s="18"/>
      <c r="S50" s="18"/>
      <c r="T50" s="18"/>
      <c r="U50" s="18"/>
    </row>
    <row r="51" spans="1:21" ht="14.5" x14ac:dyDescent="0.35">
      <c r="B51" s="213" t="s">
        <v>706</v>
      </c>
      <c r="C51" s="211">
        <f>--(VLOOKUP( 568, Lookup_BTG, 3, 0) = VLOOKUP( 61, Lookup_BSa, 5, 0))</f>
        <v>1</v>
      </c>
      <c r="D51" s="211" t="str">
        <f>IF(ID_Izvjestaj=4,--(VLOOKUP( 568, Lookup_BTG, 4, 0) = VLOOKUP( 61, Lookup_BSa, 6, 0)),"")</f>
        <v/>
      </c>
      <c r="E51" s="209" t="s">
        <v>2887</v>
      </c>
      <c r="F51" s="18"/>
      <c r="G51" s="18"/>
      <c r="H51" s="18"/>
      <c r="I51" s="18"/>
      <c r="J51" s="18"/>
      <c r="K51" s="18"/>
      <c r="L51" s="18"/>
      <c r="O51" s="18"/>
      <c r="P51" s="18"/>
      <c r="Q51" s="18"/>
      <c r="S51" s="18"/>
      <c r="T51" s="18"/>
      <c r="U51" s="18"/>
    </row>
    <row r="52" spans="1:21" ht="14.5" x14ac:dyDescent="0.35">
      <c r="B52" s="213" t="s">
        <v>707</v>
      </c>
      <c r="C52" s="212"/>
      <c r="D52" s="211">
        <f>--( IF( VLOOKUP( 101, Lookup_BSp, 6, 0) &gt; 0, VLOOKUP( 913, Lookup_BPK,  9, 0) = VLOOKUP( 101, Lookup_BSp, 6, 0), TRUE))</f>
        <v>1</v>
      </c>
      <c r="E52" s="209" t="s">
        <v>2891</v>
      </c>
      <c r="F52" s="18"/>
      <c r="G52" s="18"/>
      <c r="H52" s="18"/>
      <c r="I52" s="18"/>
      <c r="J52" s="18"/>
      <c r="K52" s="18"/>
      <c r="L52" s="18"/>
      <c r="O52" s="18"/>
      <c r="P52" s="18"/>
      <c r="Q52" s="18"/>
      <c r="S52" s="18"/>
      <c r="T52" s="18"/>
      <c r="U52" s="18"/>
    </row>
    <row r="53" spans="1:21" ht="14.5" x14ac:dyDescent="0.35">
      <c r="B53" s="213" t="s">
        <v>708</v>
      </c>
      <c r="C53" s="211">
        <f>--( IF( VLOOKUP( 101, Lookup_BSp, 5, 0) &gt; 0, VLOOKUP( 925, Lookup_BPK, 9, 0) = VLOOKUP( 101, Lookup_BSp, 5, 0), TRUE))</f>
        <v>1</v>
      </c>
      <c r="D53" s="211"/>
      <c r="E53" s="209" t="s">
        <v>2892</v>
      </c>
      <c r="F53" s="18"/>
      <c r="G53" s="18"/>
      <c r="H53" s="18"/>
      <c r="I53" s="18"/>
      <c r="J53" s="18"/>
      <c r="K53" s="18"/>
      <c r="L53" s="18"/>
      <c r="O53" s="18"/>
      <c r="P53" s="18"/>
      <c r="Q53" s="18"/>
      <c r="S53" s="18"/>
      <c r="T53" s="18"/>
      <c r="U53" s="18"/>
    </row>
    <row r="54" spans="1:21" ht="14.5" x14ac:dyDescent="0.35">
      <c r="B54" s="143"/>
      <c r="C54" s="18"/>
      <c r="D54" s="18"/>
      <c r="E54" s="18"/>
      <c r="F54" s="18"/>
      <c r="G54" s="18"/>
      <c r="H54" s="18"/>
      <c r="I54" s="18"/>
      <c r="J54" s="18"/>
      <c r="K54" s="18"/>
      <c r="L54" s="18"/>
      <c r="O54" s="18"/>
      <c r="P54" s="18"/>
      <c r="Q54" s="18"/>
      <c r="S54" s="18"/>
      <c r="T54" s="18"/>
      <c r="U54" s="18"/>
    </row>
    <row r="55" spans="1:21" ht="14.5" x14ac:dyDescent="0.35">
      <c r="B55" s="144" t="s">
        <v>760</v>
      </c>
      <c r="E55" s="18"/>
      <c r="F55" s="18"/>
      <c r="G55" s="18"/>
      <c r="H55" s="18"/>
      <c r="I55" s="18"/>
      <c r="J55" s="18"/>
      <c r="K55" s="18"/>
      <c r="L55" s="18"/>
      <c r="O55" s="18"/>
      <c r="P55" s="18"/>
      <c r="Q55" s="18"/>
      <c r="S55" s="18"/>
      <c r="T55" s="18"/>
      <c r="U55" s="18"/>
    </row>
    <row r="56" spans="1:21" ht="14.5" x14ac:dyDescent="0.35">
      <c r="B56" s="143" t="s">
        <v>720</v>
      </c>
      <c r="E56" s="18"/>
      <c r="F56" s="18"/>
      <c r="G56" s="18"/>
      <c r="H56" s="18"/>
      <c r="I56" s="18"/>
      <c r="J56" s="18"/>
      <c r="K56" s="18"/>
      <c r="L56" s="18"/>
      <c r="O56" s="18"/>
      <c r="P56" s="18"/>
      <c r="Q56" s="18"/>
      <c r="S56" s="18"/>
      <c r="T56" s="18"/>
      <c r="U56" s="18"/>
    </row>
    <row r="57" spans="1:21" ht="14.5" x14ac:dyDescent="0.35">
      <c r="A57" s="8" t="s">
        <v>786</v>
      </c>
      <c r="B57" s="143"/>
      <c r="G57" s="18"/>
      <c r="H57" s="18"/>
      <c r="I57" s="18"/>
      <c r="J57" s="18"/>
      <c r="K57" s="18"/>
      <c r="L57" s="18"/>
      <c r="O57" s="18"/>
      <c r="P57" s="18"/>
      <c r="Q57" s="18"/>
      <c r="S57" s="18"/>
      <c r="T57" s="18"/>
      <c r="U57" s="18"/>
    </row>
    <row r="58" spans="1:21" x14ac:dyDescent="0.3">
      <c r="G58" s="18"/>
      <c r="H58" s="18"/>
      <c r="I58" s="18"/>
      <c r="J58" s="18"/>
      <c r="K58" s="18"/>
      <c r="L58" s="18"/>
      <c r="O58" s="18"/>
      <c r="P58" s="18"/>
      <c r="Q58" s="18"/>
      <c r="S58" s="18"/>
      <c r="T58" s="18"/>
      <c r="U58" s="18"/>
    </row>
    <row r="59" spans="1:21" ht="14.5" x14ac:dyDescent="0.35">
      <c r="B59" s="144" t="s">
        <v>2878</v>
      </c>
      <c r="C59" s="144"/>
      <c r="D59" s="144"/>
      <c r="E59" s="144"/>
      <c r="F59" s="144"/>
      <c r="G59" s="18"/>
      <c r="H59" s="18"/>
      <c r="I59" s="18"/>
      <c r="J59" s="18"/>
      <c r="K59" s="18"/>
      <c r="L59" s="18"/>
      <c r="M59" s="18"/>
      <c r="N59" s="18"/>
      <c r="O59" s="18"/>
      <c r="P59" s="18"/>
      <c r="Q59" s="18"/>
    </row>
    <row r="60" spans="1:21" x14ac:dyDescent="0.3">
      <c r="M60" s="18"/>
      <c r="N60" s="18"/>
      <c r="O60" s="18"/>
      <c r="P60" s="18"/>
      <c r="Q60" s="18"/>
    </row>
    <row r="61" spans="1:21" x14ac:dyDescent="0.3">
      <c r="M61" s="18"/>
      <c r="N61" s="18"/>
      <c r="O61" s="18"/>
      <c r="P61" s="18"/>
      <c r="Q61" s="18"/>
    </row>
    <row r="62" spans="1:21" x14ac:dyDescent="0.3">
      <c r="M62" s="18"/>
      <c r="N62" s="18"/>
      <c r="O62" s="18"/>
      <c r="P62" s="18"/>
    </row>
  </sheetData>
  <sheetProtection algorithmName="SHA-512" hashValue="wZJ+iTl1o1rs+PtESAp/tr4xcAnNok/6wfxjy3S868dL01KALeHGR3byShtmpNGBfLKGWQCAEpxSmyK2kbV0pw==" saltValue="KHfiDtOAeld9DtrGwv7FYg==" spinCount="100000" sheet="1" selectLockedCells="1" selectUnlockedCells="1"/>
  <mergeCells count="1">
    <mergeCell ref="B5:U5"/>
  </mergeCells>
  <phoneticPr fontId="2" type="noConversion"/>
  <conditionalFormatting sqref="C47:D53">
    <cfRule type="expression" dxfId="204" priority="1" stopIfTrue="1">
      <formula>C47=0</formula>
    </cfRule>
  </conditionalFormatting>
  <pageMargins left="0.39370078740157483" right="0.39370078740157483" top="0.39370078740157483" bottom="0.39370078740157483" header="0.51181102362204722" footer="0.51181102362204722"/>
  <pageSetup paperSize="9" scale="59"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987" r:id="rId4" name="Navigacija">
              <controlPr defaultSize="0" print="0" autoFill="0" autoPict="0">
                <anchor moveWithCells="1" sizeWithCells="1">
                  <from>
                    <xdr:col>1</xdr:col>
                    <xdr:colOff>0</xdr:colOff>
                    <xdr:row>0</xdr:row>
                    <xdr:rowOff>50800</xdr:rowOff>
                  </from>
                  <to>
                    <xdr:col>18</xdr:col>
                    <xdr:colOff>127000</xdr:colOff>
                    <xdr:row>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05">
    <tabColor rgb="FFB2B2B2"/>
  </sheetPr>
  <dimension ref="B1:S65"/>
  <sheetViews>
    <sheetView showGridLines="0" showRowColHeaders="0" zoomScaleNormal="100" zoomScaleSheetLayoutView="100" workbookViewId="0">
      <pane ySplit="4" topLeftCell="A5" activePane="bottomLeft" state="frozen"/>
      <selection activeCell="K31" sqref="K31"/>
      <selection pane="bottomLeft" activeCell="K47" sqref="K47"/>
    </sheetView>
  </sheetViews>
  <sheetFormatPr defaultColWidth="0" defaultRowHeight="13" zeroHeight="1" x14ac:dyDescent="0.3"/>
  <cols>
    <col min="1" max="1" width="5.296875" style="8" customWidth="1"/>
    <col min="2" max="2" width="11.296875" style="8" hidden="1" customWidth="1"/>
    <col min="3" max="3" width="3.296875" style="8" customWidth="1"/>
    <col min="4" max="4" width="19.69921875" style="8" customWidth="1"/>
    <col min="5" max="6" width="28.8984375" style="8" customWidth="1"/>
    <col min="7" max="7" width="7.09765625" style="8" customWidth="1"/>
    <col min="8" max="14" width="15.8984375" style="8" customWidth="1"/>
    <col min="15" max="15" width="15.69921875" style="8" customWidth="1"/>
    <col min="16" max="17" width="14.3984375" style="8" customWidth="1"/>
    <col min="18" max="18" width="5.69921875" style="8" customWidth="1"/>
    <col min="19" max="19" width="9.09765625" style="8" hidden="1" customWidth="1"/>
    <col min="20" max="16384" width="0" style="8" hidden="1"/>
  </cols>
  <sheetData>
    <row r="1" spans="3:17" x14ac:dyDescent="0.3">
      <c r="C1" s="18"/>
      <c r="D1" s="18"/>
      <c r="E1" s="18"/>
      <c r="F1" s="18"/>
      <c r="G1" s="18"/>
      <c r="H1" s="18"/>
      <c r="I1" s="18"/>
      <c r="J1" s="18"/>
      <c r="K1" s="18"/>
      <c r="L1" s="18"/>
      <c r="M1" s="18"/>
      <c r="N1" s="18"/>
      <c r="O1" s="18"/>
      <c r="P1" s="18"/>
      <c r="Q1" s="18"/>
    </row>
    <row r="2" spans="3:17" x14ac:dyDescent="0.3">
      <c r="C2" s="18"/>
      <c r="D2" s="18"/>
      <c r="E2" s="18"/>
      <c r="F2" s="18"/>
      <c r="G2" s="18"/>
      <c r="H2" s="18"/>
      <c r="I2" s="18"/>
      <c r="J2" s="18"/>
      <c r="K2" s="18"/>
      <c r="L2" s="18"/>
      <c r="M2" s="18"/>
      <c r="N2" s="18"/>
      <c r="O2" s="18"/>
      <c r="P2" s="18"/>
      <c r="Q2" s="18"/>
    </row>
    <row r="3" spans="3:17" x14ac:dyDescent="0.3">
      <c r="C3" s="18"/>
      <c r="D3" s="18"/>
      <c r="E3" s="18"/>
      <c r="F3" s="18"/>
      <c r="G3" s="18"/>
      <c r="H3" s="18"/>
      <c r="I3" s="18"/>
      <c r="J3" s="18"/>
      <c r="K3" s="18"/>
      <c r="L3" s="18"/>
      <c r="M3" s="18"/>
      <c r="N3" s="18"/>
      <c r="O3" s="18"/>
      <c r="P3" s="18"/>
      <c r="Q3" s="18"/>
    </row>
    <row r="4" spans="3:17" x14ac:dyDescent="0.3">
      <c r="C4" s="18"/>
      <c r="D4" s="18"/>
      <c r="E4" s="18"/>
      <c r="F4" s="18"/>
      <c r="G4" s="18"/>
      <c r="H4" s="18"/>
      <c r="I4" s="18"/>
      <c r="J4" s="18"/>
      <c r="K4" s="18"/>
      <c r="L4" s="18"/>
      <c r="M4" s="18"/>
      <c r="N4" s="18"/>
      <c r="O4" s="18"/>
      <c r="P4" s="18"/>
      <c r="Q4" s="18"/>
    </row>
    <row r="5" spans="3:17" x14ac:dyDescent="0.3">
      <c r="D5" s="637" t="str">
        <f>Zaglavlje_Naziv_preduzeca</f>
        <v xml:space="preserve">Naziv privrednog društva, zadruge, drugog pravnog lica ili preduzetnika: </v>
      </c>
      <c r="E5" s="637"/>
      <c r="F5" s="637"/>
      <c r="O5" s="15" t="s">
        <v>786</v>
      </c>
      <c r="P5" s="661" t="str">
        <f>Podatak_MB</f>
        <v>01040103</v>
      </c>
      <c r="Q5" s="661"/>
    </row>
    <row r="6" spans="3:17" x14ac:dyDescent="0.3">
      <c r="D6" s="637"/>
      <c r="E6" s="637"/>
      <c r="F6" s="637"/>
      <c r="Q6" s="243" t="str">
        <f>Zaglavlje_MB</f>
        <v>Matični broj</v>
      </c>
    </row>
    <row r="7" spans="3:17" ht="15.25" customHeight="1" x14ac:dyDescent="0.3">
      <c r="D7" s="657" t="str">
        <f>Podatak_Naziv_preduzeca</f>
        <v>Čistoća AD Banja Luka</v>
      </c>
      <c r="E7" s="657"/>
      <c r="F7" s="657"/>
      <c r="P7" s="661" t="str">
        <f>Podatak_Sifra_djelatnosti</f>
        <v>38.11</v>
      </c>
      <c r="Q7" s="661"/>
    </row>
    <row r="8" spans="3:17" x14ac:dyDescent="0.3">
      <c r="D8" s="125" t="str">
        <f>Zaglavlje_Sjediste</f>
        <v>Sjedište:</v>
      </c>
      <c r="E8" s="614" t="str">
        <f>Podatak_Sjediste</f>
        <v>Braće Podgornika 2 Banja Luka</v>
      </c>
      <c r="F8" s="614"/>
      <c r="Q8" s="243" t="str">
        <f>Zaglavlje_Sifra_djelatnosti</f>
        <v>Šifra djelatnosti</v>
      </c>
    </row>
    <row r="9" spans="3:17" x14ac:dyDescent="0.3">
      <c r="D9" s="656" t="str">
        <f>Zaglavlje_Ziro_racun</f>
        <v>Račun kod ovlašćene organizacije za platni promet:</v>
      </c>
      <c r="E9" s="656"/>
      <c r="F9" s="656"/>
      <c r="H9" s="14"/>
      <c r="Q9" s="392" t="str">
        <f>Podatak_JIB</f>
        <v>4400849160004</v>
      </c>
    </row>
    <row r="10" spans="3:17" x14ac:dyDescent="0.3">
      <c r="D10" s="660" t="str">
        <f>Podatak_Ziro_racun_1</f>
        <v>555-007-00011375-82</v>
      </c>
      <c r="E10" s="660"/>
      <c r="F10" s="660"/>
      <c r="Q10" s="243" t="str">
        <f>Zaglavlje_JIB</f>
        <v>JIB</v>
      </c>
    </row>
    <row r="11" spans="3:17" x14ac:dyDescent="0.3">
      <c r="C11" s="257"/>
      <c r="D11" s="660" t="str">
        <f>Podatak_Ziro_racun_2</f>
        <v>194-106-28988001-34</v>
      </c>
      <c r="E11" s="660"/>
      <c r="F11" s="660"/>
      <c r="H11" s="14"/>
    </row>
    <row r="12" spans="3:17" x14ac:dyDescent="0.3">
      <c r="C12" s="257"/>
      <c r="D12" s="722" t="str">
        <f>Podatak_Ziro_racun_3</f>
        <v>562-100-80000948-45</v>
      </c>
      <c r="E12" s="722"/>
      <c r="F12" s="722"/>
    </row>
    <row r="13" spans="3:17" x14ac:dyDescent="0.3">
      <c r="C13" s="257"/>
      <c r="D13" s="722" t="str">
        <f>Podatak_Ziro_racun_4</f>
        <v>551-790-22198545-77</v>
      </c>
      <c r="E13" s="722"/>
      <c r="F13" s="722"/>
      <c r="H13" s="18"/>
      <c r="I13" s="18"/>
      <c r="J13" s="18"/>
      <c r="K13" s="19"/>
      <c r="L13" s="19"/>
      <c r="M13" s="19"/>
      <c r="N13" s="19"/>
      <c r="O13" s="18"/>
      <c r="P13"/>
      <c r="Q13"/>
    </row>
    <row r="14" spans="3:17" ht="15.5" x14ac:dyDescent="0.3">
      <c r="C14" s="257"/>
      <c r="D14" s="615" t="str">
        <f>IF( Id_Konsolidovani, Nazivi_bilansa_Konsolidovani_naziv &amp; LOWER( Nazivi_bilansa_BPK), Nazivi_bilansa_BPK)</f>
        <v>IZVJEŠTAJ O PROMJENAMA NA KAPITALU</v>
      </c>
      <c r="E14" s="615"/>
      <c r="F14" s="615"/>
      <c r="G14" s="615"/>
      <c r="H14" s="615"/>
      <c r="I14" s="615"/>
      <c r="J14" s="615"/>
      <c r="K14" s="615"/>
      <c r="L14" s="615"/>
      <c r="M14" s="615"/>
      <c r="N14" s="615"/>
      <c r="O14" s="615"/>
      <c r="P14" s="615"/>
      <c r="Q14" s="615"/>
    </row>
    <row r="15" spans="3:17" x14ac:dyDescent="0.3">
      <c r="C15" s="257"/>
      <c r="D15" s="653" t="str">
        <f>Datumi_Datum_BPK</f>
        <v>za period koji se završava na dan 30.06.2026. godine</v>
      </c>
      <c r="E15" s="653"/>
      <c r="F15" s="653"/>
      <c r="G15" s="653"/>
      <c r="H15" s="653"/>
      <c r="I15" s="653"/>
      <c r="J15" s="653"/>
      <c r="K15" s="653"/>
      <c r="L15" s="653"/>
      <c r="M15" s="653"/>
      <c r="N15" s="653"/>
      <c r="O15" s="653"/>
      <c r="P15" s="653"/>
      <c r="Q15" s="653"/>
    </row>
    <row r="16" spans="3:17" x14ac:dyDescent="0.3">
      <c r="C16" s="257"/>
      <c r="D16" s="473"/>
      <c r="E16" s="473"/>
      <c r="F16" s="473"/>
      <c r="G16" s="473"/>
      <c r="H16" s="473"/>
      <c r="I16" s="473"/>
      <c r="J16" s="473"/>
      <c r="K16" s="473"/>
      <c r="L16" s="473"/>
      <c r="M16" s="473"/>
      <c r="N16" s="473"/>
      <c r="O16" s="473"/>
      <c r="P16" s="473"/>
      <c r="Q16" s="474" t="str">
        <f>Tabele_zaglavlje_Valuta</f>
        <v>- u konvertibilnim markama -</v>
      </c>
    </row>
    <row r="17" spans="2:19" x14ac:dyDescent="0.3">
      <c r="C17" s="257"/>
      <c r="D17" s="797" t="str">
        <f>Tabele_zaglavlje_BPK1</f>
        <v>VRSTA PROMJENE NA KAPITALU</v>
      </c>
      <c r="E17" s="798"/>
      <c r="F17" s="799"/>
      <c r="G17" s="789" t="str">
        <f>Tabele_zaglavlje_Oznaka_aop</f>
        <v>Oznaka za AOP</v>
      </c>
      <c r="H17" s="790" t="str">
        <f>Tabele_zaglavlje_BPK0</f>
        <v>KAPITAL KOJI PRIPADA VLASNICIMA MATIČNOG DRUŠTVA</v>
      </c>
      <c r="I17" s="791"/>
      <c r="J17" s="791"/>
      <c r="K17" s="791"/>
      <c r="L17" s="791"/>
      <c r="M17" s="791"/>
      <c r="N17" s="791"/>
      <c r="O17" s="792"/>
      <c r="P17" s="793" t="str">
        <f>Tabele_zaglavlje_BPK11</f>
        <v>UDJELI KOJI NEMAJU KONTROLU (MANJINSKI INTERESI)</v>
      </c>
      <c r="Q17" s="795" t="str" cm="1">
        <f t="array" ref="Q17">Tabele_zaglavlje_BPK12</f>
        <v>UKUPNI KAPITAL
(10+11)</v>
      </c>
    </row>
    <row r="18" spans="2:19" ht="106.5" customHeight="1" x14ac:dyDescent="0.3">
      <c r="C18" s="257"/>
      <c r="D18" s="800"/>
      <c r="E18" s="801"/>
      <c r="F18" s="675"/>
      <c r="G18" s="655"/>
      <c r="H18" s="488" t="str">
        <f>Tabele_zaglavlje_BPK3</f>
        <v>Akcijski kapital - 
vlasnički udjeli</v>
      </c>
      <c r="I18" s="488" t="str">
        <f>Tabele_zaglavlje_BPK4</f>
        <v>Emisiona premija</v>
      </c>
      <c r="J18" s="488" t="str">
        <f>Tabele_zaglavlje_BPK5</f>
        <v>Rezerve</v>
      </c>
      <c r="K18" s="488" t="str">
        <f>Tabele_zaglavlje_BPK6</f>
        <v>Revalorizacione 
rezerve za 
nekretnine, 
postrojenja i opremu</v>
      </c>
      <c r="L18" s="488" t="str">
        <f>Tabele_zaglavlje_BPK7</f>
        <v>Revalorizacione rezerve za finansijska sredstva vrednovana po fer vrijednosti kroz ostali ukupni rezultat</v>
      </c>
      <c r="M18" s="488" t="str">
        <f>Tabele_zaglavlje_BPK8</f>
        <v>Ostale revalorizacione rezerve</v>
      </c>
      <c r="N18" s="488" t="str">
        <f>Tabele_zaglavlje_BPK9</f>
        <v>Akumulirana neraspoređena dobit/(nepokriveni gubitak)</v>
      </c>
      <c r="O18" s="488" t="str">
        <f>Tabele_zaglavlje_BPK10</f>
        <v>Ukupno 
(3+4+5+6±7± 8 ± 9)</v>
      </c>
      <c r="P18" s="794"/>
      <c r="Q18" s="796"/>
      <c r="S18" s="134" t="s">
        <v>490</v>
      </c>
    </row>
    <row r="19" spans="2:19" x14ac:dyDescent="0.3">
      <c r="B19" s="44" t="s">
        <v>123</v>
      </c>
      <c r="C19" s="257"/>
      <c r="D19" s="786">
        <v>1</v>
      </c>
      <c r="E19" s="787"/>
      <c r="F19" s="788"/>
      <c r="G19" s="25">
        <v>2</v>
      </c>
      <c r="H19" s="25">
        <v>3</v>
      </c>
      <c r="I19" s="25">
        <v>4</v>
      </c>
      <c r="J19" s="25">
        <v>5</v>
      </c>
      <c r="K19" s="25">
        <v>6</v>
      </c>
      <c r="L19" s="25">
        <v>7</v>
      </c>
      <c r="M19" s="25">
        <v>8</v>
      </c>
      <c r="N19" s="25">
        <v>9</v>
      </c>
      <c r="O19" s="25">
        <v>10</v>
      </c>
      <c r="P19" s="25">
        <v>11</v>
      </c>
      <c r="Q19" s="475">
        <v>12</v>
      </c>
    </row>
    <row r="20" spans="2:19" ht="7.5" customHeight="1" x14ac:dyDescent="0.3">
      <c r="B20" s="47">
        <v>419</v>
      </c>
      <c r="C20" s="257"/>
      <c r="D20" s="775" t="str">
        <f>VLOOKUP($B20,Aop!$A$2:$M$453,6,1)</f>
        <v/>
      </c>
      <c r="E20" s="776"/>
      <c r="F20" s="777"/>
      <c r="G20" s="185">
        <f>VLOOKUP($B20,Aop!$A$2:$M$453,4,1)</f>
        <v>0</v>
      </c>
      <c r="H20" s="64"/>
      <c r="I20" s="64"/>
      <c r="J20" s="64"/>
      <c r="K20" s="64"/>
      <c r="L20" s="64"/>
      <c r="M20" s="64"/>
      <c r="N20" s="64"/>
      <c r="O20" s="64"/>
      <c r="P20" s="64"/>
      <c r="Q20" s="467"/>
    </row>
    <row r="21" spans="2:19" ht="12.75" customHeight="1" x14ac:dyDescent="0.3">
      <c r="B21" s="47">
        <v>420</v>
      </c>
      <c r="C21" s="257"/>
      <c r="D21" s="780" t="str">
        <f>VLOOKUP($B21,Aop!$A$2:$M$453,6,1)</f>
        <v>1. Stanje na dan 01.01.2025. god.</v>
      </c>
      <c r="E21" s="781"/>
      <c r="F21" s="782"/>
      <c r="G21" s="178">
        <f>VLOOKUP($B21,Aop!$A$2:$M$453,4,1)</f>
        <v>901</v>
      </c>
      <c r="H21" s="81">
        <v>9603944</v>
      </c>
      <c r="I21" s="81"/>
      <c r="J21" s="81">
        <v>267513</v>
      </c>
      <c r="K21" s="81">
        <v>6160233</v>
      </c>
      <c r="L21" s="81"/>
      <c r="M21" s="81"/>
      <c r="N21" s="81">
        <v>4801420</v>
      </c>
      <c r="O21" s="60">
        <f t="shared" ref="O21:O51" si="0">SUM(H21:N21)</f>
        <v>20833110</v>
      </c>
      <c r="P21" s="81"/>
      <c r="Q21" s="468">
        <f t="shared" ref="Q21:Q51" si="1">SUM(O21:P21)</f>
        <v>20833110</v>
      </c>
    </row>
    <row r="22" spans="2:19" ht="7.5" customHeight="1" x14ac:dyDescent="0.3">
      <c r="B22" s="47">
        <v>421</v>
      </c>
      <c r="C22" s="257"/>
      <c r="D22" s="772" t="str">
        <f>VLOOKUP($B22,Aop!$A$2:$M$453,6,1)</f>
        <v/>
      </c>
      <c r="E22" s="773"/>
      <c r="F22" s="774"/>
      <c r="G22" s="75">
        <f>VLOOKUP($B22,Aop!$A$2:$M$453,4,1)</f>
        <v>0</v>
      </c>
      <c r="H22" s="64"/>
      <c r="I22" s="64"/>
      <c r="J22" s="64"/>
      <c r="K22" s="64"/>
      <c r="L22" s="64"/>
      <c r="M22" s="64"/>
      <c r="N22" s="64"/>
      <c r="O22" s="64"/>
      <c r="P22" s="64"/>
      <c r="Q22" s="467"/>
    </row>
    <row r="23" spans="2:19" ht="15.25" customHeight="1" x14ac:dyDescent="0.3">
      <c r="B23" s="47">
        <v>422</v>
      </c>
      <c r="C23" s="257"/>
      <c r="D23" s="783" t="str">
        <f>VLOOKUP($B23,Aop!$A$2:$M$453,6,1)</f>
        <v xml:space="preserve">    2. Efekti promjena u računovodstvenim politikama </v>
      </c>
      <c r="E23" s="784"/>
      <c r="F23" s="785"/>
      <c r="G23" s="59">
        <f>VLOOKUP($B23,Aop!$A$2:$M$453,4,1)</f>
        <v>902</v>
      </c>
      <c r="H23" s="155"/>
      <c r="I23" s="155"/>
      <c r="J23" s="155"/>
      <c r="K23" s="155"/>
      <c r="L23" s="155"/>
      <c r="M23" s="155"/>
      <c r="N23" s="155"/>
      <c r="O23" s="153">
        <f t="shared" si="0"/>
        <v>0</v>
      </c>
      <c r="P23" s="155"/>
      <c r="Q23" s="468">
        <f t="shared" si="1"/>
        <v>0</v>
      </c>
    </row>
    <row r="24" spans="2:19" ht="15.25" customHeight="1" x14ac:dyDescent="0.3">
      <c r="B24" s="47">
        <v>423</v>
      </c>
      <c r="C24" s="257"/>
      <c r="D24" s="772" t="str">
        <f>VLOOKUP($B24,Aop!$A$2:$M$453,6,1)</f>
        <v xml:space="preserve">    3. Efekti ispravki grešaka</v>
      </c>
      <c r="E24" s="773"/>
      <c r="F24" s="774"/>
      <c r="G24" s="75">
        <f>VLOOKUP($B24,Aop!$A$2:$M$453,4,1)</f>
        <v>903</v>
      </c>
      <c r="H24" s="157"/>
      <c r="I24" s="157"/>
      <c r="J24" s="157"/>
      <c r="K24" s="157"/>
      <c r="L24" s="157"/>
      <c r="M24" s="157"/>
      <c r="N24" s="157"/>
      <c r="O24" s="154">
        <f t="shared" si="0"/>
        <v>0</v>
      </c>
      <c r="P24" s="157"/>
      <c r="Q24" s="469">
        <f t="shared" si="1"/>
        <v>0</v>
      </c>
    </row>
    <row r="25" spans="2:19" ht="23.65" customHeight="1" x14ac:dyDescent="0.3">
      <c r="B25" s="47">
        <v>424</v>
      </c>
      <c r="C25" s="257"/>
      <c r="D25" s="780" t="str">
        <f>VLOOKUP($B25,Aop!$A$2:$M$453,6,1)</f>
        <v xml:space="preserve">  4. Ponovo iskazano stanje na dan 01.01.2025. god. (901 ± 902 ± 903)</v>
      </c>
      <c r="E25" s="781"/>
      <c r="F25" s="782"/>
      <c r="G25" s="178">
        <f>VLOOKUP($B25,Aop!$A$2:$M$453,4,1)</f>
        <v>904</v>
      </c>
      <c r="H25" s="60">
        <f>SUM(H21:H24)</f>
        <v>9603944</v>
      </c>
      <c r="I25" s="60">
        <f t="shared" ref="I25:P25" si="2">SUM(I21:I24)</f>
        <v>0</v>
      </c>
      <c r="J25" s="60">
        <f t="shared" si="2"/>
        <v>267513</v>
      </c>
      <c r="K25" s="60">
        <f t="shared" si="2"/>
        <v>6160233</v>
      </c>
      <c r="L25" s="60">
        <f t="shared" si="2"/>
        <v>0</v>
      </c>
      <c r="M25" s="60">
        <f t="shared" si="2"/>
        <v>0</v>
      </c>
      <c r="N25" s="60">
        <f t="shared" si="2"/>
        <v>4801420</v>
      </c>
      <c r="O25" s="60">
        <f>SUM(H25:N25)</f>
        <v>20833110</v>
      </c>
      <c r="P25" s="60">
        <f t="shared" si="2"/>
        <v>0</v>
      </c>
      <c r="Q25" s="468">
        <f t="shared" si="1"/>
        <v>20833110</v>
      </c>
      <c r="S25" s="133" t="s">
        <v>313</v>
      </c>
    </row>
    <row r="26" spans="2:19" ht="8.25" customHeight="1" x14ac:dyDescent="0.3">
      <c r="B26" s="47">
        <v>425</v>
      </c>
      <c r="C26" s="257"/>
      <c r="D26" s="772" t="str">
        <f>VLOOKUP($B26,Aop!$A$2:$M$453,6,1)</f>
        <v/>
      </c>
      <c r="E26" s="773"/>
      <c r="F26" s="774"/>
      <c r="G26" s="75">
        <f>VLOOKUP($B26,Aop!$A$2:$M$453,4,1)</f>
        <v>0</v>
      </c>
      <c r="H26" s="64"/>
      <c r="I26" s="64"/>
      <c r="J26" s="64"/>
      <c r="K26" s="64"/>
      <c r="L26" s="64"/>
      <c r="M26" s="64"/>
      <c r="N26" s="64"/>
      <c r="O26" s="64"/>
      <c r="P26" s="64"/>
      <c r="Q26" s="467"/>
      <c r="S26" s="133" t="s">
        <v>313</v>
      </c>
    </row>
    <row r="27" spans="2:19" ht="15.25" customHeight="1" x14ac:dyDescent="0.3">
      <c r="B27" s="47">
        <v>426</v>
      </c>
      <c r="C27" s="257"/>
      <c r="D27" s="783" t="str">
        <f>VLOOKUP($B27,Aop!$A$2:$M$453,6,1)</f>
        <v xml:space="preserve">    5. Dobit/(gubitak) za godinu</v>
      </c>
      <c r="E27" s="784"/>
      <c r="F27" s="785"/>
      <c r="G27" s="59">
        <f>VLOOKUP($B27,Aop!$A$2:$M$453,4,1)</f>
        <v>905</v>
      </c>
      <c r="H27" s="155"/>
      <c r="I27" s="155"/>
      <c r="J27" s="155"/>
      <c r="K27" s="155"/>
      <c r="L27" s="155"/>
      <c r="M27" s="155"/>
      <c r="N27" s="155">
        <v>17497</v>
      </c>
      <c r="O27" s="153">
        <f t="shared" si="0"/>
        <v>17497</v>
      </c>
      <c r="P27" s="155"/>
      <c r="Q27" s="470">
        <f t="shared" si="1"/>
        <v>17497</v>
      </c>
    </row>
    <row r="28" spans="2:19" ht="15.25" customHeight="1" x14ac:dyDescent="0.3">
      <c r="B28" s="47">
        <v>427</v>
      </c>
      <c r="C28" s="257"/>
      <c r="D28" s="772" t="str">
        <f>VLOOKUP($B28,Aop!$A$2:$M$453,6,1)</f>
        <v xml:space="preserve">    6. Ostali ukupni rezultat za godinu</v>
      </c>
      <c r="E28" s="773"/>
      <c r="F28" s="774"/>
      <c r="G28" s="75">
        <f>VLOOKUP($B28,Aop!$A$2:$M$453,4,1)</f>
        <v>906</v>
      </c>
      <c r="H28" s="157"/>
      <c r="I28" s="157"/>
      <c r="J28" s="157"/>
      <c r="K28" s="157">
        <v>-13315</v>
      </c>
      <c r="L28" s="157"/>
      <c r="M28" s="157"/>
      <c r="N28" s="157"/>
      <c r="O28" s="154">
        <f t="shared" si="0"/>
        <v>-13315</v>
      </c>
      <c r="P28" s="157"/>
      <c r="Q28" s="469">
        <f t="shared" si="1"/>
        <v>-13315</v>
      </c>
    </row>
    <row r="29" spans="2:19" ht="15.25" customHeight="1" x14ac:dyDescent="0.3">
      <c r="B29" s="47">
        <v>428</v>
      </c>
      <c r="C29" s="257"/>
      <c r="D29" s="780" t="str">
        <f>VLOOKUP($B29,Aop!$A$2:$M$453,6,1)</f>
        <v xml:space="preserve">  7. Ukupna dobit/(gubitak) (± 905 ± 906)</v>
      </c>
      <c r="E29" s="781"/>
      <c r="F29" s="782"/>
      <c r="G29" s="178">
        <f>VLOOKUP($B29,Aop!$A$2:$M$453,4,1)</f>
        <v>907</v>
      </c>
      <c r="H29" s="60">
        <f>SUM(H27:H28)</f>
        <v>0</v>
      </c>
      <c r="I29" s="60">
        <f t="shared" ref="I29:Q29" si="3">SUM(I27:I28)</f>
        <v>0</v>
      </c>
      <c r="J29" s="60">
        <f t="shared" si="3"/>
        <v>0</v>
      </c>
      <c r="K29" s="60">
        <f t="shared" si="3"/>
        <v>-13315</v>
      </c>
      <c r="L29" s="60">
        <f t="shared" si="3"/>
        <v>0</v>
      </c>
      <c r="M29" s="60">
        <f t="shared" si="3"/>
        <v>0</v>
      </c>
      <c r="N29" s="60">
        <f t="shared" si="3"/>
        <v>17497</v>
      </c>
      <c r="O29" s="60">
        <f t="shared" si="3"/>
        <v>4182</v>
      </c>
      <c r="P29" s="60">
        <f t="shared" si="3"/>
        <v>0</v>
      </c>
      <c r="Q29" s="468">
        <f t="shared" si="3"/>
        <v>4182</v>
      </c>
    </row>
    <row r="30" spans="2:19" ht="6.75" customHeight="1" x14ac:dyDescent="0.3">
      <c r="B30" s="47">
        <v>429</v>
      </c>
      <c r="C30" s="257"/>
      <c r="D30" s="772" t="str">
        <f>VLOOKUP($B30,Aop!$A$2:$M$453,6,1)</f>
        <v/>
      </c>
      <c r="E30" s="773"/>
      <c r="F30" s="774"/>
      <c r="G30" s="75">
        <f>VLOOKUP($B30,Aop!$A$2:$M$453,4,1)</f>
        <v>0</v>
      </c>
      <c r="H30" s="64"/>
      <c r="I30" s="64"/>
      <c r="J30" s="64"/>
      <c r="K30" s="64"/>
      <c r="L30" s="64"/>
      <c r="M30" s="64"/>
      <c r="N30" s="64"/>
      <c r="O30" s="64"/>
      <c r="P30" s="64"/>
      <c r="Q30" s="467"/>
    </row>
    <row r="31" spans="2:19" ht="15.25" customHeight="1" x14ac:dyDescent="0.3">
      <c r="B31" s="47">
        <v>430</v>
      </c>
      <c r="C31" s="257"/>
      <c r="D31" s="783" t="str">
        <f>VLOOKUP($B31,Aop!$A$2:$M$453,6,1)</f>
        <v xml:space="preserve">    8. Emisija akcijskog kapitala i drugi oblici povećanja kapitala</v>
      </c>
      <c r="E31" s="784"/>
      <c r="F31" s="785"/>
      <c r="G31" s="59">
        <f>VLOOKUP($B31,Aop!$A$2:$M$453,4,1)</f>
        <v>908</v>
      </c>
      <c r="H31" s="155"/>
      <c r="I31" s="155"/>
      <c r="J31" s="155"/>
      <c r="K31" s="155"/>
      <c r="L31" s="155"/>
      <c r="M31" s="155"/>
      <c r="N31" s="155"/>
      <c r="O31" s="60">
        <f t="shared" si="0"/>
        <v>0</v>
      </c>
      <c r="P31" s="155"/>
      <c r="Q31" s="468">
        <f t="shared" si="1"/>
        <v>0</v>
      </c>
      <c r="S31" s="133" t="s">
        <v>313</v>
      </c>
    </row>
    <row r="32" spans="2:19" ht="15.25" customHeight="1" x14ac:dyDescent="0.3">
      <c r="B32" s="47">
        <v>431</v>
      </c>
      <c r="C32" s="257"/>
      <c r="D32" s="772" t="str">
        <f>VLOOKUP($B32,Aop!$A$2:$M$453,6,1)</f>
        <v xml:space="preserve">    9. Sticanje sopstvenih akcija i drugi oblici smanjenja kapitala</v>
      </c>
      <c r="E32" s="773"/>
      <c r="F32" s="774"/>
      <c r="G32" s="75">
        <f>VLOOKUP($B32,Aop!$A$2:$M$453,4,1)</f>
        <v>909</v>
      </c>
      <c r="H32" s="157"/>
      <c r="I32" s="157"/>
      <c r="J32" s="157"/>
      <c r="K32" s="157"/>
      <c r="L32" s="157"/>
      <c r="M32" s="157"/>
      <c r="N32" s="157"/>
      <c r="O32" s="154">
        <f t="shared" si="0"/>
        <v>0</v>
      </c>
      <c r="P32" s="157"/>
      <c r="Q32" s="469">
        <f t="shared" si="1"/>
        <v>0</v>
      </c>
    </row>
    <row r="33" spans="2:19" ht="15.25" customHeight="1" x14ac:dyDescent="0.3">
      <c r="B33" s="47">
        <v>432</v>
      </c>
      <c r="C33" s="257"/>
      <c r="D33" s="783" t="str">
        <f>VLOOKUP($B33,Aop!$A$2:$M$453,6,1)</f>
        <v xml:space="preserve">    10. Objavljene dividende </v>
      </c>
      <c r="E33" s="784"/>
      <c r="F33" s="785"/>
      <c r="G33" s="59">
        <f>VLOOKUP($B33,Aop!$A$2:$M$453,4,1)</f>
        <v>910</v>
      </c>
      <c r="H33" s="155"/>
      <c r="I33" s="155"/>
      <c r="J33" s="155"/>
      <c r="K33" s="155"/>
      <c r="L33" s="155"/>
      <c r="M33" s="155"/>
      <c r="N33" s="155"/>
      <c r="O33" s="153">
        <f t="shared" si="0"/>
        <v>0</v>
      </c>
      <c r="P33" s="155"/>
      <c r="Q33" s="470">
        <f t="shared" si="1"/>
        <v>0</v>
      </c>
    </row>
    <row r="34" spans="2:19" ht="15.25" customHeight="1" x14ac:dyDescent="0.3">
      <c r="B34" s="47">
        <v>433</v>
      </c>
      <c r="C34" s="257"/>
      <c r="D34" s="772" t="str">
        <f>VLOOKUP($B34,Aop!$A$2:$M$453,6,1)</f>
        <v xml:space="preserve">    11. Drugi oblici raspodjele dobiti i pokriće gubitka</v>
      </c>
      <c r="E34" s="773"/>
      <c r="F34" s="774"/>
      <c r="G34" s="75">
        <f>VLOOKUP($B34,Aop!$A$2:$M$453,4,1)</f>
        <v>911</v>
      </c>
      <c r="H34" s="157"/>
      <c r="I34" s="157"/>
      <c r="J34" s="157">
        <v>6453</v>
      </c>
      <c r="K34" s="157"/>
      <c r="L34" s="157"/>
      <c r="M34" s="157"/>
      <c r="N34" s="157"/>
      <c r="O34" s="64">
        <f t="shared" si="0"/>
        <v>6453</v>
      </c>
      <c r="P34" s="157"/>
      <c r="Q34" s="467">
        <f t="shared" si="1"/>
        <v>6453</v>
      </c>
    </row>
    <row r="35" spans="2:19" ht="15.25" customHeight="1" x14ac:dyDescent="0.3">
      <c r="B35" s="47">
        <v>434</v>
      </c>
      <c r="C35" s="257"/>
      <c r="D35" s="783" t="str">
        <f>VLOOKUP($B35,Aop!$A$2:$M$453,6,1)</f>
        <v xml:space="preserve">    12. Ostale promjene</v>
      </c>
      <c r="E35" s="784"/>
      <c r="F35" s="785"/>
      <c r="G35" s="59">
        <f>VLOOKUP($B35,Aop!$A$2:$M$453,4,1)</f>
        <v>912</v>
      </c>
      <c r="H35" s="155"/>
      <c r="I35" s="155"/>
      <c r="J35" s="155"/>
      <c r="K35" s="155"/>
      <c r="L35" s="155"/>
      <c r="M35" s="155"/>
      <c r="N35" s="155"/>
      <c r="O35" s="153">
        <f t="shared" si="0"/>
        <v>0</v>
      </c>
      <c r="P35" s="155"/>
      <c r="Q35" s="470">
        <f t="shared" si="1"/>
        <v>0</v>
      </c>
    </row>
    <row r="36" spans="2:19" ht="9" customHeight="1" x14ac:dyDescent="0.3">
      <c r="B36" s="47">
        <v>435</v>
      </c>
      <c r="C36" s="257"/>
      <c r="D36" s="772" t="str">
        <f>VLOOKUP($B36,Aop!$A$2:$M$453,6,1)</f>
        <v/>
      </c>
      <c r="E36" s="773"/>
      <c r="F36" s="774"/>
      <c r="G36" s="75">
        <f>VLOOKUP($B36,Aop!$A$2:$M$453,4,1)</f>
        <v>0</v>
      </c>
      <c r="H36" s="64"/>
      <c r="I36" s="64"/>
      <c r="J36" s="64"/>
      <c r="K36" s="64"/>
      <c r="L36" s="64"/>
      <c r="M36" s="64"/>
      <c r="N36" s="64"/>
      <c r="O36" s="64"/>
      <c r="P36" s="64"/>
      <c r="Q36" s="467"/>
      <c r="S36" s="133" t="s">
        <v>313</v>
      </c>
    </row>
    <row r="37" spans="2:19" ht="26" x14ac:dyDescent="0.3">
      <c r="B37" s="47">
        <v>436</v>
      </c>
      <c r="C37" s="257"/>
      <c r="D37" s="780" t="str">
        <f>VLOOKUP($B37,Aop!$A$2:$M$453,6,1)</f>
        <v xml:space="preserve">  13. Stanje na dan 31.12.2025. god. / 01.01.2026. god. 
   (904 ± 907 ± 908 - 909 - 910 ± 911 ± 912)</v>
      </c>
      <c r="E37" s="781"/>
      <c r="F37" s="782"/>
      <c r="G37" s="178">
        <f>VLOOKUP($B37,Aop!$A$2:$M$453,4,1)</f>
        <v>913</v>
      </c>
      <c r="H37" s="60">
        <f>SUM(H25, H29, -H32, -H33, H31, H34:H35)</f>
        <v>9603944</v>
      </c>
      <c r="I37" s="60">
        <f t="shared" ref="I37:Q37" si="4">SUM(I25, I29, -I32, -I33, I31, I34:I35)</f>
        <v>0</v>
      </c>
      <c r="J37" s="60">
        <f t="shared" si="4"/>
        <v>273966</v>
      </c>
      <c r="K37" s="60">
        <f t="shared" si="4"/>
        <v>6146918</v>
      </c>
      <c r="L37" s="60">
        <f t="shared" si="4"/>
        <v>0</v>
      </c>
      <c r="M37" s="60">
        <f t="shared" si="4"/>
        <v>0</v>
      </c>
      <c r="N37" s="60">
        <f t="shared" si="4"/>
        <v>4818917</v>
      </c>
      <c r="O37" s="60">
        <f t="shared" si="4"/>
        <v>20843745</v>
      </c>
      <c r="P37" s="60">
        <f t="shared" si="4"/>
        <v>0</v>
      </c>
      <c r="Q37" s="468">
        <f t="shared" si="4"/>
        <v>20843745</v>
      </c>
      <c r="S37" s="133" t="s">
        <v>313</v>
      </c>
    </row>
    <row r="38" spans="2:19" ht="9" customHeight="1" x14ac:dyDescent="0.3">
      <c r="B38" s="47">
        <v>437</v>
      </c>
      <c r="C38" s="257"/>
      <c r="D38" s="772" t="str">
        <f>VLOOKUP($B38,Aop!$A$2:$M$453,6,1)</f>
        <v/>
      </c>
      <c r="E38" s="773"/>
      <c r="F38" s="774"/>
      <c r="G38" s="75">
        <f>VLOOKUP($B38,Aop!$A$2:$M$453,4,1)</f>
        <v>0</v>
      </c>
      <c r="H38" s="64"/>
      <c r="I38" s="64"/>
      <c r="J38" s="64"/>
      <c r="K38" s="64"/>
      <c r="L38" s="64"/>
      <c r="M38" s="64"/>
      <c r="N38" s="64"/>
      <c r="O38" s="64"/>
      <c r="P38" s="64"/>
      <c r="Q38" s="467"/>
    </row>
    <row r="39" spans="2:19" ht="15.75" customHeight="1" x14ac:dyDescent="0.3">
      <c r="B39" s="47">
        <v>438</v>
      </c>
      <c r="C39" s="257"/>
      <c r="D39" s="783" t="str">
        <f>VLOOKUP($B39,Aop!$A$2:$M$453,6,1)</f>
        <v xml:space="preserve">    14. Efekti promjena u računovodstvenim politikama</v>
      </c>
      <c r="E39" s="784"/>
      <c r="F39" s="785"/>
      <c r="G39" s="59">
        <f>VLOOKUP($B39,Aop!$A$2:$M$453,4,1)</f>
        <v>914</v>
      </c>
      <c r="H39" s="155"/>
      <c r="I39" s="155"/>
      <c r="J39" s="155"/>
      <c r="K39" s="155"/>
      <c r="L39" s="155"/>
      <c r="M39" s="155"/>
      <c r="N39" s="155"/>
      <c r="O39" s="153">
        <f t="shared" si="0"/>
        <v>0</v>
      </c>
      <c r="P39" s="155"/>
      <c r="Q39" s="470">
        <f t="shared" si="1"/>
        <v>0</v>
      </c>
    </row>
    <row r="40" spans="2:19" ht="15.75" customHeight="1" x14ac:dyDescent="0.3">
      <c r="B40" s="47">
        <v>439</v>
      </c>
      <c r="C40" s="257"/>
      <c r="D40" s="772" t="str">
        <f>VLOOKUP($B40,Aop!$A$2:$M$453,6,1)</f>
        <v xml:space="preserve">    15. Efekti ispravki grešaka</v>
      </c>
      <c r="E40" s="773"/>
      <c r="F40" s="774"/>
      <c r="G40" s="75">
        <f>VLOOKUP($B40,Aop!$A$2:$M$453,4,1)</f>
        <v>915</v>
      </c>
      <c r="H40" s="157"/>
      <c r="I40" s="157"/>
      <c r="J40" s="157"/>
      <c r="K40" s="157"/>
      <c r="L40" s="157"/>
      <c r="M40" s="157"/>
      <c r="N40" s="157"/>
      <c r="O40" s="64">
        <f t="shared" si="0"/>
        <v>0</v>
      </c>
      <c r="P40" s="157"/>
      <c r="Q40" s="467">
        <f t="shared" si="1"/>
        <v>0</v>
      </c>
    </row>
    <row r="41" spans="2:19" ht="15.75" customHeight="1" x14ac:dyDescent="0.3">
      <c r="B41" s="47">
        <v>440</v>
      </c>
      <c r="C41" s="257"/>
      <c r="D41" s="780" t="str">
        <f>VLOOKUP($B41,Aop!$A$2:$M$453,6,1)</f>
        <v xml:space="preserve">  16. Ponovo iskazano stanje na dan 01.01.2026. godine (913 ± 914 ± 915)</v>
      </c>
      <c r="E41" s="781"/>
      <c r="F41" s="782"/>
      <c r="G41" s="178">
        <f>VLOOKUP($B41,Aop!$A$2:$M$453,4,1)</f>
        <v>916</v>
      </c>
      <c r="H41" s="60">
        <f>SUM(H37:H40)</f>
        <v>9603944</v>
      </c>
      <c r="I41" s="60">
        <f t="shared" ref="I41:Q41" si="5">SUM(I37:I40)</f>
        <v>0</v>
      </c>
      <c r="J41" s="60">
        <f t="shared" si="5"/>
        <v>273966</v>
      </c>
      <c r="K41" s="60">
        <f t="shared" si="5"/>
        <v>6146918</v>
      </c>
      <c r="L41" s="60">
        <f t="shared" si="5"/>
        <v>0</v>
      </c>
      <c r="M41" s="60">
        <f t="shared" si="5"/>
        <v>0</v>
      </c>
      <c r="N41" s="60">
        <f t="shared" si="5"/>
        <v>4818917</v>
      </c>
      <c r="O41" s="60">
        <f t="shared" si="5"/>
        <v>20843745</v>
      </c>
      <c r="P41" s="60">
        <f t="shared" si="5"/>
        <v>0</v>
      </c>
      <c r="Q41" s="468">
        <f t="shared" si="5"/>
        <v>20843745</v>
      </c>
    </row>
    <row r="42" spans="2:19" ht="6.75" customHeight="1" x14ac:dyDescent="0.3">
      <c r="B42" s="47">
        <v>441</v>
      </c>
      <c r="C42" s="257"/>
      <c r="D42" s="772" t="str">
        <f>VLOOKUP($B42,Aop!$A$2:$M$453,6,1)</f>
        <v/>
      </c>
      <c r="E42" s="773"/>
      <c r="F42" s="774"/>
      <c r="G42" s="75">
        <f>VLOOKUP($B42,Aop!$A$2:$M$453,4,1)</f>
        <v>0</v>
      </c>
      <c r="H42" s="64"/>
      <c r="I42" s="64"/>
      <c r="J42" s="64"/>
      <c r="K42" s="64"/>
      <c r="L42" s="64"/>
      <c r="M42" s="64"/>
      <c r="N42" s="64"/>
      <c r="O42" s="64"/>
      <c r="P42" s="64"/>
      <c r="Q42" s="467"/>
    </row>
    <row r="43" spans="2:19" ht="15.25" customHeight="1" x14ac:dyDescent="0.3">
      <c r="B43" s="47">
        <v>442</v>
      </c>
      <c r="C43" s="257"/>
      <c r="D43" s="783" t="str">
        <f>VLOOKUP($B43,Aop!$A$2:$M$453,6,1)</f>
        <v xml:space="preserve">    17. Dobit/(gubitak) za godinu</v>
      </c>
      <c r="E43" s="784"/>
      <c r="F43" s="785"/>
      <c r="G43" s="59">
        <f>VLOOKUP($B43,Aop!$A$2:$M$453,4,1)</f>
        <v>917</v>
      </c>
      <c r="H43" s="155"/>
      <c r="I43" s="155"/>
      <c r="J43" s="155"/>
      <c r="K43" s="155"/>
      <c r="L43" s="155"/>
      <c r="M43" s="155"/>
      <c r="N43" s="155">
        <v>1067913</v>
      </c>
      <c r="O43" s="153">
        <f t="shared" si="0"/>
        <v>1067913</v>
      </c>
      <c r="P43" s="155"/>
      <c r="Q43" s="470">
        <f t="shared" si="1"/>
        <v>1067913</v>
      </c>
    </row>
    <row r="44" spans="2:19" ht="15.25" customHeight="1" x14ac:dyDescent="0.3">
      <c r="B44" s="47">
        <v>443</v>
      </c>
      <c r="C44" s="257"/>
      <c r="D44" s="772" t="str">
        <f>VLOOKUP($B44,Aop!$A$2:$M$453,6,1)</f>
        <v xml:space="preserve">    18. Ostali ukupni rezultat za godinu</v>
      </c>
      <c r="E44" s="773"/>
      <c r="F44" s="774"/>
      <c r="G44" s="75">
        <f>VLOOKUP($B44,Aop!$A$2:$M$453,4,1)</f>
        <v>918</v>
      </c>
      <c r="H44" s="157"/>
      <c r="I44" s="157"/>
      <c r="J44" s="157"/>
      <c r="K44" s="157"/>
      <c r="L44" s="157"/>
      <c r="M44" s="157"/>
      <c r="N44" s="157"/>
      <c r="O44" s="64">
        <f t="shared" si="0"/>
        <v>0</v>
      </c>
      <c r="P44" s="157"/>
      <c r="Q44" s="467">
        <f t="shared" si="1"/>
        <v>0</v>
      </c>
    </row>
    <row r="45" spans="2:19" ht="15.25" customHeight="1" x14ac:dyDescent="0.3">
      <c r="B45" s="47">
        <v>444</v>
      </c>
      <c r="C45" s="257"/>
      <c r="D45" s="780" t="str">
        <f>VLOOKUP($B45,Aop!$A$2:$M$453,6,1)</f>
        <v xml:space="preserve">  19. Ukupna dobit/(gubitak) (± 917 ± 918)</v>
      </c>
      <c r="E45" s="781"/>
      <c r="F45" s="782"/>
      <c r="G45" s="178">
        <f>VLOOKUP($B45,Aop!$A$2:$M$453,4,1)</f>
        <v>919</v>
      </c>
      <c r="H45" s="60">
        <f>SUM(H43:H44)</f>
        <v>0</v>
      </c>
      <c r="I45" s="60">
        <f t="shared" ref="I45:Q45" si="6">SUM(I43:I44)</f>
        <v>0</v>
      </c>
      <c r="J45" s="60">
        <f t="shared" si="6"/>
        <v>0</v>
      </c>
      <c r="K45" s="60">
        <f>SUM(K43:K44)</f>
        <v>0</v>
      </c>
      <c r="L45" s="60">
        <f t="shared" si="6"/>
        <v>0</v>
      </c>
      <c r="M45" s="60">
        <f t="shared" si="6"/>
        <v>0</v>
      </c>
      <c r="N45" s="60">
        <f t="shared" si="6"/>
        <v>1067913</v>
      </c>
      <c r="O45" s="60">
        <f t="shared" si="6"/>
        <v>1067913</v>
      </c>
      <c r="P45" s="60">
        <f t="shared" si="6"/>
        <v>0</v>
      </c>
      <c r="Q45" s="468">
        <f t="shared" si="6"/>
        <v>1067913</v>
      </c>
    </row>
    <row r="46" spans="2:19" ht="4.9000000000000004" customHeight="1" x14ac:dyDescent="0.3">
      <c r="B46" s="47">
        <v>445</v>
      </c>
      <c r="C46" s="257"/>
      <c r="D46" s="772" t="str">
        <f>VLOOKUP($B46,Aop!$A$2:$M$453,6,1)</f>
        <v/>
      </c>
      <c r="E46" s="773"/>
      <c r="F46" s="774"/>
      <c r="G46" s="75">
        <f>VLOOKUP($B46,Aop!$A$2:$M$453,4,1)</f>
        <v>0</v>
      </c>
      <c r="H46" s="64"/>
      <c r="I46" s="64"/>
      <c r="J46" s="64"/>
      <c r="K46" s="64"/>
      <c r="L46" s="64"/>
      <c r="M46" s="64"/>
      <c r="N46" s="64"/>
      <c r="O46" s="64"/>
      <c r="P46" s="64"/>
      <c r="Q46" s="467"/>
    </row>
    <row r="47" spans="2:19" ht="15.75" customHeight="1" x14ac:dyDescent="0.3">
      <c r="B47" s="47">
        <v>446</v>
      </c>
      <c r="C47" s="257"/>
      <c r="D47" s="783" t="str">
        <f>VLOOKUP($B47,Aop!$A$2:$M$453,6,1)</f>
        <v xml:space="preserve">    20. Emisija akcijskog kapitala i drugi oblici povećanja kapitala</v>
      </c>
      <c r="E47" s="784"/>
      <c r="F47" s="785"/>
      <c r="G47" s="59">
        <f>VLOOKUP($B47,Aop!$A$2:$M$453,4,1)</f>
        <v>920</v>
      </c>
      <c r="H47" s="155"/>
      <c r="I47" s="155"/>
      <c r="J47" s="155"/>
      <c r="K47" s="155"/>
      <c r="L47" s="155"/>
      <c r="M47" s="155"/>
      <c r="N47" s="155"/>
      <c r="O47" s="153">
        <f t="shared" si="0"/>
        <v>0</v>
      </c>
      <c r="P47" s="155"/>
      <c r="Q47" s="470">
        <f t="shared" si="1"/>
        <v>0</v>
      </c>
    </row>
    <row r="48" spans="2:19" ht="18.75" customHeight="1" x14ac:dyDescent="0.3">
      <c r="B48" s="47">
        <v>447</v>
      </c>
      <c r="C48" s="257"/>
      <c r="D48" s="772" t="str">
        <f>VLOOKUP($B48,Aop!$A$2:$M$453,6,1)</f>
        <v xml:space="preserve">    21. Sticanje sopstvenih akcija i drugi oblici smanjenja kapitala</v>
      </c>
      <c r="E48" s="773"/>
      <c r="F48" s="774"/>
      <c r="G48" s="75">
        <f>VLOOKUP($B48,Aop!$A$2:$M$453,4,1)</f>
        <v>921</v>
      </c>
      <c r="H48" s="157"/>
      <c r="I48" s="157"/>
      <c r="J48" s="157"/>
      <c r="K48" s="157"/>
      <c r="L48" s="157"/>
      <c r="M48" s="157"/>
      <c r="N48" s="157"/>
      <c r="O48" s="64">
        <f t="shared" si="0"/>
        <v>0</v>
      </c>
      <c r="P48" s="157"/>
      <c r="Q48" s="467">
        <f t="shared" si="1"/>
        <v>0</v>
      </c>
    </row>
    <row r="49" spans="2:17" ht="15.25" customHeight="1" x14ac:dyDescent="0.3">
      <c r="B49" s="47">
        <v>448</v>
      </c>
      <c r="C49" s="257"/>
      <c r="D49" s="783" t="str">
        <f>VLOOKUP($B49,Aop!$A$2:$M$453,6,1)</f>
        <v xml:space="preserve">    22. Objavljene dividende </v>
      </c>
      <c r="E49" s="784"/>
      <c r="F49" s="785"/>
      <c r="G49" s="59">
        <f>VLOOKUP($B49,Aop!$A$2:$M$453,4,1)</f>
        <v>922</v>
      </c>
      <c r="H49" s="155"/>
      <c r="I49" s="155"/>
      <c r="J49" s="155"/>
      <c r="K49" s="155"/>
      <c r="L49" s="155"/>
      <c r="M49" s="155"/>
      <c r="N49" s="155"/>
      <c r="O49" s="153">
        <f t="shared" si="0"/>
        <v>0</v>
      </c>
      <c r="P49" s="155"/>
      <c r="Q49" s="470">
        <f t="shared" si="1"/>
        <v>0</v>
      </c>
    </row>
    <row r="50" spans="2:17" ht="15.25" customHeight="1" x14ac:dyDescent="0.3">
      <c r="B50" s="47">
        <v>449</v>
      </c>
      <c r="C50" s="257"/>
      <c r="D50" s="772" t="str">
        <f>VLOOKUP($B50,Aop!$A$2:$M$453,6,1)</f>
        <v xml:space="preserve">    23. Drugi oblici raspodjele dobiti i pokriće gubitka</v>
      </c>
      <c r="E50" s="773"/>
      <c r="F50" s="774"/>
      <c r="G50" s="75">
        <f>VLOOKUP($B50,Aop!$A$2:$M$453,4,1)</f>
        <v>923</v>
      </c>
      <c r="H50" s="157"/>
      <c r="I50" s="157"/>
      <c r="J50" s="157">
        <v>875</v>
      </c>
      <c r="K50" s="157"/>
      <c r="L50" s="157"/>
      <c r="M50" s="157"/>
      <c r="N50" s="157">
        <v>-875</v>
      </c>
      <c r="O50" s="64">
        <f t="shared" si="0"/>
        <v>0</v>
      </c>
      <c r="P50" s="157"/>
      <c r="Q50" s="467">
        <f t="shared" si="1"/>
        <v>0</v>
      </c>
    </row>
    <row r="51" spans="2:17" ht="15.25" customHeight="1" x14ac:dyDescent="0.3">
      <c r="B51" s="47">
        <v>450</v>
      </c>
      <c r="C51" s="257"/>
      <c r="D51" s="783" t="str">
        <f>VLOOKUP($B51,Aop!$A$2:$M$453,6,1)</f>
        <v xml:space="preserve">    24. Ostale promjene</v>
      </c>
      <c r="E51" s="784"/>
      <c r="F51" s="785"/>
      <c r="G51" s="59">
        <f>VLOOKUP($B51,Aop!$A$2:$M$453,4,1)</f>
        <v>924</v>
      </c>
      <c r="H51" s="155"/>
      <c r="I51" s="155"/>
      <c r="J51" s="155"/>
      <c r="K51" s="155"/>
      <c r="L51" s="155"/>
      <c r="M51" s="155"/>
      <c r="N51" s="155"/>
      <c r="O51" s="153">
        <f t="shared" si="0"/>
        <v>0</v>
      </c>
      <c r="P51" s="155"/>
      <c r="Q51" s="470">
        <f t="shared" si="1"/>
        <v>0</v>
      </c>
    </row>
    <row r="52" spans="2:17" ht="7.5" customHeight="1" x14ac:dyDescent="0.3">
      <c r="B52" s="47">
        <v>451</v>
      </c>
      <c r="C52" s="257"/>
      <c r="D52" s="772" t="str">
        <f>VLOOKUP($B52,Aop!$A$2:$M$453,6,1)</f>
        <v/>
      </c>
      <c r="E52" s="773"/>
      <c r="F52" s="774"/>
      <c r="G52" s="75">
        <f>VLOOKUP($B52,Aop!$A$2:$M$453,4,1)</f>
        <v>0</v>
      </c>
      <c r="H52" s="64"/>
      <c r="I52" s="64"/>
      <c r="J52" s="64"/>
      <c r="K52" s="64"/>
      <c r="L52" s="64"/>
      <c r="M52" s="64"/>
      <c r="N52" s="64"/>
      <c r="O52" s="64"/>
      <c r="P52" s="64"/>
      <c r="Q52" s="467"/>
    </row>
    <row r="53" spans="2:17" ht="22.9" customHeight="1" x14ac:dyDescent="0.3">
      <c r="B53" s="47">
        <v>452</v>
      </c>
      <c r="C53" s="257"/>
      <c r="D53" s="769" t="str">
        <f>VLOOKUP($B53,Aop!$A$2:$M$453,6,1)</f>
        <v>25. Stanje na dan 30.06.2026. godine (916 ± 919 ± 920  - 921 - 922± 923 ± 924)</v>
      </c>
      <c r="E53" s="770"/>
      <c r="F53" s="771"/>
      <c r="G53" s="505">
        <f>VLOOKUP($B53,Aop!$A$2:$M$453,4,1)</f>
        <v>925</v>
      </c>
      <c r="H53" s="471">
        <f>SUM(H41, H45,H47,-H48,-H49,H50:H51)</f>
        <v>9603944</v>
      </c>
      <c r="I53" s="471">
        <f t="shared" ref="I53:Q53" si="7">SUM(I41, I45,I47,-I48,-I49,I50:I51)</f>
        <v>0</v>
      </c>
      <c r="J53" s="471">
        <f t="shared" si="7"/>
        <v>274841</v>
      </c>
      <c r="K53" s="471">
        <f t="shared" si="7"/>
        <v>6146918</v>
      </c>
      <c r="L53" s="471">
        <f t="shared" si="7"/>
        <v>0</v>
      </c>
      <c r="M53" s="471">
        <f t="shared" si="7"/>
        <v>0</v>
      </c>
      <c r="N53" s="471">
        <f t="shared" si="7"/>
        <v>5885955</v>
      </c>
      <c r="O53" s="415">
        <f>SUM(O41, O45,O47,-O48,-O49,O50:O51)</f>
        <v>21911658</v>
      </c>
      <c r="P53" s="471">
        <f t="shared" si="7"/>
        <v>0</v>
      </c>
      <c r="Q53" s="472">
        <f t="shared" si="7"/>
        <v>21911658</v>
      </c>
    </row>
    <row r="54" spans="2:17" x14ac:dyDescent="0.3">
      <c r="C54" s="257"/>
      <c r="D54" s="40"/>
      <c r="E54" s="40"/>
      <c r="F54" s="40"/>
      <c r="G54" s="40"/>
      <c r="H54" s="40"/>
      <c r="I54" s="233"/>
      <c r="J54" s="37"/>
      <c r="K54" s="37"/>
      <c r="L54" s="37"/>
      <c r="M54" s="37"/>
    </row>
    <row r="55" spans="2:17" x14ac:dyDescent="0.3">
      <c r="D55" s="180" t="str">
        <f>Podnozje_U</f>
        <v>U:</v>
      </c>
      <c r="E55" s="419" t="str">
        <f>Podatak_U</f>
        <v>Banja Luci</v>
      </c>
      <c r="H55" s="750" t="str">
        <f>Podnozje_Lice_sa_licencom</f>
        <v>Lice sa licencom:</v>
      </c>
      <c r="I55" s="750"/>
      <c r="K55" s="8" t="str">
        <f>Podnozje_Broj_licence</f>
        <v>Broj licence:</v>
      </c>
      <c r="L55" s="37"/>
      <c r="M55" s="37" t="str">
        <f>Podnozje_MP</f>
        <v>(M.P.)</v>
      </c>
      <c r="O55" s="750" t="str">
        <f>Podnozje_Direktor</f>
        <v>Lice ovlašćeno za zastupanje:</v>
      </c>
      <c r="P55" s="750"/>
    </row>
    <row r="56" spans="2:17" x14ac:dyDescent="0.3">
      <c r="C56" s="28"/>
      <c r="G56"/>
      <c r="H56" s="779" t="str">
        <f>Podatak_Lice_sa_licencom</f>
        <v>Ljupko Miletić</v>
      </c>
      <c r="I56" s="779"/>
      <c r="O56" s="751" t="str">
        <f>Podatak_Direktor</f>
        <v>Aleksandar Bajić</v>
      </c>
      <c r="P56" s="751"/>
    </row>
    <row r="57" spans="2:17" x14ac:dyDescent="0.3">
      <c r="D57" s="180" t="str">
        <f>Podnozje_Dana</f>
        <v>Dana:</v>
      </c>
      <c r="E57" s="418" t="str">
        <f>Podatak_Dana</f>
        <v>31.07.2026.</v>
      </c>
      <c r="F57" s="38"/>
      <c r="H57" s="778"/>
      <c r="I57" s="778"/>
      <c r="J57" s="9"/>
      <c r="K57" s="9" t="str">
        <f>Podatak_Broj_Licence</f>
        <v>SR-1057/26</v>
      </c>
      <c r="L57" s="9"/>
      <c r="M57" s="9"/>
      <c r="O57" s="680"/>
      <c r="P57" s="680"/>
      <c r="Q57" s="9"/>
    </row>
    <row r="58" spans="2:17" x14ac:dyDescent="0.3">
      <c r="K58"/>
      <c r="L58"/>
      <c r="M58"/>
      <c r="N58"/>
      <c r="O58"/>
      <c r="P58"/>
      <c r="Q58"/>
    </row>
    <row r="59" spans="2:17" x14ac:dyDescent="0.3"/>
    <row r="60" spans="2:17" x14ac:dyDescent="0.3"/>
    <row r="61" spans="2:17" x14ac:dyDescent="0.3"/>
    <row r="62" spans="2:17" x14ac:dyDescent="0.3"/>
    <row r="63" spans="2:17" x14ac:dyDescent="0.3"/>
    <row r="64" spans="2:17" x14ac:dyDescent="0.3"/>
    <row r="65" x14ac:dyDescent="0.3"/>
  </sheetData>
  <sheetProtection algorithmName="SHA-512" hashValue="hDDo+bmWXKFhBQPjym9ypQ6QmSEaEo9S3wtfWqPRrxy2iODkRiNqsLSKnpUZPI8w8r+VYTnvvxDFxxO0Lgf0qw==" saltValue="4Y/YMBhOJWM5KsKgQQb5rw==" spinCount="100000" sheet="1" objects="1" scenarios="1"/>
  <mergeCells count="58">
    <mergeCell ref="O57:P57"/>
    <mergeCell ref="H55:I55"/>
    <mergeCell ref="P17:P18"/>
    <mergeCell ref="Q17:Q18"/>
    <mergeCell ref="D17:F18"/>
    <mergeCell ref="D21:F21"/>
    <mergeCell ref="D22:F22"/>
    <mergeCell ref="D23:F23"/>
    <mergeCell ref="D24:F24"/>
    <mergeCell ref="D41:F41"/>
    <mergeCell ref="D25:F25"/>
    <mergeCell ref="D26:F26"/>
    <mergeCell ref="D27:F27"/>
    <mergeCell ref="D28:F28"/>
    <mergeCell ref="D29:F29"/>
    <mergeCell ref="D48:F48"/>
    <mergeCell ref="D13:F13"/>
    <mergeCell ref="D15:Q15"/>
    <mergeCell ref="P5:Q5"/>
    <mergeCell ref="P7:Q7"/>
    <mergeCell ref="D19:F19"/>
    <mergeCell ref="D5:F6"/>
    <mergeCell ref="D7:F7"/>
    <mergeCell ref="E8:F8"/>
    <mergeCell ref="D9:F9"/>
    <mergeCell ref="D10:F10"/>
    <mergeCell ref="D11:F11"/>
    <mergeCell ref="D12:F12"/>
    <mergeCell ref="G17:G18"/>
    <mergeCell ref="H17:O17"/>
    <mergeCell ref="D14:Q14"/>
    <mergeCell ref="D50:F50"/>
    <mergeCell ref="D51:F51"/>
    <mergeCell ref="D52:F52"/>
    <mergeCell ref="D31:F31"/>
    <mergeCell ref="D42:F42"/>
    <mergeCell ref="D43:F43"/>
    <mergeCell ref="D44:F44"/>
    <mergeCell ref="D32:F32"/>
    <mergeCell ref="D33:F33"/>
    <mergeCell ref="D34:F34"/>
    <mergeCell ref="D35:F35"/>
    <mergeCell ref="D53:F53"/>
    <mergeCell ref="D30:F30"/>
    <mergeCell ref="O55:P55"/>
    <mergeCell ref="D20:F20"/>
    <mergeCell ref="H57:I57"/>
    <mergeCell ref="O56:P56"/>
    <mergeCell ref="H56:I56"/>
    <mergeCell ref="D36:F36"/>
    <mergeCell ref="D40:F40"/>
    <mergeCell ref="D37:F37"/>
    <mergeCell ref="D38:F38"/>
    <mergeCell ref="D39:F39"/>
    <mergeCell ref="D46:F46"/>
    <mergeCell ref="D47:F47"/>
    <mergeCell ref="D45:F45"/>
    <mergeCell ref="D49:F49"/>
  </mergeCells>
  <phoneticPr fontId="2" type="noConversion"/>
  <dataValidations xWindow="1287" yWindow="428" count="3">
    <dataValidation type="whole" operator="notEqual" allowBlank="1" showInputMessage="1" showErrorMessage="1" errorTitle="Graška" error="Unose se vrijednosti u konvertibilnim markama, bez decimalnih mjesta." sqref="H43:N44 P39:P40 P21 P27:P28 H27:N28 H21:N21 P31:P35 P47:P51 H31:N35 H39:N40 H47:N51 P43:P44 H23:N24 P23:P24" xr:uid="{00000000-0002-0000-0700-000000000000}">
      <formula1>0</formula1>
    </dataValidation>
    <dataValidation type="whole" operator="greaterThanOrEqual" allowBlank="1" showInputMessage="1" errorTitle="Graška" error="Unose se vrijednosti u konvertibilnim markama, bez decimalnih mjesta. Nije dozvoljen unos negativnih brojeva." prompt="U ovo polje se ne unosi iznos._x000a_Polje se automatski računa u skladu sa formulom." sqref="P36:P38 P25:P26 H36:N38 P45:P46 P41:Q41 Q42:Q53 H45:N46 H25:N26 P42 H41:N42 P30 H30:N30 O30:O51 H52:P53 P22 H22:N22 P20 H20:N20 Q20:Q40 O20:O28 H29:P29" xr:uid="{00000000-0002-0000-0700-000001000000}">
      <formula1>0</formula1>
    </dataValidation>
    <dataValidation type="whole" operator="notEqual" allowBlank="1" showInputMessage="1" showErrorMessage="1" errorTitle="Graška" error="Unose se vrijednosti u konvertibilnim markama, bez decimalnih mjesta." prompt="U ovo polje se ne unosi iznos._x000a_Polje se automatski računa u skladu sa formulom." sqref="H25:N25 P25" xr:uid="{DA89EC40-1DEB-43BA-A1F9-9035880DCB1B}">
      <formula1>0</formula1>
    </dataValidation>
  </dataValidations>
  <pageMargins left="0.39370078740157483" right="0.39370078740157483" top="0.39370078740157483" bottom="0.39370078740157483" header="0.31496062992125984" footer="0.23622047244094491"/>
  <pageSetup paperSize="9" scale="63" orientation="landscape" r:id="rId1"/>
  <headerFooter alignWithMargins="0">
    <oddFooter>&amp;RStrana &amp;P od &amp;N</oddFooter>
  </headerFooter>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23" r:id="rId4" name="Navigacija">
              <controlPr defaultSize="0" print="0" autoFill="0" autoPict="0">
                <anchor moveWithCells="1" sizeWithCells="1">
                  <from>
                    <xdr:col>2</xdr:col>
                    <xdr:colOff>31750</xdr:colOff>
                    <xdr:row>0</xdr:row>
                    <xdr:rowOff>50800</xdr:rowOff>
                  </from>
                  <to>
                    <xdr:col>12</xdr:col>
                    <xdr:colOff>590550</xdr:colOff>
                    <xdr:row>3</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sheetPr>
  <dimension ref="B1:AD33"/>
  <sheetViews>
    <sheetView showGridLines="0" zoomScaleNormal="100" workbookViewId="0">
      <selection activeCell="H2" sqref="H2:K6"/>
    </sheetView>
  </sheetViews>
  <sheetFormatPr defaultRowHeight="13" x14ac:dyDescent="0.3"/>
  <cols>
    <col min="1" max="1" width="4.59765625" customWidth="1"/>
    <col min="2" max="2" width="10.296875" customWidth="1"/>
    <col min="3" max="3" width="18.296875" customWidth="1"/>
    <col min="4" max="4" width="3.09765625" customWidth="1"/>
    <col min="5" max="5" width="14.3984375" customWidth="1"/>
    <col min="6" max="6" width="23.09765625" customWidth="1"/>
    <col min="7" max="7" width="4" customWidth="1"/>
    <col min="8" max="8" width="18" customWidth="1"/>
    <col min="9" max="9" width="10.59765625" customWidth="1"/>
    <col min="10" max="10" width="16.69921875" customWidth="1"/>
    <col min="11" max="11" width="9.69921875" customWidth="1"/>
    <col min="12" max="13" width="6.69921875" customWidth="1"/>
    <col min="14" max="14" width="8.59765625" customWidth="1"/>
    <col min="15" max="15" width="9" customWidth="1"/>
    <col min="16" max="17" width="9.296875" customWidth="1"/>
    <col min="18" max="18" width="6.59765625" customWidth="1"/>
    <col min="19" max="19" width="21.69921875" bestFit="1" customWidth="1"/>
    <col min="20" max="21" width="8.69921875" bestFit="1" customWidth="1"/>
    <col min="22" max="22" width="6.69921875" customWidth="1"/>
    <col min="23" max="23" width="10.09765625" customWidth="1"/>
    <col min="24" max="24" width="14.3984375" bestFit="1" customWidth="1"/>
    <col min="25" max="25" width="17.8984375" bestFit="1" customWidth="1"/>
    <col min="26" max="26" width="4.296875" customWidth="1"/>
    <col min="27" max="27" width="12.3984375" bestFit="1" customWidth="1"/>
    <col min="28" max="28" width="8.59765625" bestFit="1" customWidth="1"/>
    <col min="29" max="29" width="13.09765625" bestFit="1" customWidth="1"/>
    <col min="30" max="30" width="13.296875" bestFit="1" customWidth="1"/>
  </cols>
  <sheetData>
    <row r="1" spans="2:30" x14ac:dyDescent="0.3">
      <c r="B1" s="57">
        <v>1</v>
      </c>
      <c r="C1" t="str">
        <f>VLOOKUP(ID_Jezik, $B$3:$C$6, 2, 1)</f>
        <v>Srpski - latinica</v>
      </c>
      <c r="E1" s="149">
        <v>1</v>
      </c>
      <c r="F1" t="str">
        <f>VLOOKUP(E1, $E$3:$F$6, 2, 1)</f>
        <v/>
      </c>
      <c r="H1" s="5">
        <f>DATE( Godina, Period_Kraj_Mjesec, Period_Kraj_Dan)</f>
        <v>46203</v>
      </c>
      <c r="I1">
        <f>VLOOKUP(Datum_Broj, $H$3:$L$6, 2, 0)</f>
        <v>2</v>
      </c>
      <c r="J1">
        <f>VLOOKUP(ID_Izvjestaj,$I$3:$L$6,3,1)</f>
        <v>6</v>
      </c>
      <c r="U1">
        <f>Period_Kraj_Godina</f>
        <v>2026</v>
      </c>
      <c r="V1">
        <f>Period_Kraj_Mjesec</f>
        <v>6</v>
      </c>
      <c r="W1">
        <f>Period_Kraj_Dan</f>
        <v>30</v>
      </c>
      <c r="X1" s="6" t="str">
        <f>TEXT( DATE( Godina, Period_Kraj_Mjesec, Period_Kraj_Dan), "dd.mm.yyyy.")</f>
        <v>30.06.2026.</v>
      </c>
      <c r="Y1" s="6" t="str">
        <f>TEXT( DATE( Godina, Period_Kraj_Mjesec, Period_Kraj_Dan), "dd.mm.yyyy")</f>
        <v>30.06.2026</v>
      </c>
    </row>
    <row r="2" spans="2:30" ht="14.5" x14ac:dyDescent="0.35">
      <c r="B2" t="s">
        <v>184</v>
      </c>
      <c r="C2" t="s">
        <v>120</v>
      </c>
      <c r="E2" s="9" t="s">
        <v>466</v>
      </c>
      <c r="F2" s="78" t="s">
        <v>467</v>
      </c>
      <c r="H2" t="s">
        <v>176</v>
      </c>
      <c r="I2" t="s">
        <v>183</v>
      </c>
      <c r="J2" t="s">
        <v>174</v>
      </c>
      <c r="K2" t="s">
        <v>181</v>
      </c>
      <c r="L2" t="s">
        <v>182</v>
      </c>
      <c r="N2" t="s">
        <v>249</v>
      </c>
      <c r="O2" t="s">
        <v>256</v>
      </c>
      <c r="P2" t="s">
        <v>257</v>
      </c>
      <c r="Q2" t="s">
        <v>772</v>
      </c>
      <c r="S2" t="s">
        <v>471</v>
      </c>
      <c r="T2" t="s">
        <v>177</v>
      </c>
      <c r="U2" t="s">
        <v>181</v>
      </c>
      <c r="V2" t="s">
        <v>182</v>
      </c>
      <c r="W2" t="s">
        <v>332</v>
      </c>
      <c r="X2" t="s">
        <v>482</v>
      </c>
      <c r="Y2" t="s">
        <v>483</v>
      </c>
      <c r="AA2" t="s">
        <v>775</v>
      </c>
      <c r="AB2" s="226" t="s">
        <v>249</v>
      </c>
      <c r="AC2" s="226" t="s">
        <v>773</v>
      </c>
      <c r="AD2" s="226" t="s">
        <v>774</v>
      </c>
    </row>
    <row r="3" spans="2:30" x14ac:dyDescent="0.3">
      <c r="B3">
        <v>1</v>
      </c>
      <c r="C3" t="s">
        <v>121</v>
      </c>
      <c r="E3" s="9">
        <v>1</v>
      </c>
      <c r="F3" s="115" t="str">
        <f>IF( Revidiran_izvjestaj, Revizija_Pozitivno, "")</f>
        <v/>
      </c>
      <c r="H3" s="5">
        <f>DATE(Godina, K3, L3)</f>
        <v>46112</v>
      </c>
      <c r="I3">
        <v>1</v>
      </c>
      <c r="J3" t="str">
        <f>Vrsta_izvjestaja_Prvi_kvartal</f>
        <v>Prvi kvartal</v>
      </c>
      <c r="K3" s="3">
        <v>3</v>
      </c>
      <c r="L3" s="3">
        <v>31</v>
      </c>
      <c r="N3" t="s">
        <v>771</v>
      </c>
      <c r="O3" cm="1">
        <f t="array" ref="O3">MIN(IF(Aop!$B$2:$B$453=Podesavanja!$N3,Aop!$A$2:$A$453))</f>
        <v>1</v>
      </c>
      <c r="P3" cm="1">
        <f t="array" ref="P3">MAX(IF(Aop!$B$2:$B$453=Podesavanja!$N3,Aop!$A$2:$A$453))</f>
        <v>67</v>
      </c>
      <c r="Q3">
        <v>25</v>
      </c>
      <c r="S3" t="s">
        <v>468</v>
      </c>
      <c r="T3">
        <v>0</v>
      </c>
      <c r="U3">
        <f>Period_Kraj_Mjesec</f>
        <v>6</v>
      </c>
      <c r="V3">
        <f>Period_Kraj_Dan</f>
        <v>30</v>
      </c>
      <c r="W3" s="114">
        <f>DATE( Godina + T3, U3, V3)</f>
        <v>46203</v>
      </c>
      <c r="X3" t="str">
        <f>TEXT(W3, "dd.mm.yyyy.")</f>
        <v>30.06.2026.</v>
      </c>
      <c r="Y3" t="str">
        <f>TEXT(W3, "dd.mm.yyyy")</f>
        <v>30.06.2026</v>
      </c>
      <c r="AA3" t="str">
        <f>CONCATENATE(T_ApifKolone[[#This Row],[Bilans]],T_ApifKolone[[#This Row],[ApifKolona]])</f>
        <v>BSaNapomena</v>
      </c>
      <c r="AB3" t="s">
        <v>771</v>
      </c>
      <c r="AC3" t="s">
        <v>971</v>
      </c>
      <c r="AD3">
        <v>2</v>
      </c>
    </row>
    <row r="4" spans="2:30" x14ac:dyDescent="0.3">
      <c r="B4">
        <v>2</v>
      </c>
      <c r="C4" t="s">
        <v>122</v>
      </c>
      <c r="E4" s="9">
        <v>2</v>
      </c>
      <c r="F4" s="115" t="str">
        <f>IF( Revidiran_izvjestaj, Revizija_Sa_rezervom, "")</f>
        <v/>
      </c>
      <c r="H4" s="5">
        <f>DATE(Godina, K4, L4)</f>
        <v>46203</v>
      </c>
      <c r="I4">
        <v>2</v>
      </c>
      <c r="J4" t="str">
        <f>Vrsta_izvjestaja_Polugodisnji</f>
        <v>Polugodišnji</v>
      </c>
      <c r="K4" s="3">
        <v>6</v>
      </c>
      <c r="L4" s="3">
        <v>30</v>
      </c>
      <c r="N4" t="s">
        <v>770</v>
      </c>
      <c r="O4">
        <f t="array" ref="O4">MIN(IF(Aop!$B$2:$B$453=Podesavanja!$N4,Aop!$A$2:$A$453))</f>
        <v>68</v>
      </c>
      <c r="P4">
        <f t="array" ref="P4">MAX(IF(Aop!$B$2:$B$453=Podesavanja!$N4,Aop!$A$2:$A$453))</f>
        <v>138</v>
      </c>
      <c r="Q4">
        <v>26</v>
      </c>
      <c r="S4" t="s">
        <v>302</v>
      </c>
      <c r="T4">
        <v>0</v>
      </c>
      <c r="U4">
        <v>1</v>
      </c>
      <c r="V4">
        <v>1</v>
      </c>
      <c r="W4" s="114">
        <f>DATE( Godina + T4, U4, V4)</f>
        <v>46023</v>
      </c>
      <c r="X4" t="str">
        <f>TEXT(W4, "dd.mm.yyyy.")</f>
        <v>01.01.2026.</v>
      </c>
      <c r="Y4" t="str">
        <f>TEXT(W4, "dd.mm.yyyy")</f>
        <v>01.01.2026</v>
      </c>
      <c r="AA4" t="str">
        <f>CONCATENATE(T_ApifKolone[[#This Row],[Bilans]],T_ApifKolone[[#This Row],[ApifKolona]])</f>
        <v>BSaKolona1</v>
      </c>
      <c r="AB4" t="s">
        <v>771</v>
      </c>
      <c r="AC4" t="s">
        <v>762</v>
      </c>
      <c r="AD4">
        <v>3</v>
      </c>
    </row>
    <row r="5" spans="2:30" x14ac:dyDescent="0.3">
      <c r="B5">
        <v>3</v>
      </c>
      <c r="C5" t="s">
        <v>106</v>
      </c>
      <c r="E5" s="9">
        <v>3</v>
      </c>
      <c r="F5" s="115" t="str">
        <f>IF( Revidiran_izvjestaj, Revizija_Negativno, "")</f>
        <v/>
      </c>
      <c r="H5" s="5">
        <f>DATE(Godina, K5, L5)</f>
        <v>46295</v>
      </c>
      <c r="I5">
        <v>3</v>
      </c>
      <c r="J5" t="str">
        <f>Vrsta_izvjestaja_Treci_kvartal</f>
        <v>Treći kvartal</v>
      </c>
      <c r="K5" s="3">
        <v>9</v>
      </c>
      <c r="L5" s="3">
        <v>30</v>
      </c>
      <c r="N5" t="s">
        <v>255</v>
      </c>
      <c r="O5">
        <f t="array" ref="O5">MIN(IF(Aop!$B$2:$B$453=Podesavanja!$N5,Aop!$A$2:$A$453))</f>
        <v>139</v>
      </c>
      <c r="P5">
        <f t="array" ref="P5">MAX(IF(Aop!$B$2:$B$453=Podesavanja!$N5,Aop!$A$2:$A$453))</f>
        <v>262</v>
      </c>
      <c r="Q5">
        <v>27</v>
      </c>
      <c r="S5" t="s">
        <v>469</v>
      </c>
      <c r="T5">
        <v>-1</v>
      </c>
      <c r="U5">
        <v>12</v>
      </c>
      <c r="V5">
        <v>31</v>
      </c>
      <c r="W5" s="114">
        <f>DATE( Godina + T5, U5, V5)</f>
        <v>46022</v>
      </c>
      <c r="X5" t="str">
        <f>TEXT(W5, "dd.mm.yyyy.")</f>
        <v>31.12.2025.</v>
      </c>
      <c r="Y5" t="str">
        <f>TEXT(W5, "dd.mm.yyyy")</f>
        <v>31.12.2025</v>
      </c>
      <c r="AA5" t="str">
        <f>CONCATENATE(T_ApifKolone[[#This Row],[Bilans]],T_ApifKolone[[#This Row],[ApifKolona]])</f>
        <v>BSaKolona2</v>
      </c>
      <c r="AB5" t="s">
        <v>771</v>
      </c>
      <c r="AC5" t="s">
        <v>763</v>
      </c>
      <c r="AD5">
        <v>4</v>
      </c>
    </row>
    <row r="6" spans="2:30" x14ac:dyDescent="0.3">
      <c r="B6">
        <v>4</v>
      </c>
      <c r="C6" t="s">
        <v>2457</v>
      </c>
      <c r="E6" s="9">
        <v>4</v>
      </c>
      <c r="F6" s="115" t="str">
        <f>IF( Revidiran_izvjestaj, Revizija_Uzdrzavanje, "")</f>
        <v/>
      </c>
      <c r="H6" s="5">
        <f>DATE(Godina, K6, L6)</f>
        <v>46387</v>
      </c>
      <c r="I6">
        <v>4</v>
      </c>
      <c r="J6" t="str">
        <f>Vrsta_izvjestaja_Godisnji</f>
        <v>Godišnji</v>
      </c>
      <c r="K6" s="3">
        <v>12</v>
      </c>
      <c r="L6" s="3">
        <v>31</v>
      </c>
      <c r="M6" s="3"/>
      <c r="N6" t="s">
        <v>264</v>
      </c>
      <c r="O6">
        <f t="array" ref="O6">MIN(IF(Aop!$B$2:$B$453=Podesavanja!$N6,Aop!$A$2:$A$453))</f>
        <v>263</v>
      </c>
      <c r="P6">
        <f t="array" ref="P6">MAX(IF(Aop!$B$2:$B$453=Podesavanja!$N6,Aop!$A$2:$A$453))</f>
        <v>283</v>
      </c>
      <c r="Q6">
        <v>27</v>
      </c>
      <c r="S6" t="s">
        <v>470</v>
      </c>
      <c r="T6">
        <v>-1</v>
      </c>
      <c r="U6">
        <v>1</v>
      </c>
      <c r="V6">
        <v>1</v>
      </c>
      <c r="W6" s="114">
        <f>DATE( Godina + T6, U6, V6)</f>
        <v>45658</v>
      </c>
      <c r="X6" t="str">
        <f>TEXT(W6, "dd.mm.yyyy.")</f>
        <v>01.01.2025.</v>
      </c>
      <c r="Y6" t="str">
        <f>TEXT(W6, "dd.mm.yyyy")</f>
        <v>01.01.2025</v>
      </c>
      <c r="AA6" t="str">
        <f>CONCATENATE(T_ApifKolone[[#This Row],[Bilans]],T_ApifKolone[[#This Row],[ApifKolona]])</f>
        <v>BSaKolona3</v>
      </c>
      <c r="AB6" t="s">
        <v>771</v>
      </c>
      <c r="AC6" t="s">
        <v>764</v>
      </c>
      <c r="AD6">
        <v>5</v>
      </c>
    </row>
    <row r="7" spans="2:30" x14ac:dyDescent="0.3">
      <c r="N7" t="s">
        <v>133</v>
      </c>
      <c r="O7">
        <f t="array" ref="O7">MIN(IF(Aop!$B$2:$B$453=Podesavanja!$N7,Aop!$A$2:$A$453))</f>
        <v>284</v>
      </c>
      <c r="P7">
        <f t="array" ref="P7">MAX(IF(Aop!$B$2:$B$453=Podesavanja!$N7,Aop!$A$2:$A$453))</f>
        <v>351</v>
      </c>
      <c r="Q7">
        <v>29</v>
      </c>
      <c r="AA7" t="str">
        <f>CONCATENATE(T_ApifKolone[[#This Row],[Bilans]],T_ApifKolone[[#This Row],[ApifKolona]])</f>
        <v>BSaKolona4</v>
      </c>
      <c r="AB7" t="s">
        <v>771</v>
      </c>
      <c r="AC7" t="s">
        <v>765</v>
      </c>
      <c r="AD7">
        <v>6</v>
      </c>
    </row>
    <row r="8" spans="2:30" x14ac:dyDescent="0.3">
      <c r="N8" t="s">
        <v>134</v>
      </c>
      <c r="O8">
        <f t="array" ref="O8">MIN(IF(Aop!$B$2:$B$453=Podesavanja!$N8,Aop!$A$2:$A$453))</f>
        <v>352</v>
      </c>
      <c r="P8">
        <f t="array" ref="P8">MAX(IF(Aop!$B$2:$B$453=Podesavanja!$N8,Aop!$A$2:$A$453))</f>
        <v>418</v>
      </c>
      <c r="Q8">
        <v>28</v>
      </c>
      <c r="AA8" t="str">
        <f>CONCATENATE(T_ApifKolone[[#This Row],[Bilans]],T_ApifKolone[[#This Row],[ApifKolona]])</f>
        <v>BSpNapomena</v>
      </c>
      <c r="AB8" t="s">
        <v>770</v>
      </c>
      <c r="AC8" t="s">
        <v>971</v>
      </c>
      <c r="AD8" s="105">
        <v>2</v>
      </c>
    </row>
    <row r="9" spans="2:30" x14ac:dyDescent="0.3">
      <c r="N9" t="s">
        <v>135</v>
      </c>
      <c r="O9">
        <f t="array" ref="O9">MIN(IF(Aop!$B$2:$B$453=Podesavanja!$N9,Aop!$A$2:$A$453))</f>
        <v>419</v>
      </c>
      <c r="P9">
        <f t="array" ref="P9">MAX(IF(Aop!$B$2:$B$453=Podesavanja!$N9,Aop!$A$2:$A$453))</f>
        <v>452</v>
      </c>
      <c r="Q9">
        <v>30</v>
      </c>
      <c r="AA9" t="str">
        <f>CONCATENATE(T_ApifKolone[[#This Row],[Bilans]],T_ApifKolone[[#This Row],[ApifKolona]])</f>
        <v>BSpKolona1</v>
      </c>
      <c r="AB9" t="s">
        <v>770</v>
      </c>
      <c r="AC9" t="s">
        <v>762</v>
      </c>
      <c r="AD9" s="105">
        <v>5</v>
      </c>
    </row>
    <row r="10" spans="2:30" x14ac:dyDescent="0.3">
      <c r="B10" t="s">
        <v>393</v>
      </c>
      <c r="C10" t="b">
        <f>Osnovni_podaci!$Y$76</f>
        <v>0</v>
      </c>
      <c r="AA10" s="258" t="str">
        <f>CONCATENATE(T_ApifKolone[[#This Row],[Bilans]],T_ApifKolone[[#This Row],[ApifKolona]])</f>
        <v>BSpKolona2</v>
      </c>
      <c r="AB10" s="258" t="s">
        <v>770</v>
      </c>
      <c r="AC10" s="258" t="s">
        <v>763</v>
      </c>
      <c r="AD10" s="567">
        <v>6</v>
      </c>
    </row>
    <row r="11" spans="2:30" x14ac:dyDescent="0.3">
      <c r="AA11" t="str">
        <f>CONCATENATE(T_ApifKolone[[#This Row],[Bilans]],T_ApifKolone[[#This Row],[ApifKolona]])</f>
        <v>BUaNapomena</v>
      </c>
      <c r="AB11" t="s">
        <v>255</v>
      </c>
      <c r="AC11" t="s">
        <v>971</v>
      </c>
      <c r="AD11" s="105">
        <v>2</v>
      </c>
    </row>
    <row r="12" spans="2:30" x14ac:dyDescent="0.3">
      <c r="AA12" t="str">
        <f>CONCATENATE(T_ApifKolone[[#This Row],[Bilans]],T_ApifKolone[[#This Row],[ApifKolona]])</f>
        <v>BUaKolona1</v>
      </c>
      <c r="AB12" t="s">
        <v>255</v>
      </c>
      <c r="AC12" t="s">
        <v>762</v>
      </c>
      <c r="AD12" s="105">
        <v>3</v>
      </c>
    </row>
    <row r="13" spans="2:30" x14ac:dyDescent="0.3">
      <c r="AA13" t="str">
        <f>CONCATENATE(T_ApifKolone[[#This Row],[Bilans]],T_ApifKolone[[#This Row],[ApifKolona]])</f>
        <v>BUaKolona2</v>
      </c>
      <c r="AB13" t="s">
        <v>255</v>
      </c>
      <c r="AC13" t="s">
        <v>763</v>
      </c>
      <c r="AD13" s="105">
        <v>4</v>
      </c>
    </row>
    <row r="14" spans="2:30" x14ac:dyDescent="0.3">
      <c r="AA14" t="str">
        <f>CONCATENATE(T_ApifKolone[[#This Row],[Bilans]],T_ApifKolone[[#This Row],[ApifKolona]])</f>
        <v>BUbNapomena</v>
      </c>
      <c r="AB14" t="s">
        <v>264</v>
      </c>
      <c r="AC14" t="s">
        <v>971</v>
      </c>
      <c r="AD14" s="105">
        <v>2</v>
      </c>
    </row>
    <row r="15" spans="2:30" x14ac:dyDescent="0.3">
      <c r="AA15" t="str">
        <f>CONCATENATE(T_ApifKolone[[#This Row],[Bilans]],T_ApifKolone[[#This Row],[ApifKolona]])</f>
        <v>BUbKolona1</v>
      </c>
      <c r="AB15" t="s">
        <v>264</v>
      </c>
      <c r="AC15" t="s">
        <v>762</v>
      </c>
      <c r="AD15">
        <v>3</v>
      </c>
    </row>
    <row r="16" spans="2:30" x14ac:dyDescent="0.3">
      <c r="AA16" s="258" t="str">
        <f>CONCATENATE(T_ApifKolone[[#This Row],[Bilans]],T_ApifKolone[[#This Row],[ApifKolona]])</f>
        <v>BUbKolona2</v>
      </c>
      <c r="AB16" s="258" t="s">
        <v>264</v>
      </c>
      <c r="AC16" s="258" t="s">
        <v>763</v>
      </c>
      <c r="AD16" s="258">
        <v>4</v>
      </c>
    </row>
    <row r="17" spans="24:30" x14ac:dyDescent="0.3">
      <c r="X17" s="113"/>
      <c r="AA17" t="str">
        <f>CONCATENATE(T_ApifKolone[[#This Row],[Bilans]],T_ApifKolone[[#This Row],[ApifKolona]])</f>
        <v>BTGNapomena</v>
      </c>
      <c r="AB17" t="s">
        <v>133</v>
      </c>
      <c r="AC17" t="s">
        <v>971</v>
      </c>
      <c r="AD17">
        <v>2</v>
      </c>
    </row>
    <row r="18" spans="24:30" x14ac:dyDescent="0.3">
      <c r="X18" s="113"/>
      <c r="AA18" t="str">
        <f>CONCATENATE(T_ApifKolone[[#This Row],[Bilans]],T_ApifKolone[[#This Row],[ApifKolona]])</f>
        <v>BTGKolona1</v>
      </c>
      <c r="AB18" t="s">
        <v>133</v>
      </c>
      <c r="AC18" t="s">
        <v>762</v>
      </c>
      <c r="AD18">
        <v>3</v>
      </c>
    </row>
    <row r="19" spans="24:30" x14ac:dyDescent="0.3">
      <c r="X19" s="113"/>
      <c r="AA19" s="258" t="str">
        <f>CONCATENATE(T_ApifKolone[[#This Row],[Bilans]],T_ApifKolone[[#This Row],[ApifKolona]])</f>
        <v>BTGKolona2</v>
      </c>
      <c r="AB19" s="258" t="s">
        <v>133</v>
      </c>
      <c r="AC19" s="258" t="s">
        <v>763</v>
      </c>
      <c r="AD19" s="258">
        <v>4</v>
      </c>
    </row>
    <row r="20" spans="24:30" x14ac:dyDescent="0.3">
      <c r="X20" s="113"/>
      <c r="AA20" t="str">
        <f>CONCATENATE(T_ApifKolone[[#This Row],[Bilans]],T_ApifKolone[[#This Row],[ApifKolona]])</f>
        <v>AneksKolona1</v>
      </c>
      <c r="AB20" t="s">
        <v>134</v>
      </c>
      <c r="AC20" t="s">
        <v>762</v>
      </c>
      <c r="AD20">
        <v>2</v>
      </c>
    </row>
    <row r="21" spans="24:30" x14ac:dyDescent="0.3">
      <c r="AA21" s="258" t="str">
        <f>CONCATENATE(T_ApifKolone[[#This Row],[Bilans]],T_ApifKolone[[#This Row],[ApifKolona]])</f>
        <v>AneksKolona2</v>
      </c>
      <c r="AB21" s="223" t="s">
        <v>134</v>
      </c>
      <c r="AC21" s="223" t="s">
        <v>763</v>
      </c>
      <c r="AD21" s="223">
        <v>3</v>
      </c>
    </row>
    <row r="22" spans="24:30" x14ac:dyDescent="0.3">
      <c r="AA22" t="str">
        <f>CONCATENATE(T_ApifKolone[[#This Row],[Bilans]],T_ApifKolone[[#This Row],[ApifKolona]])</f>
        <v>BPKKolona1</v>
      </c>
      <c r="AB22" t="s">
        <v>135</v>
      </c>
      <c r="AC22" t="s">
        <v>762</v>
      </c>
      <c r="AD22">
        <v>2</v>
      </c>
    </row>
    <row r="23" spans="24:30" x14ac:dyDescent="0.3">
      <c r="AA23" t="str">
        <f>CONCATENATE(T_ApifKolone[[#This Row],[Bilans]],T_ApifKolone[[#This Row],[ApifKolona]])</f>
        <v>BPKKolona2</v>
      </c>
      <c r="AB23" t="s">
        <v>135</v>
      </c>
      <c r="AC23" t="s">
        <v>763</v>
      </c>
      <c r="AD23">
        <v>3</v>
      </c>
    </row>
    <row r="24" spans="24:30" x14ac:dyDescent="0.3">
      <c r="AA24" t="str">
        <f>CONCATENATE(T_ApifKolone[[#This Row],[Bilans]],T_ApifKolone[[#This Row],[ApifKolona]])</f>
        <v>BPKKolona3</v>
      </c>
      <c r="AB24" t="s">
        <v>135</v>
      </c>
      <c r="AC24" t="s">
        <v>764</v>
      </c>
      <c r="AD24">
        <v>4</v>
      </c>
    </row>
    <row r="25" spans="24:30" x14ac:dyDescent="0.3">
      <c r="AA25" t="str">
        <f>CONCATENATE(T_ApifKolone[[#This Row],[Bilans]],T_ApifKolone[[#This Row],[ApifKolona]])</f>
        <v>BPKKolona4</v>
      </c>
      <c r="AB25" t="s">
        <v>135</v>
      </c>
      <c r="AC25" t="s">
        <v>765</v>
      </c>
      <c r="AD25">
        <v>5</v>
      </c>
    </row>
    <row r="26" spans="24:30" x14ac:dyDescent="0.3">
      <c r="AA26" t="str">
        <f>CONCATENATE(T_ApifKolone[[#This Row],[Bilans]],T_ApifKolone[[#This Row],[ApifKolona]])</f>
        <v>BPKKolona5</v>
      </c>
      <c r="AB26" t="s">
        <v>135</v>
      </c>
      <c r="AC26" t="s">
        <v>766</v>
      </c>
      <c r="AD26">
        <v>6</v>
      </c>
    </row>
    <row r="27" spans="24:30" x14ac:dyDescent="0.3">
      <c r="AA27" t="str">
        <f>CONCATENATE(T_ApifKolone[[#This Row],[Bilans]],T_ApifKolone[[#This Row],[ApifKolona]])</f>
        <v>BPKKolona6</v>
      </c>
      <c r="AB27" t="s">
        <v>135</v>
      </c>
      <c r="AC27" t="s">
        <v>767</v>
      </c>
      <c r="AD27">
        <v>7</v>
      </c>
    </row>
    <row r="28" spans="24:30" x14ac:dyDescent="0.3">
      <c r="AA28" t="str">
        <f>CONCATENATE(T_ApifKolone[[#This Row],[Bilans]],T_ApifKolone[[#This Row],[ApifKolona]])</f>
        <v>BPKKolona7</v>
      </c>
      <c r="AB28" t="s">
        <v>135</v>
      </c>
      <c r="AC28" t="s">
        <v>768</v>
      </c>
      <c r="AD28">
        <v>8</v>
      </c>
    </row>
    <row r="29" spans="24:30" x14ac:dyDescent="0.3">
      <c r="AA29" t="str">
        <f>CONCATENATE(T_ApifKolone[[#This Row],[Bilans]],T_ApifKolone[[#This Row],[ApifKolona]])</f>
        <v>BPKKolona8</v>
      </c>
      <c r="AB29" t="s">
        <v>135</v>
      </c>
      <c r="AC29" t="s">
        <v>769</v>
      </c>
      <c r="AD29">
        <v>9</v>
      </c>
    </row>
    <row r="30" spans="24:30" x14ac:dyDescent="0.3">
      <c r="AA30" t="str">
        <f>CONCATENATE(T_ApifKolone[[#This Row],[Bilans]],T_ApifKolone[[#This Row],[ApifKolona]])</f>
        <v>BPKKolona9</v>
      </c>
      <c r="AB30" t="s">
        <v>135</v>
      </c>
      <c r="AC30" t="s">
        <v>1600</v>
      </c>
      <c r="AD30">
        <v>10</v>
      </c>
    </row>
    <row r="31" spans="24:30" x14ac:dyDescent="0.3">
      <c r="AA31" t="str">
        <f>CONCATENATE(T_ApifKolone[[#This Row],[Bilans]],T_ApifKolone[[#This Row],[ApifKolona]])</f>
        <v>BPKKolona10</v>
      </c>
      <c r="AB31" t="s">
        <v>135</v>
      </c>
      <c r="AC31" t="s">
        <v>1601</v>
      </c>
      <c r="AD31">
        <v>11</v>
      </c>
    </row>
    <row r="32" spans="24:30" x14ac:dyDescent="0.3">
      <c r="AA32" t="str">
        <f>CONCATENATE(T_ApifKolone[[#This Row],[Bilans]],T_ApifKolone[[#This Row],[ApifKolona]])</f>
        <v>BPKKolona11</v>
      </c>
      <c r="AB32" t="s">
        <v>135</v>
      </c>
      <c r="AC32" t="s">
        <v>1626</v>
      </c>
      <c r="AD32">
        <v>12</v>
      </c>
    </row>
    <row r="33" spans="27:30" x14ac:dyDescent="0.3">
      <c r="AA33" s="258" t="str">
        <f>CONCATENATE(T_ApifKolone[[#This Row],[Bilans]],T_ApifKolone[[#This Row],[ApifKolona]])</f>
        <v>BPKKolona12</v>
      </c>
      <c r="AB33" s="258" t="s">
        <v>135</v>
      </c>
      <c r="AC33" s="258" t="s">
        <v>1627</v>
      </c>
      <c r="AD33" s="258">
        <v>13</v>
      </c>
    </row>
  </sheetData>
  <sheetProtection algorithmName="SHA-512" hashValue="8n2DZbuD2T865YU+Ffml66TyZ8OXxCuSefhDtEdqlPL++RDcRmA5RweKW+GmltAP4McJcviUD08PxbPe8Ryfng==" saltValue="NCiXXDhs1XxQg5NUpi37nA==" spinCount="100000" sheet="1" objects="1" scenarios="1"/>
  <phoneticPr fontId="27" type="noConversion"/>
  <pageMargins left="0.7" right="0.7" top="0.75" bottom="0.75" header="0.3" footer="0.3"/>
  <pageSetup paperSize="9" orientation="portrait" verticalDpi="200" r:id="rId1"/>
  <ignoredErrors>
    <ignoredError sqref="K3:K6" calculatedColumn="1"/>
  </ignoredErrors>
  <legacyDrawing r:id="rId2"/>
  <tableParts count="6">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dimension ref="A1:T408"/>
  <sheetViews>
    <sheetView showGridLines="0" showRowColHeaders="0" topLeftCell="A370" zoomScaleNormal="100" workbookViewId="0">
      <selection activeCell="G407" sqref="G407"/>
    </sheetView>
  </sheetViews>
  <sheetFormatPr defaultRowHeight="13" x14ac:dyDescent="0.3"/>
  <cols>
    <col min="1" max="1" width="4.69921875" customWidth="1"/>
    <col min="2" max="2" width="7.3984375" customWidth="1"/>
    <col min="3" max="3" width="15.3984375" customWidth="1"/>
    <col min="4" max="4" width="29.3984375" customWidth="1"/>
    <col min="5" max="5" width="30.3984375" customWidth="1"/>
    <col min="6" max="6" width="14.09765625" customWidth="1"/>
    <col min="7" max="7" width="11.8984375" customWidth="1"/>
    <col min="8" max="8" width="10.296875" customWidth="1"/>
    <col min="9" max="10" width="8.69921875" customWidth="1"/>
    <col min="11" max="14" width="9.3984375" customWidth="1"/>
  </cols>
  <sheetData>
    <row r="1" spans="1:20" x14ac:dyDescent="0.3">
      <c r="A1" s="175" t="s">
        <v>123</v>
      </c>
      <c r="B1" s="176" t="s">
        <v>249</v>
      </c>
      <c r="C1" s="177" t="s">
        <v>303</v>
      </c>
      <c r="D1" s="105" t="s">
        <v>125</v>
      </c>
      <c r="E1" s="105" t="s">
        <v>55</v>
      </c>
      <c r="F1" s="105" t="s">
        <v>394</v>
      </c>
      <c r="G1" s="177" t="s">
        <v>332</v>
      </c>
      <c r="H1" t="s">
        <v>74</v>
      </c>
      <c r="I1" s="177" t="s">
        <v>177</v>
      </c>
      <c r="J1" s="177" t="s">
        <v>971</v>
      </c>
      <c r="K1" s="177" t="s">
        <v>69</v>
      </c>
      <c r="L1" s="177" t="s">
        <v>305</v>
      </c>
      <c r="M1" s="177" t="s">
        <v>306</v>
      </c>
      <c r="N1" s="177" t="s">
        <v>307</v>
      </c>
      <c r="P1" s="2"/>
      <c r="Q1" s="2"/>
      <c r="R1" s="2">
        <v>2</v>
      </c>
      <c r="S1" s="2">
        <v>3</v>
      </c>
      <c r="T1" s="2">
        <v>4</v>
      </c>
    </row>
    <row r="2" spans="1:20" x14ac:dyDescent="0.3">
      <c r="A2" s="105">
        <v>1</v>
      </c>
      <c r="B2" s="105" t="str">
        <f>VLOOKUP( $A2, Aop!$A$2:$P$453, 2, 0)</f>
        <v>BSa</v>
      </c>
      <c r="C2" s="105">
        <v>25</v>
      </c>
      <c r="D2" s="105" t="str">
        <f t="shared" ref="D2:D65" si="0">Podatak_MB</f>
        <v>01040103</v>
      </c>
      <c r="E2" s="105" t="str">
        <f>Podatak_JIB</f>
        <v>4400849160004</v>
      </c>
      <c r="F2" s="105" t="b">
        <f t="shared" ref="F2:F65" si="1">Konsolidovan_izvjestaj</f>
        <v>0</v>
      </c>
      <c r="G2" s="139">
        <f t="shared" ref="G2:G65" si="2">Datum_Broj</f>
        <v>46203</v>
      </c>
      <c r="H2" s="105">
        <v>1</v>
      </c>
      <c r="I2" s="105">
        <f t="shared" ref="I2:I65" si="3">Godina</f>
        <v>2026</v>
      </c>
      <c r="J2" s="55" t="str">
        <f ca="1">IF( VLOOKUP( $H2, INDIRECT( "Lookup_" &amp; $B2), IF( LEFT( $B2, 2) = "BS", P$2, P$1), 0) = "", "", VLOOKUP( $H2, INDIRECT( "Lookup_" &amp; $B2), IF( $B2 = "BSa", P$2, P$1), 0))</f>
        <v/>
      </c>
      <c r="K2" s="55">
        <f ca="1">IF( VLOOKUP( $H2, INDIRECT( "Lookup_" &amp; $B2), IF( LEFT( $B2, 2) = "BS", Q$2, Q$1), 0) = "", "", VLOOKUP( $H2, INDIRECT( "Lookup_" &amp; $B2), IF( $B2 = "BSa", Q$2, Q$1), 0))</f>
        <v>36643000</v>
      </c>
      <c r="L2" s="55">
        <f t="shared" ref="L2:L65" ca="1" si="4">IF( VLOOKUP( $H2, INDIRECT( "Lookup_" &amp; $B2), IF( LEFT( $B2, 2) = "BS", R$2, R$1), 0) = "", "", VLOOKUP( $H2, INDIRECT( "Lookup_" &amp; $B2), IF( $B2 = "BSa", R$2, R$1), 0))</f>
        <v>20678055</v>
      </c>
      <c r="M2" s="55">
        <f ca="1">IF( VLOOKUP( $H2, INDIRECT( "Lookup_" &amp; $B2), IF( LEFT( $B2, 2) = "BS", S$2, S$1), 0) = "", "", VLOOKUP( $H2, INDIRECT( "Lookup_" &amp; $B2), IF( LEFT( $B2, 2) = "BS", S$2, S$1), 0))</f>
        <v>15964945</v>
      </c>
      <c r="N2" s="55">
        <f t="shared" ref="N2:N65" ca="1" si="5">IF( VLOOKUP( $H2, INDIRECT( "Lookup_" &amp; $B2), IF( LEFT( $B2, 2) = "BS", S$2, S$1), 0) = "", "", VLOOKUP( $H2, INDIRECT( "Lookup_" &amp; $B2), IF( LEFT( $B2, 2) = "BS", S$2, S$1), 0))</f>
        <v>15964945</v>
      </c>
      <c r="P2" s="2">
        <v>2</v>
      </c>
      <c r="Q2" s="2">
        <v>3</v>
      </c>
      <c r="R2" s="2">
        <v>4</v>
      </c>
      <c r="S2" s="2">
        <v>5</v>
      </c>
      <c r="T2" s="569">
        <v>6</v>
      </c>
    </row>
    <row r="3" spans="1:20" x14ac:dyDescent="0.3">
      <c r="A3" s="105">
        <v>2</v>
      </c>
      <c r="B3" s="105" t="str">
        <f>VLOOKUP( $A3, Aop!$A$2:$P$453, 2, 0)</f>
        <v>BSa</v>
      </c>
      <c r="C3" s="105">
        <v>25</v>
      </c>
      <c r="D3" s="105" t="str">
        <f t="shared" si="0"/>
        <v>01040103</v>
      </c>
      <c r="E3" s="105" t="str">
        <f t="shared" ref="E3:E65" si="6">Podatak_JIB</f>
        <v>4400849160004</v>
      </c>
      <c r="F3" s="105" t="b">
        <f t="shared" si="1"/>
        <v>0</v>
      </c>
      <c r="G3" s="139">
        <f t="shared" si="2"/>
        <v>46203</v>
      </c>
      <c r="H3" s="105">
        <v>2</v>
      </c>
      <c r="I3" s="105">
        <f t="shared" si="3"/>
        <v>2026</v>
      </c>
      <c r="J3" s="55">
        <f t="shared" ref="J3:J67" ca="1" si="7">IF( VLOOKUP( $H3, INDIRECT( "Lookup_" &amp; $B3), IF( LEFT( $B3, 2) = "BS", P$2, P$1), 0) = "", "", VLOOKUP( $H3, INDIRECT( "Lookup_" &amp; $B3), IF( $B3 = "BSa", P$2, P$1), 0))</f>
        <v>1</v>
      </c>
      <c r="K3" s="55">
        <f t="shared" ref="K3:K67" ca="1" si="8">IF( VLOOKUP( $H3, INDIRECT( "Lookup_" &amp; $B3), IF( LEFT( $B3, 2) = "BS", Q$2, Q$1), 0) = "", "", VLOOKUP( $H3, INDIRECT( "Lookup_" &amp; $B3), IF( $B3 = "BSa", Q$2, Q$1), 0))</f>
        <v>318004</v>
      </c>
      <c r="L3" s="55">
        <f t="shared" ca="1" si="4"/>
        <v>238462</v>
      </c>
      <c r="M3" s="55">
        <f ca="1">IF( VLOOKUP( $H3, INDIRECT( "Lookup_" &amp; $B3), IF( LEFT( $B3, 2) = "BS", S$2, S$1), 0) = "", "", VLOOKUP( $H3, INDIRECT( "Lookup_" &amp; $B3), IF( LEFT( $B3, 2) = "BS", S$2, S$1), 0))</f>
        <v>79542</v>
      </c>
      <c r="N3" s="55">
        <f t="shared" ca="1" si="5"/>
        <v>79542</v>
      </c>
    </row>
    <row r="4" spans="1:20" x14ac:dyDescent="0.3">
      <c r="A4" s="105">
        <v>3</v>
      </c>
      <c r="B4" s="105" t="str">
        <f>VLOOKUP( $A4, Aop!$A$2:$P$453, 2, 0)</f>
        <v>BSa</v>
      </c>
      <c r="C4" s="105">
        <v>25</v>
      </c>
      <c r="D4" s="105" t="str">
        <f t="shared" si="0"/>
        <v>01040103</v>
      </c>
      <c r="E4" s="105" t="str">
        <f t="shared" si="6"/>
        <v>4400849160004</v>
      </c>
      <c r="F4" s="105" t="b">
        <f t="shared" si="1"/>
        <v>0</v>
      </c>
      <c r="G4" s="139">
        <f t="shared" si="2"/>
        <v>46203</v>
      </c>
      <c r="H4" s="105">
        <v>3</v>
      </c>
      <c r="I4" s="105">
        <f t="shared" si="3"/>
        <v>2026</v>
      </c>
      <c r="J4" s="55" t="str">
        <f t="shared" ca="1" si="7"/>
        <v/>
      </c>
      <c r="K4" s="55" t="str">
        <f t="shared" ca="1" si="8"/>
        <v/>
      </c>
      <c r="L4" s="55" t="str">
        <f t="shared" ca="1" si="4"/>
        <v/>
      </c>
      <c r="M4" s="55">
        <f t="shared" ref="M4:M67" ca="1" si="9">IF( VLOOKUP( $H4, INDIRECT( "Lookup_" &amp; $B4), IF( LEFT( $B4, 2) = "BS", S$2, S$1), 0) = "", "", VLOOKUP( $H4, INDIRECT( "Lookup_" &amp; $B4), IF( LEFT( $B4, 2) = "BS", S$2, S$1), 0))</f>
        <v>0</v>
      </c>
      <c r="N4" s="55">
        <f t="shared" ca="1" si="5"/>
        <v>0</v>
      </c>
    </row>
    <row r="5" spans="1:20" x14ac:dyDescent="0.3">
      <c r="A5" s="105">
        <v>4</v>
      </c>
      <c r="B5" s="105" t="str">
        <f>VLOOKUP( $A5, Aop!$A$2:$P$453, 2, 0)</f>
        <v>BSa</v>
      </c>
      <c r="C5" s="105">
        <v>25</v>
      </c>
      <c r="D5" s="105" t="str">
        <f t="shared" si="0"/>
        <v>01040103</v>
      </c>
      <c r="E5" s="105" t="str">
        <f t="shared" si="6"/>
        <v>4400849160004</v>
      </c>
      <c r="F5" s="105" t="b">
        <f t="shared" si="1"/>
        <v>0</v>
      </c>
      <c r="G5" s="139">
        <f t="shared" si="2"/>
        <v>46203</v>
      </c>
      <c r="H5" s="105">
        <v>4</v>
      </c>
      <c r="I5" s="105">
        <f t="shared" si="3"/>
        <v>2026</v>
      </c>
      <c r="J5" s="55">
        <f t="shared" ca="1" si="7"/>
        <v>1</v>
      </c>
      <c r="K5" s="55">
        <f t="shared" ca="1" si="8"/>
        <v>3537</v>
      </c>
      <c r="L5" s="55">
        <f t="shared" ca="1" si="4"/>
        <v>1739</v>
      </c>
      <c r="M5" s="55">
        <f t="shared" ca="1" si="9"/>
        <v>1798</v>
      </c>
      <c r="N5" s="55">
        <f t="shared" ca="1" si="5"/>
        <v>1798</v>
      </c>
    </row>
    <row r="6" spans="1:20" x14ac:dyDescent="0.3">
      <c r="A6" s="105">
        <v>5</v>
      </c>
      <c r="B6" s="105" t="str">
        <f>VLOOKUP( $A6, Aop!$A$2:$P$453, 2, 0)</f>
        <v>BSa</v>
      </c>
      <c r="C6" s="105">
        <v>25</v>
      </c>
      <c r="D6" s="105" t="str">
        <f t="shared" si="0"/>
        <v>01040103</v>
      </c>
      <c r="E6" s="105" t="str">
        <f t="shared" si="6"/>
        <v>4400849160004</v>
      </c>
      <c r="F6" s="105" t="b">
        <f t="shared" si="1"/>
        <v>0</v>
      </c>
      <c r="G6" s="139">
        <f t="shared" si="2"/>
        <v>46203</v>
      </c>
      <c r="H6" s="105">
        <v>5</v>
      </c>
      <c r="I6" s="105">
        <f t="shared" si="3"/>
        <v>2026</v>
      </c>
      <c r="J6" s="55" t="str">
        <f t="shared" ca="1" si="7"/>
        <v/>
      </c>
      <c r="K6" s="55" t="str">
        <f t="shared" ca="1" si="8"/>
        <v/>
      </c>
      <c r="L6" s="55" t="str">
        <f t="shared" ca="1" si="4"/>
        <v/>
      </c>
      <c r="M6" s="55">
        <f t="shared" ca="1" si="9"/>
        <v>0</v>
      </c>
      <c r="N6" s="55">
        <f t="shared" ca="1" si="5"/>
        <v>0</v>
      </c>
    </row>
    <row r="7" spans="1:20" x14ac:dyDescent="0.3">
      <c r="A7" s="105">
        <v>6</v>
      </c>
      <c r="B7" s="105" t="str">
        <f>VLOOKUP( $A7, Aop!$A$2:$P$453, 2, 0)</f>
        <v>BSa</v>
      </c>
      <c r="C7" s="105">
        <v>25</v>
      </c>
      <c r="D7" s="105" t="str">
        <f t="shared" si="0"/>
        <v>01040103</v>
      </c>
      <c r="E7" s="105" t="str">
        <f t="shared" si="6"/>
        <v>4400849160004</v>
      </c>
      <c r="F7" s="105" t="b">
        <f t="shared" si="1"/>
        <v>0</v>
      </c>
      <c r="G7" s="139">
        <f t="shared" si="2"/>
        <v>46203</v>
      </c>
      <c r="H7" s="105">
        <v>6</v>
      </c>
      <c r="I7" s="105">
        <f t="shared" si="3"/>
        <v>2026</v>
      </c>
      <c r="J7" s="55">
        <f t="shared" ca="1" si="7"/>
        <v>1</v>
      </c>
      <c r="K7" s="55">
        <f t="shared" ca="1" si="8"/>
        <v>314467</v>
      </c>
      <c r="L7" s="55">
        <f t="shared" ca="1" si="4"/>
        <v>236723</v>
      </c>
      <c r="M7" s="55">
        <f t="shared" ca="1" si="9"/>
        <v>77744</v>
      </c>
      <c r="N7" s="55">
        <f t="shared" ca="1" si="5"/>
        <v>77744</v>
      </c>
    </row>
    <row r="8" spans="1:20" x14ac:dyDescent="0.3">
      <c r="A8" s="105">
        <v>7</v>
      </c>
      <c r="B8" s="105" t="str">
        <f>VLOOKUP( $A8, Aop!$A$2:$P$453, 2, 0)</f>
        <v>BSa</v>
      </c>
      <c r="C8" s="105">
        <v>25</v>
      </c>
      <c r="D8" s="105" t="str">
        <f t="shared" si="0"/>
        <v>01040103</v>
      </c>
      <c r="E8" s="105" t="str">
        <f t="shared" si="6"/>
        <v>4400849160004</v>
      </c>
      <c r="F8" s="105" t="b">
        <f t="shared" si="1"/>
        <v>0</v>
      </c>
      <c r="G8" s="139">
        <f t="shared" si="2"/>
        <v>46203</v>
      </c>
      <c r="H8" s="105">
        <v>7</v>
      </c>
      <c r="I8" s="105">
        <f t="shared" si="3"/>
        <v>2026</v>
      </c>
      <c r="J8" s="55" t="str">
        <f t="shared" ca="1" si="7"/>
        <v/>
      </c>
      <c r="K8" s="55" t="str">
        <f t="shared" ca="1" si="8"/>
        <v/>
      </c>
      <c r="L8" s="55" t="str">
        <f t="shared" ca="1" si="4"/>
        <v/>
      </c>
      <c r="M8" s="55">
        <f t="shared" ca="1" si="9"/>
        <v>0</v>
      </c>
      <c r="N8" s="55">
        <f t="shared" ca="1" si="5"/>
        <v>0</v>
      </c>
    </row>
    <row r="9" spans="1:20" x14ac:dyDescent="0.3">
      <c r="A9" s="105">
        <v>8</v>
      </c>
      <c r="B9" s="105" t="str">
        <f>VLOOKUP( $A9, Aop!$A$2:$P$453, 2, 0)</f>
        <v>BSa</v>
      </c>
      <c r="C9" s="105">
        <v>25</v>
      </c>
      <c r="D9" s="105" t="str">
        <f t="shared" si="0"/>
        <v>01040103</v>
      </c>
      <c r="E9" s="105" t="str">
        <f t="shared" si="6"/>
        <v>4400849160004</v>
      </c>
      <c r="F9" s="105" t="b">
        <f t="shared" si="1"/>
        <v>0</v>
      </c>
      <c r="G9" s="139">
        <f t="shared" si="2"/>
        <v>46203</v>
      </c>
      <c r="H9" s="105">
        <v>8</v>
      </c>
      <c r="I9" s="105">
        <f t="shared" si="3"/>
        <v>2026</v>
      </c>
      <c r="J9" s="55">
        <f t="shared" ca="1" si="7"/>
        <v>2</v>
      </c>
      <c r="K9" s="55">
        <f t="shared" ca="1" si="8"/>
        <v>36322996</v>
      </c>
      <c r="L9" s="55">
        <f t="shared" ca="1" si="4"/>
        <v>20439593</v>
      </c>
      <c r="M9" s="55">
        <f t="shared" ca="1" si="9"/>
        <v>15883403</v>
      </c>
      <c r="N9" s="55">
        <f t="shared" ca="1" si="5"/>
        <v>15883403</v>
      </c>
    </row>
    <row r="10" spans="1:20" x14ac:dyDescent="0.3">
      <c r="A10" s="105">
        <v>9</v>
      </c>
      <c r="B10" s="105" t="str">
        <f>VLOOKUP( $A10, Aop!$A$2:$P$453, 2, 0)</f>
        <v>BSa</v>
      </c>
      <c r="C10" s="105">
        <v>25</v>
      </c>
      <c r="D10" s="105" t="str">
        <f t="shared" si="0"/>
        <v>01040103</v>
      </c>
      <c r="E10" s="105" t="str">
        <f t="shared" si="6"/>
        <v>4400849160004</v>
      </c>
      <c r="F10" s="105" t="b">
        <f t="shared" si="1"/>
        <v>0</v>
      </c>
      <c r="G10" s="139">
        <f t="shared" si="2"/>
        <v>46203</v>
      </c>
      <c r="H10" s="105">
        <v>9</v>
      </c>
      <c r="I10" s="105">
        <f t="shared" si="3"/>
        <v>2026</v>
      </c>
      <c r="J10" s="55">
        <f t="shared" ca="1" si="7"/>
        <v>2</v>
      </c>
      <c r="K10" s="55">
        <f t="shared" ca="1" si="8"/>
        <v>8550400</v>
      </c>
      <c r="L10" s="55" t="str">
        <f t="shared" ca="1" si="4"/>
        <v/>
      </c>
      <c r="M10" s="55">
        <f t="shared" ca="1" si="9"/>
        <v>8550400</v>
      </c>
      <c r="N10" s="55">
        <f t="shared" ca="1" si="5"/>
        <v>8550400</v>
      </c>
    </row>
    <row r="11" spans="1:20" x14ac:dyDescent="0.3">
      <c r="A11" s="105">
        <v>10</v>
      </c>
      <c r="B11" s="105" t="str">
        <f>VLOOKUP( $A11, Aop!$A$2:$P$453, 2, 0)</f>
        <v>BSa</v>
      </c>
      <c r="C11" s="105">
        <v>25</v>
      </c>
      <c r="D11" s="105" t="str">
        <f t="shared" si="0"/>
        <v>01040103</v>
      </c>
      <c r="E11" s="105" t="str">
        <f t="shared" si="6"/>
        <v>4400849160004</v>
      </c>
      <c r="F11" s="105" t="b">
        <f t="shared" si="1"/>
        <v>0</v>
      </c>
      <c r="G11" s="139">
        <f t="shared" si="2"/>
        <v>46203</v>
      </c>
      <c r="H11" s="105">
        <v>10</v>
      </c>
      <c r="I11" s="105">
        <f t="shared" si="3"/>
        <v>2026</v>
      </c>
      <c r="J11" s="55">
        <f t="shared" ca="1" si="7"/>
        <v>2</v>
      </c>
      <c r="K11" s="55">
        <f t="shared" ca="1" si="8"/>
        <v>9760230</v>
      </c>
      <c r="L11" s="55">
        <f t="shared" ca="1" si="4"/>
        <v>6382866</v>
      </c>
      <c r="M11" s="55">
        <f t="shared" ca="1" si="9"/>
        <v>3377364</v>
      </c>
      <c r="N11" s="55">
        <f t="shared" ca="1" si="5"/>
        <v>3377364</v>
      </c>
    </row>
    <row r="12" spans="1:20" x14ac:dyDescent="0.3">
      <c r="A12" s="105">
        <v>11</v>
      </c>
      <c r="B12" s="105" t="str">
        <f>VLOOKUP( $A12, Aop!$A$2:$P$453, 2, 0)</f>
        <v>BSa</v>
      </c>
      <c r="C12" s="105">
        <v>25</v>
      </c>
      <c r="D12" s="105" t="str">
        <f t="shared" si="0"/>
        <v>01040103</v>
      </c>
      <c r="E12" s="105" t="str">
        <f t="shared" si="6"/>
        <v>4400849160004</v>
      </c>
      <c r="F12" s="105" t="b">
        <f t="shared" si="1"/>
        <v>0</v>
      </c>
      <c r="G12" s="139">
        <f t="shared" si="2"/>
        <v>46203</v>
      </c>
      <c r="H12" s="105">
        <v>11</v>
      </c>
      <c r="I12" s="105">
        <f t="shared" si="3"/>
        <v>2026</v>
      </c>
      <c r="J12" s="55">
        <f t="shared" ca="1" si="7"/>
        <v>2</v>
      </c>
      <c r="K12" s="55">
        <f t="shared" ca="1" si="8"/>
        <v>18012366</v>
      </c>
      <c r="L12" s="55">
        <f t="shared" ca="1" si="4"/>
        <v>14056727</v>
      </c>
      <c r="M12" s="55">
        <f t="shared" ca="1" si="9"/>
        <v>3955639</v>
      </c>
      <c r="N12" s="55">
        <f t="shared" ca="1" si="5"/>
        <v>3955639</v>
      </c>
    </row>
    <row r="13" spans="1:20" x14ac:dyDescent="0.3">
      <c r="A13" s="105">
        <v>12</v>
      </c>
      <c r="B13" s="105" t="str">
        <f>VLOOKUP( $A13, Aop!$A$2:$P$453, 2, 0)</f>
        <v>BSa</v>
      </c>
      <c r="C13" s="105">
        <v>25</v>
      </c>
      <c r="D13" s="105" t="str">
        <f t="shared" si="0"/>
        <v>01040103</v>
      </c>
      <c r="E13" s="105" t="str">
        <f t="shared" si="6"/>
        <v>4400849160004</v>
      </c>
      <c r="F13" s="105" t="b">
        <f t="shared" si="1"/>
        <v>0</v>
      </c>
      <c r="G13" s="139">
        <f t="shared" si="2"/>
        <v>46203</v>
      </c>
      <c r="H13" s="105">
        <v>12</v>
      </c>
      <c r="I13" s="105">
        <f t="shared" si="3"/>
        <v>2026</v>
      </c>
      <c r="J13" s="55" t="str">
        <f t="shared" ca="1" si="7"/>
        <v/>
      </c>
      <c r="K13" s="55" t="str">
        <f t="shared" ca="1" si="8"/>
        <v/>
      </c>
      <c r="L13" s="55" t="str">
        <f t="shared" ca="1" si="4"/>
        <v/>
      </c>
      <c r="M13" s="55">
        <f t="shared" ca="1" si="9"/>
        <v>0</v>
      </c>
      <c r="N13" s="55">
        <f t="shared" ca="1" si="5"/>
        <v>0</v>
      </c>
    </row>
    <row r="14" spans="1:20" x14ac:dyDescent="0.3">
      <c r="A14" s="105">
        <v>13</v>
      </c>
      <c r="B14" s="105" t="str">
        <f>VLOOKUP( $A14, Aop!$A$2:$P$453, 2, 0)</f>
        <v>BSa</v>
      </c>
      <c r="C14" s="105">
        <v>25</v>
      </c>
      <c r="D14" s="105" t="str">
        <f t="shared" si="0"/>
        <v>01040103</v>
      </c>
      <c r="E14" s="105" t="str">
        <f t="shared" si="6"/>
        <v>4400849160004</v>
      </c>
      <c r="F14" s="105" t="b">
        <f t="shared" si="1"/>
        <v>0</v>
      </c>
      <c r="G14" s="139">
        <f t="shared" si="2"/>
        <v>46203</v>
      </c>
      <c r="H14" s="105">
        <v>13</v>
      </c>
      <c r="I14" s="105">
        <f t="shared" si="3"/>
        <v>2026</v>
      </c>
      <c r="J14" s="55" t="str">
        <f t="shared" ca="1" si="7"/>
        <v/>
      </c>
      <c r="K14" s="55" t="str">
        <f t="shared" ca="1" si="8"/>
        <v/>
      </c>
      <c r="L14" s="55" t="str">
        <f t="shared" ca="1" si="4"/>
        <v/>
      </c>
      <c r="M14" s="55">
        <f t="shared" ca="1" si="9"/>
        <v>0</v>
      </c>
      <c r="N14" s="55">
        <f t="shared" ca="1" si="5"/>
        <v>0</v>
      </c>
    </row>
    <row r="15" spans="1:20" x14ac:dyDescent="0.3">
      <c r="A15" s="105">
        <v>14</v>
      </c>
      <c r="B15" s="105" t="str">
        <f>VLOOKUP( $A15, Aop!$A$2:$P$453, 2, 0)</f>
        <v>BSa</v>
      </c>
      <c r="C15" s="105">
        <v>25</v>
      </c>
      <c r="D15" s="105" t="str">
        <f t="shared" si="0"/>
        <v>01040103</v>
      </c>
      <c r="E15" s="105" t="str">
        <f t="shared" si="6"/>
        <v>4400849160004</v>
      </c>
      <c r="F15" s="105" t="b">
        <f t="shared" si="1"/>
        <v>0</v>
      </c>
      <c r="G15" s="139">
        <f t="shared" si="2"/>
        <v>46203</v>
      </c>
      <c r="H15" s="105">
        <v>14</v>
      </c>
      <c r="I15" s="105">
        <f t="shared" si="3"/>
        <v>2026</v>
      </c>
      <c r="J15" s="55" t="str">
        <f t="shared" ca="1" si="7"/>
        <v/>
      </c>
      <c r="K15" s="55" t="str">
        <f t="shared" ca="1" si="8"/>
        <v/>
      </c>
      <c r="L15" s="55" t="str">
        <f t="shared" ca="1" si="4"/>
        <v/>
      </c>
      <c r="M15" s="55">
        <f t="shared" ca="1" si="9"/>
        <v>0</v>
      </c>
      <c r="N15" s="55">
        <f t="shared" ca="1" si="5"/>
        <v>0</v>
      </c>
    </row>
    <row r="16" spans="1:20" x14ac:dyDescent="0.3">
      <c r="A16" s="105">
        <v>15</v>
      </c>
      <c r="B16" s="105" t="str">
        <f>VLOOKUP( $A16, Aop!$A$2:$P$453, 2, 0)</f>
        <v>BSa</v>
      </c>
      <c r="C16" s="105">
        <v>25</v>
      </c>
      <c r="D16" s="105" t="str">
        <f t="shared" si="0"/>
        <v>01040103</v>
      </c>
      <c r="E16" s="105" t="str">
        <f t="shared" si="6"/>
        <v>4400849160004</v>
      </c>
      <c r="F16" s="105" t="b">
        <f t="shared" si="1"/>
        <v>0</v>
      </c>
      <c r="G16" s="139">
        <f t="shared" si="2"/>
        <v>46203</v>
      </c>
      <c r="H16" s="105">
        <v>15</v>
      </c>
      <c r="I16" s="105">
        <f t="shared" si="3"/>
        <v>2026</v>
      </c>
      <c r="J16" s="55">
        <f t="shared" ca="1" si="7"/>
        <v>3</v>
      </c>
      <c r="K16" s="55" t="str">
        <f t="shared" ca="1" si="8"/>
        <v/>
      </c>
      <c r="L16" s="55" t="str">
        <f t="shared" ca="1" si="4"/>
        <v/>
      </c>
      <c r="M16" s="55">
        <f t="shared" ca="1" si="9"/>
        <v>0</v>
      </c>
      <c r="N16" s="55">
        <f t="shared" ca="1" si="5"/>
        <v>0</v>
      </c>
    </row>
    <row r="17" spans="1:14" x14ac:dyDescent="0.3">
      <c r="A17" s="105">
        <v>16</v>
      </c>
      <c r="B17" s="105" t="str">
        <f>VLOOKUP( $A17, Aop!$A$2:$P$453, 2, 0)</f>
        <v>BSa</v>
      </c>
      <c r="C17" s="105">
        <v>25</v>
      </c>
      <c r="D17" s="105" t="str">
        <f t="shared" si="0"/>
        <v>01040103</v>
      </c>
      <c r="E17" s="105" t="str">
        <f t="shared" si="6"/>
        <v>4400849160004</v>
      </c>
      <c r="F17" s="105" t="b">
        <f t="shared" si="1"/>
        <v>0</v>
      </c>
      <c r="G17" s="139">
        <f t="shared" si="2"/>
        <v>46203</v>
      </c>
      <c r="H17" s="105">
        <v>16</v>
      </c>
      <c r="I17" s="105">
        <f t="shared" si="3"/>
        <v>2026</v>
      </c>
      <c r="J17" s="55" t="str">
        <f t="shared" ca="1" si="7"/>
        <v/>
      </c>
      <c r="K17" s="55" t="str">
        <f t="shared" ca="1" si="8"/>
        <v/>
      </c>
      <c r="L17" s="55" t="str">
        <f t="shared" ca="1" si="4"/>
        <v/>
      </c>
      <c r="M17" s="55">
        <f t="shared" ca="1" si="9"/>
        <v>0</v>
      </c>
      <c r="N17" s="55">
        <f t="shared" ca="1" si="5"/>
        <v>0</v>
      </c>
    </row>
    <row r="18" spans="1:14" x14ac:dyDescent="0.3">
      <c r="A18" s="105">
        <v>17</v>
      </c>
      <c r="B18" s="105" t="str">
        <f>VLOOKUP( $A18, Aop!$A$2:$P$453, 2, 0)</f>
        <v>BSa</v>
      </c>
      <c r="C18" s="105">
        <v>25</v>
      </c>
      <c r="D18" s="105" t="str">
        <f t="shared" si="0"/>
        <v>01040103</v>
      </c>
      <c r="E18" s="105" t="str">
        <f t="shared" si="6"/>
        <v>4400849160004</v>
      </c>
      <c r="F18" s="105" t="b">
        <f t="shared" si="1"/>
        <v>0</v>
      </c>
      <c r="G18" s="139">
        <f t="shared" si="2"/>
        <v>46203</v>
      </c>
      <c r="H18" s="105">
        <v>17</v>
      </c>
      <c r="I18" s="105">
        <f t="shared" si="3"/>
        <v>2026</v>
      </c>
      <c r="J18" s="55">
        <f t="shared" ca="1" si="7"/>
        <v>4</v>
      </c>
      <c r="K18" s="55">
        <f t="shared" ca="1" si="8"/>
        <v>2000</v>
      </c>
      <c r="L18" s="55">
        <f t="shared" ca="1" si="4"/>
        <v>0</v>
      </c>
      <c r="M18" s="55">
        <f t="shared" ca="1" si="9"/>
        <v>2000</v>
      </c>
      <c r="N18" s="55">
        <f t="shared" ca="1" si="5"/>
        <v>2000</v>
      </c>
    </row>
    <row r="19" spans="1:14" x14ac:dyDescent="0.3">
      <c r="A19" s="105">
        <v>18</v>
      </c>
      <c r="B19" s="105" t="str">
        <f>VLOOKUP( $A19, Aop!$A$2:$P$453, 2, 0)</f>
        <v>BSa</v>
      </c>
      <c r="C19" s="105">
        <v>25</v>
      </c>
      <c r="D19" s="105" t="str">
        <f t="shared" si="0"/>
        <v>01040103</v>
      </c>
      <c r="E19" s="105" t="str">
        <f t="shared" si="6"/>
        <v>4400849160004</v>
      </c>
      <c r="F19" s="105" t="b">
        <f t="shared" si="1"/>
        <v>0</v>
      </c>
      <c r="G19" s="139">
        <f t="shared" si="2"/>
        <v>46203</v>
      </c>
      <c r="H19" s="105">
        <v>18</v>
      </c>
      <c r="I19" s="105">
        <f t="shared" si="3"/>
        <v>2026</v>
      </c>
      <c r="J19" s="55">
        <f t="shared" ca="1" si="7"/>
        <v>4</v>
      </c>
      <c r="K19" s="55">
        <f t="shared" ca="1" si="8"/>
        <v>2000</v>
      </c>
      <c r="L19" s="55" t="str">
        <f t="shared" ca="1" si="4"/>
        <v/>
      </c>
      <c r="M19" s="55">
        <f t="shared" ca="1" si="9"/>
        <v>2000</v>
      </c>
      <c r="N19" s="55">
        <f t="shared" ca="1" si="5"/>
        <v>2000</v>
      </c>
    </row>
    <row r="20" spans="1:14" x14ac:dyDescent="0.3">
      <c r="A20" s="105">
        <v>19</v>
      </c>
      <c r="B20" s="105" t="str">
        <f>VLOOKUP( $A20, Aop!$A$2:$P$453, 2, 0)</f>
        <v>BSa</v>
      </c>
      <c r="C20" s="105">
        <v>25</v>
      </c>
      <c r="D20" s="105" t="str">
        <f t="shared" si="0"/>
        <v>01040103</v>
      </c>
      <c r="E20" s="105" t="str">
        <f t="shared" si="6"/>
        <v>4400849160004</v>
      </c>
      <c r="F20" s="105" t="b">
        <f t="shared" si="1"/>
        <v>0</v>
      </c>
      <c r="G20" s="139">
        <f t="shared" si="2"/>
        <v>46203</v>
      </c>
      <c r="H20" s="105">
        <v>19</v>
      </c>
      <c r="I20" s="105">
        <f t="shared" si="3"/>
        <v>2026</v>
      </c>
      <c r="J20" s="55" t="str">
        <f t="shared" ca="1" si="7"/>
        <v/>
      </c>
      <c r="K20" s="55" t="str">
        <f t="shared" ca="1" si="8"/>
        <v/>
      </c>
      <c r="L20" s="55" t="str">
        <f t="shared" ca="1" si="4"/>
        <v/>
      </c>
      <c r="M20" s="55">
        <f t="shared" ca="1" si="9"/>
        <v>0</v>
      </c>
      <c r="N20" s="55">
        <f t="shared" ca="1" si="5"/>
        <v>0</v>
      </c>
    </row>
    <row r="21" spans="1:14" x14ac:dyDescent="0.3">
      <c r="A21" s="105">
        <v>20</v>
      </c>
      <c r="B21" s="105" t="str">
        <f>VLOOKUP( $A21, Aop!$A$2:$P$453, 2, 0)</f>
        <v>BSa</v>
      </c>
      <c r="C21" s="105">
        <v>25</v>
      </c>
      <c r="D21" s="105" t="str">
        <f t="shared" si="0"/>
        <v>01040103</v>
      </c>
      <c r="E21" s="105" t="str">
        <f t="shared" si="6"/>
        <v>4400849160004</v>
      </c>
      <c r="F21" s="105" t="b">
        <f t="shared" si="1"/>
        <v>0</v>
      </c>
      <c r="G21" s="139">
        <f t="shared" si="2"/>
        <v>46203</v>
      </c>
      <c r="H21" s="105">
        <v>20</v>
      </c>
      <c r="I21" s="105">
        <f t="shared" si="3"/>
        <v>2026</v>
      </c>
      <c r="J21" s="55" t="str">
        <f t="shared" ca="1" si="7"/>
        <v/>
      </c>
      <c r="K21" s="55" t="str">
        <f t="shared" ca="1" si="8"/>
        <v/>
      </c>
      <c r="L21" s="55" t="str">
        <f t="shared" ca="1" si="4"/>
        <v/>
      </c>
      <c r="M21" s="55">
        <f t="shared" ca="1" si="9"/>
        <v>0</v>
      </c>
      <c r="N21" s="55">
        <f t="shared" ca="1" si="5"/>
        <v>0</v>
      </c>
    </row>
    <row r="22" spans="1:14" x14ac:dyDescent="0.3">
      <c r="A22" s="105">
        <v>21</v>
      </c>
      <c r="B22" s="105" t="str">
        <f>VLOOKUP( $A22, Aop!$A$2:$P$453, 2, 0)</f>
        <v>BSa</v>
      </c>
      <c r="C22" s="105">
        <v>25</v>
      </c>
      <c r="D22" s="105" t="str">
        <f t="shared" si="0"/>
        <v>01040103</v>
      </c>
      <c r="E22" s="105" t="str">
        <f t="shared" si="6"/>
        <v>4400849160004</v>
      </c>
      <c r="F22" s="105" t="b">
        <f t="shared" si="1"/>
        <v>0</v>
      </c>
      <c r="G22" s="139">
        <f t="shared" si="2"/>
        <v>46203</v>
      </c>
      <c r="H22" s="105">
        <v>21</v>
      </c>
      <c r="I22" s="105">
        <f t="shared" si="3"/>
        <v>2026</v>
      </c>
      <c r="J22" s="55" t="str">
        <f t="shared" ca="1" si="7"/>
        <v/>
      </c>
      <c r="K22" s="55" t="str">
        <f t="shared" ca="1" si="8"/>
        <v/>
      </c>
      <c r="L22" s="55" t="str">
        <f t="shared" ca="1" si="4"/>
        <v/>
      </c>
      <c r="M22" s="55">
        <f t="shared" ca="1" si="9"/>
        <v>0</v>
      </c>
      <c r="N22" s="55">
        <f t="shared" ca="1" si="5"/>
        <v>0</v>
      </c>
    </row>
    <row r="23" spans="1:14" x14ac:dyDescent="0.3">
      <c r="A23" s="105">
        <v>22</v>
      </c>
      <c r="B23" s="105" t="str">
        <f>VLOOKUP( $A23, Aop!$A$2:$P$453, 2, 0)</f>
        <v>BSa</v>
      </c>
      <c r="C23" s="105">
        <v>25</v>
      </c>
      <c r="D23" s="105" t="str">
        <f t="shared" si="0"/>
        <v>01040103</v>
      </c>
      <c r="E23" s="105" t="str">
        <f t="shared" si="6"/>
        <v>4400849160004</v>
      </c>
      <c r="F23" s="105" t="b">
        <f t="shared" si="1"/>
        <v>0</v>
      </c>
      <c r="G23" s="139">
        <f t="shared" si="2"/>
        <v>46203</v>
      </c>
      <c r="H23" s="105">
        <v>22</v>
      </c>
      <c r="I23" s="105">
        <f t="shared" si="3"/>
        <v>2026</v>
      </c>
      <c r="J23" s="55">
        <f t="shared" ca="1" si="7"/>
        <v>5</v>
      </c>
      <c r="K23" s="55">
        <f t="shared" ca="1" si="8"/>
        <v>0</v>
      </c>
      <c r="L23" s="55">
        <f t="shared" ca="1" si="4"/>
        <v>0</v>
      </c>
      <c r="M23" s="55">
        <f t="shared" ca="1" si="9"/>
        <v>0</v>
      </c>
      <c r="N23" s="55">
        <f t="shared" ca="1" si="5"/>
        <v>0</v>
      </c>
    </row>
    <row r="24" spans="1:14" x14ac:dyDescent="0.3">
      <c r="A24" s="105">
        <v>23</v>
      </c>
      <c r="B24" s="105" t="str">
        <f>VLOOKUP( $A24, Aop!$A$2:$P$453, 2, 0)</f>
        <v>BSa</v>
      </c>
      <c r="C24" s="105">
        <v>25</v>
      </c>
      <c r="D24" s="105" t="str">
        <f t="shared" si="0"/>
        <v>01040103</v>
      </c>
      <c r="E24" s="105" t="str">
        <f t="shared" si="6"/>
        <v>4400849160004</v>
      </c>
      <c r="F24" s="105" t="b">
        <f t="shared" si="1"/>
        <v>0</v>
      </c>
      <c r="G24" s="139">
        <f t="shared" si="2"/>
        <v>46203</v>
      </c>
      <c r="H24" s="105">
        <v>23</v>
      </c>
      <c r="I24" s="105">
        <f t="shared" si="3"/>
        <v>2026</v>
      </c>
      <c r="J24" s="55" t="str">
        <f t="shared" ca="1" si="7"/>
        <v/>
      </c>
      <c r="K24" s="55" t="str">
        <f t="shared" ca="1" si="8"/>
        <v/>
      </c>
      <c r="L24" s="55" t="str">
        <f t="shared" ca="1" si="4"/>
        <v/>
      </c>
      <c r="M24" s="55">
        <f t="shared" ca="1" si="9"/>
        <v>0</v>
      </c>
      <c r="N24" s="55">
        <f t="shared" ca="1" si="5"/>
        <v>0</v>
      </c>
    </row>
    <row r="25" spans="1:14" x14ac:dyDescent="0.3">
      <c r="A25" s="105">
        <v>24</v>
      </c>
      <c r="B25" s="105" t="str">
        <f>VLOOKUP( $A25, Aop!$A$2:$P$453, 2, 0)</f>
        <v>BSa</v>
      </c>
      <c r="C25" s="105">
        <v>25</v>
      </c>
      <c r="D25" s="105" t="str">
        <f t="shared" si="0"/>
        <v>01040103</v>
      </c>
      <c r="E25" s="105" t="str">
        <f t="shared" si="6"/>
        <v>4400849160004</v>
      </c>
      <c r="F25" s="105" t="b">
        <f t="shared" si="1"/>
        <v>0</v>
      </c>
      <c r="G25" s="139">
        <f t="shared" si="2"/>
        <v>46203</v>
      </c>
      <c r="H25" s="105">
        <v>24</v>
      </c>
      <c r="I25" s="105">
        <f t="shared" si="3"/>
        <v>2026</v>
      </c>
      <c r="J25" s="55" t="str">
        <f t="shared" ca="1" si="7"/>
        <v/>
      </c>
      <c r="K25" s="55" t="str">
        <f t="shared" ca="1" si="8"/>
        <v/>
      </c>
      <c r="L25" s="55" t="str">
        <f t="shared" ca="1" si="4"/>
        <v/>
      </c>
      <c r="M25" s="55">
        <f t="shared" ca="1" si="9"/>
        <v>0</v>
      </c>
      <c r="N25" s="55">
        <f t="shared" ca="1" si="5"/>
        <v>0</v>
      </c>
    </row>
    <row r="26" spans="1:14" x14ac:dyDescent="0.3">
      <c r="A26" s="105">
        <v>25</v>
      </c>
      <c r="B26" s="105" t="str">
        <f>VLOOKUP( $A26, Aop!$A$2:$P$453, 2, 0)</f>
        <v>BSa</v>
      </c>
      <c r="C26" s="105">
        <v>25</v>
      </c>
      <c r="D26" s="105" t="str">
        <f t="shared" si="0"/>
        <v>01040103</v>
      </c>
      <c r="E26" s="105" t="str">
        <f t="shared" si="6"/>
        <v>4400849160004</v>
      </c>
      <c r="F26" s="105" t="b">
        <f t="shared" si="1"/>
        <v>0</v>
      </c>
      <c r="G26" s="139">
        <f t="shared" si="2"/>
        <v>46203</v>
      </c>
      <c r="H26" s="105">
        <v>25</v>
      </c>
      <c r="I26" s="105">
        <f t="shared" si="3"/>
        <v>2026</v>
      </c>
      <c r="J26" s="55" t="str">
        <f t="shared" ca="1" si="7"/>
        <v/>
      </c>
      <c r="K26" s="55">
        <f t="shared" ca="1" si="8"/>
        <v>0</v>
      </c>
      <c r="L26" s="55">
        <f t="shared" ca="1" si="4"/>
        <v>0</v>
      </c>
      <c r="M26" s="55">
        <f t="shared" ca="1" si="9"/>
        <v>0</v>
      </c>
      <c r="N26" s="55">
        <f t="shared" ca="1" si="5"/>
        <v>0</v>
      </c>
    </row>
    <row r="27" spans="1:14" x14ac:dyDescent="0.3">
      <c r="A27" s="105">
        <v>26</v>
      </c>
      <c r="B27" s="105" t="str">
        <f>VLOOKUP( $A27, Aop!$A$2:$P$453, 2, 0)</f>
        <v>BSa</v>
      </c>
      <c r="C27" s="105">
        <v>25</v>
      </c>
      <c r="D27" s="105" t="str">
        <f t="shared" si="0"/>
        <v>01040103</v>
      </c>
      <c r="E27" s="105" t="str">
        <f t="shared" si="6"/>
        <v>4400849160004</v>
      </c>
      <c r="F27" s="105" t="b">
        <f t="shared" si="1"/>
        <v>0</v>
      </c>
      <c r="G27" s="139">
        <f t="shared" si="2"/>
        <v>46203</v>
      </c>
      <c r="H27" s="105">
        <v>26</v>
      </c>
      <c r="I27" s="105">
        <f t="shared" si="3"/>
        <v>2026</v>
      </c>
      <c r="J27" s="55" t="str">
        <f t="shared" ca="1" si="7"/>
        <v/>
      </c>
      <c r="K27" s="55" t="str">
        <f t="shared" ca="1" si="8"/>
        <v/>
      </c>
      <c r="L27" s="55" t="str">
        <f t="shared" ca="1" si="4"/>
        <v/>
      </c>
      <c r="M27" s="55">
        <f t="shared" ca="1" si="9"/>
        <v>0</v>
      </c>
      <c r="N27" s="55">
        <f t="shared" ca="1" si="5"/>
        <v>0</v>
      </c>
    </row>
    <row r="28" spans="1:14" x14ac:dyDescent="0.3">
      <c r="A28" s="105">
        <v>27</v>
      </c>
      <c r="B28" s="105" t="str">
        <f>VLOOKUP( $A28, Aop!$A$2:$P$453, 2, 0)</f>
        <v>BSa</v>
      </c>
      <c r="C28" s="105">
        <v>25</v>
      </c>
      <c r="D28" s="105" t="str">
        <f t="shared" si="0"/>
        <v>01040103</v>
      </c>
      <c r="E28" s="105" t="str">
        <f t="shared" si="6"/>
        <v>4400849160004</v>
      </c>
      <c r="F28" s="105" t="b">
        <f t="shared" si="1"/>
        <v>0</v>
      </c>
      <c r="G28" s="139">
        <f t="shared" si="2"/>
        <v>46203</v>
      </c>
      <c r="H28" s="105">
        <v>27</v>
      </c>
      <c r="I28" s="105">
        <f t="shared" si="3"/>
        <v>2026</v>
      </c>
      <c r="J28" s="55" t="str">
        <f t="shared" ca="1" si="7"/>
        <v/>
      </c>
      <c r="K28" s="55" t="str">
        <f t="shared" ca="1" si="8"/>
        <v/>
      </c>
      <c r="L28" s="55" t="str">
        <f t="shared" ca="1" si="4"/>
        <v/>
      </c>
      <c r="M28" s="55">
        <f t="shared" ca="1" si="9"/>
        <v>0</v>
      </c>
      <c r="N28" s="55">
        <f t="shared" ca="1" si="5"/>
        <v>0</v>
      </c>
    </row>
    <row r="29" spans="1:14" x14ac:dyDescent="0.3">
      <c r="A29" s="105">
        <v>28</v>
      </c>
      <c r="B29" s="105" t="str">
        <f>VLOOKUP( $A29, Aop!$A$2:$P$453, 2, 0)</f>
        <v>BSa</v>
      </c>
      <c r="C29" s="105">
        <v>25</v>
      </c>
      <c r="D29" s="105" t="str">
        <f t="shared" si="0"/>
        <v>01040103</v>
      </c>
      <c r="E29" s="105" t="str">
        <f t="shared" si="6"/>
        <v>4400849160004</v>
      </c>
      <c r="F29" s="105" t="b">
        <f t="shared" si="1"/>
        <v>0</v>
      </c>
      <c r="G29" s="139">
        <f t="shared" si="2"/>
        <v>46203</v>
      </c>
      <c r="H29" s="105">
        <v>28</v>
      </c>
      <c r="I29" s="105">
        <f t="shared" si="3"/>
        <v>2026</v>
      </c>
      <c r="J29" s="55" t="str">
        <f t="shared" ca="1" si="7"/>
        <v/>
      </c>
      <c r="K29" s="55" t="str">
        <f t="shared" ca="1" si="8"/>
        <v/>
      </c>
      <c r="L29" s="55" t="str">
        <f t="shared" ca="1" si="4"/>
        <v/>
      </c>
      <c r="M29" s="55">
        <f t="shared" ca="1" si="9"/>
        <v>0</v>
      </c>
      <c r="N29" s="55">
        <f t="shared" ca="1" si="5"/>
        <v>0</v>
      </c>
    </row>
    <row r="30" spans="1:14" x14ac:dyDescent="0.3">
      <c r="A30" s="105">
        <v>29</v>
      </c>
      <c r="B30" s="105" t="str">
        <f>VLOOKUP( $A30, Aop!$A$2:$P$453, 2, 0)</f>
        <v>BSa</v>
      </c>
      <c r="C30" s="105">
        <v>25</v>
      </c>
      <c r="D30" s="105" t="str">
        <f t="shared" si="0"/>
        <v>01040103</v>
      </c>
      <c r="E30" s="105" t="str">
        <f t="shared" si="6"/>
        <v>4400849160004</v>
      </c>
      <c r="F30" s="105" t="b">
        <f t="shared" si="1"/>
        <v>0</v>
      </c>
      <c r="G30" s="139">
        <f t="shared" si="2"/>
        <v>46203</v>
      </c>
      <c r="H30" s="105">
        <v>29</v>
      </c>
      <c r="I30" s="105">
        <f t="shared" si="3"/>
        <v>2026</v>
      </c>
      <c r="J30" s="55" t="str">
        <f t="shared" ca="1" si="7"/>
        <v/>
      </c>
      <c r="K30" s="55" t="str">
        <f t="shared" ca="1" si="8"/>
        <v/>
      </c>
      <c r="L30" s="55" t="str">
        <f t="shared" ca="1" si="4"/>
        <v/>
      </c>
      <c r="M30" s="55">
        <f t="shared" ca="1" si="9"/>
        <v>0</v>
      </c>
      <c r="N30" s="55">
        <f t="shared" ca="1" si="5"/>
        <v>0</v>
      </c>
    </row>
    <row r="31" spans="1:14" x14ac:dyDescent="0.3">
      <c r="A31" s="105">
        <v>30</v>
      </c>
      <c r="B31" s="105" t="str">
        <f>VLOOKUP( $A31, Aop!$A$2:$P$453, 2, 0)</f>
        <v>BSa</v>
      </c>
      <c r="C31" s="105">
        <v>25</v>
      </c>
      <c r="D31" s="105" t="str">
        <f t="shared" si="0"/>
        <v>01040103</v>
      </c>
      <c r="E31" s="105" t="str">
        <f t="shared" si="6"/>
        <v>4400849160004</v>
      </c>
      <c r="F31" s="105" t="b">
        <f t="shared" si="1"/>
        <v>0</v>
      </c>
      <c r="G31" s="139">
        <f t="shared" si="2"/>
        <v>46203</v>
      </c>
      <c r="H31" s="105">
        <v>30</v>
      </c>
      <c r="I31" s="105">
        <f t="shared" si="3"/>
        <v>2026</v>
      </c>
      <c r="J31" s="55" t="str">
        <f t="shared" ca="1" si="7"/>
        <v/>
      </c>
      <c r="K31" s="55">
        <f t="shared" ca="1" si="8"/>
        <v>0</v>
      </c>
      <c r="L31" s="55">
        <f t="shared" ca="1" si="4"/>
        <v>0</v>
      </c>
      <c r="M31" s="55">
        <f t="shared" ca="1" si="9"/>
        <v>0</v>
      </c>
      <c r="N31" s="55">
        <f t="shared" ca="1" si="5"/>
        <v>0</v>
      </c>
    </row>
    <row r="32" spans="1:14" x14ac:dyDescent="0.3">
      <c r="A32" s="105">
        <v>31</v>
      </c>
      <c r="B32" s="105" t="str">
        <f>VLOOKUP( $A32, Aop!$A$2:$P$453, 2, 0)</f>
        <v>BSa</v>
      </c>
      <c r="C32" s="105">
        <v>25</v>
      </c>
      <c r="D32" s="105" t="str">
        <f t="shared" si="0"/>
        <v>01040103</v>
      </c>
      <c r="E32" s="105" t="str">
        <f t="shared" si="6"/>
        <v>4400849160004</v>
      </c>
      <c r="F32" s="105" t="b">
        <f t="shared" si="1"/>
        <v>0</v>
      </c>
      <c r="G32" s="139">
        <f t="shared" si="2"/>
        <v>46203</v>
      </c>
      <c r="H32" s="105">
        <v>31</v>
      </c>
      <c r="I32" s="105">
        <f t="shared" si="3"/>
        <v>2026</v>
      </c>
      <c r="J32" s="55" t="str">
        <f t="shared" ca="1" si="7"/>
        <v/>
      </c>
      <c r="K32" s="55" t="str">
        <f t="shared" ca="1" si="8"/>
        <v/>
      </c>
      <c r="L32" s="55" t="str">
        <f t="shared" ca="1" si="4"/>
        <v/>
      </c>
      <c r="M32" s="55">
        <f t="shared" ca="1" si="9"/>
        <v>0</v>
      </c>
      <c r="N32" s="55">
        <f t="shared" ca="1" si="5"/>
        <v>0</v>
      </c>
    </row>
    <row r="33" spans="1:14" x14ac:dyDescent="0.3">
      <c r="A33" s="105">
        <v>32</v>
      </c>
      <c r="B33" s="105" t="str">
        <f>VLOOKUP( $A33, Aop!$A$2:$P$453, 2, 0)</f>
        <v>BSa</v>
      </c>
      <c r="C33" s="105">
        <v>25</v>
      </c>
      <c r="D33" s="105" t="str">
        <f t="shared" si="0"/>
        <v>01040103</v>
      </c>
      <c r="E33" s="105" t="str">
        <f t="shared" si="6"/>
        <v>4400849160004</v>
      </c>
      <c r="F33" s="105" t="b">
        <f t="shared" si="1"/>
        <v>0</v>
      </c>
      <c r="G33" s="139">
        <f t="shared" si="2"/>
        <v>46203</v>
      </c>
      <c r="H33" s="105">
        <v>32</v>
      </c>
      <c r="I33" s="105">
        <f t="shared" si="3"/>
        <v>2026</v>
      </c>
      <c r="J33" s="55" t="str">
        <f t="shared" ca="1" si="7"/>
        <v/>
      </c>
      <c r="K33" s="55" t="str">
        <f t="shared" ca="1" si="8"/>
        <v/>
      </c>
      <c r="L33" s="55" t="str">
        <f t="shared" ca="1" si="4"/>
        <v/>
      </c>
      <c r="M33" s="55">
        <f t="shared" ca="1" si="9"/>
        <v>0</v>
      </c>
      <c r="N33" s="55">
        <f t="shared" ca="1" si="5"/>
        <v>0</v>
      </c>
    </row>
    <row r="34" spans="1:14" x14ac:dyDescent="0.3">
      <c r="A34" s="105">
        <v>33</v>
      </c>
      <c r="B34" s="105" t="str">
        <f>VLOOKUP( $A34, Aop!$A$2:$P$453, 2, 0)</f>
        <v>BSa</v>
      </c>
      <c r="C34" s="105">
        <v>25</v>
      </c>
      <c r="D34" s="105" t="str">
        <f t="shared" si="0"/>
        <v>01040103</v>
      </c>
      <c r="E34" s="105" t="str">
        <f t="shared" si="6"/>
        <v>4400849160004</v>
      </c>
      <c r="F34" s="105" t="b">
        <f t="shared" si="1"/>
        <v>0</v>
      </c>
      <c r="G34" s="139">
        <f t="shared" si="2"/>
        <v>46203</v>
      </c>
      <c r="H34" s="105">
        <v>33</v>
      </c>
      <c r="I34" s="105">
        <f t="shared" si="3"/>
        <v>2026</v>
      </c>
      <c r="J34" s="55" t="str">
        <f t="shared" ca="1" si="7"/>
        <v/>
      </c>
      <c r="K34" s="55" t="str">
        <f t="shared" ca="1" si="8"/>
        <v/>
      </c>
      <c r="L34" s="55" t="str">
        <f t="shared" ca="1" si="4"/>
        <v/>
      </c>
      <c r="M34" s="55">
        <f t="shared" ca="1" si="9"/>
        <v>0</v>
      </c>
      <c r="N34" s="55">
        <f t="shared" ca="1" si="5"/>
        <v>0</v>
      </c>
    </row>
    <row r="35" spans="1:14" x14ac:dyDescent="0.3">
      <c r="A35" s="105">
        <v>34</v>
      </c>
      <c r="B35" s="105" t="str">
        <f>VLOOKUP( $A35, Aop!$A$2:$P$453, 2, 0)</f>
        <v>BSa</v>
      </c>
      <c r="C35" s="105">
        <v>25</v>
      </c>
      <c r="D35" s="105" t="str">
        <f t="shared" si="0"/>
        <v>01040103</v>
      </c>
      <c r="E35" s="105" t="str">
        <f t="shared" si="6"/>
        <v>4400849160004</v>
      </c>
      <c r="F35" s="105" t="b">
        <f t="shared" si="1"/>
        <v>0</v>
      </c>
      <c r="G35" s="139">
        <f t="shared" si="2"/>
        <v>46203</v>
      </c>
      <c r="H35" s="105">
        <v>34</v>
      </c>
      <c r="I35" s="105">
        <f t="shared" si="3"/>
        <v>2026</v>
      </c>
      <c r="J35" s="55" t="str">
        <f t="shared" ca="1" si="7"/>
        <v/>
      </c>
      <c r="K35" s="55" t="str">
        <f t="shared" ca="1" si="8"/>
        <v/>
      </c>
      <c r="L35" s="55" t="str">
        <f t="shared" ca="1" si="4"/>
        <v/>
      </c>
      <c r="M35" s="55">
        <f t="shared" ca="1" si="9"/>
        <v>0</v>
      </c>
      <c r="N35" s="55">
        <f t="shared" ca="1" si="5"/>
        <v>0</v>
      </c>
    </row>
    <row r="36" spans="1:14" x14ac:dyDescent="0.3">
      <c r="A36" s="105">
        <v>35</v>
      </c>
      <c r="B36" s="105" t="str">
        <f>VLOOKUP( $A36, Aop!$A$2:$P$453, 2, 0)</f>
        <v>BSa</v>
      </c>
      <c r="C36" s="105">
        <v>25</v>
      </c>
      <c r="D36" s="105" t="str">
        <f t="shared" si="0"/>
        <v>01040103</v>
      </c>
      <c r="E36" s="105" t="str">
        <f t="shared" si="6"/>
        <v>4400849160004</v>
      </c>
      <c r="F36" s="105" t="b">
        <f t="shared" si="1"/>
        <v>0</v>
      </c>
      <c r="G36" s="139">
        <f t="shared" si="2"/>
        <v>46203</v>
      </c>
      <c r="H36" s="105">
        <v>35</v>
      </c>
      <c r="I36" s="105">
        <f t="shared" si="3"/>
        <v>2026</v>
      </c>
      <c r="J36" s="55" t="str">
        <f t="shared" ca="1" si="7"/>
        <v/>
      </c>
      <c r="K36" s="55" t="str">
        <f t="shared" ca="1" si="8"/>
        <v/>
      </c>
      <c r="L36" s="55" t="str">
        <f t="shared" ca="1" si="4"/>
        <v/>
      </c>
      <c r="M36" s="55">
        <f t="shared" ca="1" si="9"/>
        <v>0</v>
      </c>
      <c r="N36" s="55">
        <f t="shared" ca="1" si="5"/>
        <v>0</v>
      </c>
    </row>
    <row r="37" spans="1:14" x14ac:dyDescent="0.3">
      <c r="A37" s="105">
        <v>36</v>
      </c>
      <c r="B37" s="105" t="str">
        <f>VLOOKUP( $A37, Aop!$A$2:$P$453, 2, 0)</f>
        <v>BSa</v>
      </c>
      <c r="C37" s="105">
        <v>25</v>
      </c>
      <c r="D37" s="105" t="str">
        <f t="shared" si="0"/>
        <v>01040103</v>
      </c>
      <c r="E37" s="105" t="str">
        <f t="shared" si="6"/>
        <v>4400849160004</v>
      </c>
      <c r="F37" s="105" t="b">
        <f t="shared" si="1"/>
        <v>0</v>
      </c>
      <c r="G37" s="139">
        <f t="shared" si="2"/>
        <v>46203</v>
      </c>
      <c r="H37" s="105">
        <v>36</v>
      </c>
      <c r="I37" s="105">
        <f t="shared" si="3"/>
        <v>2026</v>
      </c>
      <c r="J37" s="55" t="str">
        <f t="shared" ca="1" si="7"/>
        <v/>
      </c>
      <c r="K37" s="55">
        <f t="shared" ca="1" si="8"/>
        <v>17188098</v>
      </c>
      <c r="L37" s="55">
        <f t="shared" ca="1" si="4"/>
        <v>5229878</v>
      </c>
      <c r="M37" s="55">
        <f t="shared" ca="1" si="9"/>
        <v>11958220</v>
      </c>
      <c r="N37" s="55">
        <f t="shared" ca="1" si="5"/>
        <v>11958220</v>
      </c>
    </row>
    <row r="38" spans="1:14" x14ac:dyDescent="0.3">
      <c r="A38" s="105">
        <v>37</v>
      </c>
      <c r="B38" s="105" t="str">
        <f>VLOOKUP( $A38, Aop!$A$2:$P$453, 2, 0)</f>
        <v>BSa</v>
      </c>
      <c r="C38" s="105">
        <v>25</v>
      </c>
      <c r="D38" s="105" t="str">
        <f t="shared" si="0"/>
        <v>01040103</v>
      </c>
      <c r="E38" s="105" t="str">
        <f t="shared" si="6"/>
        <v>4400849160004</v>
      </c>
      <c r="F38" s="105" t="b">
        <f t="shared" si="1"/>
        <v>0</v>
      </c>
      <c r="G38" s="139">
        <f t="shared" si="2"/>
        <v>46203</v>
      </c>
      <c r="H38" s="105">
        <v>37</v>
      </c>
      <c r="I38" s="105">
        <f t="shared" si="3"/>
        <v>2026</v>
      </c>
      <c r="J38" s="55" t="str">
        <f t="shared" ca="1" si="7"/>
        <v/>
      </c>
      <c r="K38" s="55">
        <f t="shared" ca="1" si="8"/>
        <v>915072</v>
      </c>
      <c r="L38" s="55">
        <f t="shared" ca="1" si="4"/>
        <v>0</v>
      </c>
      <c r="M38" s="55">
        <f t="shared" ca="1" si="9"/>
        <v>915072</v>
      </c>
      <c r="N38" s="55">
        <f t="shared" ca="1" si="5"/>
        <v>915072</v>
      </c>
    </row>
    <row r="39" spans="1:14" x14ac:dyDescent="0.3">
      <c r="A39" s="105">
        <v>38</v>
      </c>
      <c r="B39" s="105" t="str">
        <f>VLOOKUP( $A39, Aop!$A$2:$P$453, 2, 0)</f>
        <v>BSa</v>
      </c>
      <c r="C39" s="105">
        <v>25</v>
      </c>
      <c r="D39" s="105" t="str">
        <f t="shared" si="0"/>
        <v>01040103</v>
      </c>
      <c r="E39" s="105" t="str">
        <f t="shared" si="6"/>
        <v>4400849160004</v>
      </c>
      <c r="F39" s="105" t="b">
        <f t="shared" si="1"/>
        <v>0</v>
      </c>
      <c r="G39" s="139">
        <f t="shared" si="2"/>
        <v>46203</v>
      </c>
      <c r="H39" s="105">
        <v>38</v>
      </c>
      <c r="I39" s="105">
        <f t="shared" si="3"/>
        <v>2026</v>
      </c>
      <c r="J39" s="55">
        <f t="shared" ca="1" si="7"/>
        <v>6</v>
      </c>
      <c r="K39" s="55">
        <f t="shared" ca="1" si="8"/>
        <v>486452</v>
      </c>
      <c r="L39" s="55" t="str">
        <f t="shared" ca="1" si="4"/>
        <v/>
      </c>
      <c r="M39" s="55">
        <f t="shared" ca="1" si="9"/>
        <v>486452</v>
      </c>
      <c r="N39" s="55">
        <f t="shared" ca="1" si="5"/>
        <v>486452</v>
      </c>
    </row>
    <row r="40" spans="1:14" x14ac:dyDescent="0.3">
      <c r="A40" s="105">
        <v>39</v>
      </c>
      <c r="B40" s="105" t="str">
        <f>VLOOKUP( $A40, Aop!$A$2:$P$453, 2, 0)</f>
        <v>BSa</v>
      </c>
      <c r="C40" s="105">
        <v>25</v>
      </c>
      <c r="D40" s="105" t="str">
        <f t="shared" si="0"/>
        <v>01040103</v>
      </c>
      <c r="E40" s="105" t="str">
        <f t="shared" si="6"/>
        <v>4400849160004</v>
      </c>
      <c r="F40" s="105" t="b">
        <f t="shared" si="1"/>
        <v>0</v>
      </c>
      <c r="G40" s="139">
        <f t="shared" si="2"/>
        <v>46203</v>
      </c>
      <c r="H40" s="105">
        <v>39</v>
      </c>
      <c r="I40" s="105">
        <f t="shared" si="3"/>
        <v>2026</v>
      </c>
      <c r="J40" s="55" t="str">
        <f t="shared" ca="1" si="7"/>
        <v/>
      </c>
      <c r="K40" s="55" t="str">
        <f t="shared" ca="1" si="8"/>
        <v/>
      </c>
      <c r="L40" s="55" t="str">
        <f t="shared" ca="1" si="4"/>
        <v/>
      </c>
      <c r="M40" s="55">
        <f t="shared" ca="1" si="9"/>
        <v>0</v>
      </c>
      <c r="N40" s="55">
        <f t="shared" ca="1" si="5"/>
        <v>0</v>
      </c>
    </row>
    <row r="41" spans="1:14" x14ac:dyDescent="0.3">
      <c r="A41" s="105">
        <v>40</v>
      </c>
      <c r="B41" s="105" t="str">
        <f>VLOOKUP( $A41, Aop!$A$2:$P$453, 2, 0)</f>
        <v>BSa</v>
      </c>
      <c r="C41" s="105">
        <v>25</v>
      </c>
      <c r="D41" s="105" t="str">
        <f t="shared" si="0"/>
        <v>01040103</v>
      </c>
      <c r="E41" s="105" t="str">
        <f t="shared" si="6"/>
        <v>4400849160004</v>
      </c>
      <c r="F41" s="105" t="b">
        <f t="shared" si="1"/>
        <v>0</v>
      </c>
      <c r="G41" s="139">
        <f t="shared" si="2"/>
        <v>46203</v>
      </c>
      <c r="H41" s="105">
        <v>40</v>
      </c>
      <c r="I41" s="105">
        <f t="shared" si="3"/>
        <v>2026</v>
      </c>
      <c r="J41" s="55" t="str">
        <f t="shared" ca="1" si="7"/>
        <v/>
      </c>
      <c r="K41" s="55" t="str">
        <f t="shared" ca="1" si="8"/>
        <v/>
      </c>
      <c r="L41" s="55" t="str">
        <f t="shared" ca="1" si="4"/>
        <v/>
      </c>
      <c r="M41" s="55">
        <f t="shared" ca="1" si="9"/>
        <v>0</v>
      </c>
      <c r="N41" s="55">
        <f t="shared" ca="1" si="5"/>
        <v>0</v>
      </c>
    </row>
    <row r="42" spans="1:14" x14ac:dyDescent="0.3">
      <c r="A42" s="105">
        <v>41</v>
      </c>
      <c r="B42" s="105" t="str">
        <f>VLOOKUP( $A42, Aop!$A$2:$P$453, 2, 0)</f>
        <v>BSa</v>
      </c>
      <c r="C42" s="105">
        <v>25</v>
      </c>
      <c r="D42" s="105" t="str">
        <f t="shared" si="0"/>
        <v>01040103</v>
      </c>
      <c r="E42" s="105" t="str">
        <f t="shared" si="6"/>
        <v>4400849160004</v>
      </c>
      <c r="F42" s="105" t="b">
        <f t="shared" si="1"/>
        <v>0</v>
      </c>
      <c r="G42" s="139">
        <f t="shared" si="2"/>
        <v>46203</v>
      </c>
      <c r="H42" s="105">
        <v>41</v>
      </c>
      <c r="I42" s="105">
        <f t="shared" si="3"/>
        <v>2026</v>
      </c>
      <c r="J42" s="55">
        <f t="shared" ca="1" si="7"/>
        <v>6</v>
      </c>
      <c r="K42" s="55">
        <f t="shared" ca="1" si="8"/>
        <v>26679</v>
      </c>
      <c r="L42" s="55" t="str">
        <f t="shared" ca="1" si="4"/>
        <v/>
      </c>
      <c r="M42" s="55">
        <f t="shared" ca="1" si="9"/>
        <v>26679</v>
      </c>
      <c r="N42" s="55">
        <f t="shared" ca="1" si="5"/>
        <v>26679</v>
      </c>
    </row>
    <row r="43" spans="1:14" x14ac:dyDescent="0.3">
      <c r="A43" s="105">
        <v>42</v>
      </c>
      <c r="B43" s="105" t="str">
        <f>VLOOKUP( $A43, Aop!$A$2:$P$453, 2, 0)</f>
        <v>BSa</v>
      </c>
      <c r="C43" s="105">
        <v>25</v>
      </c>
      <c r="D43" s="105" t="str">
        <f t="shared" si="0"/>
        <v>01040103</v>
      </c>
      <c r="E43" s="105" t="str">
        <f t="shared" si="6"/>
        <v>4400849160004</v>
      </c>
      <c r="F43" s="105" t="b">
        <f t="shared" si="1"/>
        <v>0</v>
      </c>
      <c r="G43" s="139">
        <f t="shared" si="2"/>
        <v>46203</v>
      </c>
      <c r="H43" s="105">
        <v>42</v>
      </c>
      <c r="I43" s="105">
        <f t="shared" si="3"/>
        <v>2026</v>
      </c>
      <c r="J43" s="55" t="str">
        <f t="shared" ca="1" si="7"/>
        <v/>
      </c>
      <c r="K43" s="55" t="str">
        <f t="shared" ca="1" si="8"/>
        <v/>
      </c>
      <c r="L43" s="55" t="str">
        <f t="shared" ca="1" si="4"/>
        <v/>
      </c>
      <c r="M43" s="55">
        <f t="shared" ca="1" si="9"/>
        <v>0</v>
      </c>
      <c r="N43" s="55">
        <f t="shared" ca="1" si="5"/>
        <v>0</v>
      </c>
    </row>
    <row r="44" spans="1:14" x14ac:dyDescent="0.3">
      <c r="A44" s="105">
        <v>43</v>
      </c>
      <c r="B44" s="105" t="str">
        <f>VLOOKUP( $A44, Aop!$A$2:$P$453, 2, 0)</f>
        <v>BSa</v>
      </c>
      <c r="C44" s="105">
        <v>25</v>
      </c>
      <c r="D44" s="105" t="str">
        <f t="shared" si="0"/>
        <v>01040103</v>
      </c>
      <c r="E44" s="105" t="str">
        <f t="shared" si="6"/>
        <v>4400849160004</v>
      </c>
      <c r="F44" s="105" t="b">
        <f t="shared" si="1"/>
        <v>0</v>
      </c>
      <c r="G44" s="139">
        <f t="shared" si="2"/>
        <v>46203</v>
      </c>
      <c r="H44" s="105">
        <v>43</v>
      </c>
      <c r="I44" s="105">
        <f t="shared" si="3"/>
        <v>2026</v>
      </c>
      <c r="J44" s="55">
        <f t="shared" ca="1" si="7"/>
        <v>6</v>
      </c>
      <c r="K44" s="55">
        <f t="shared" ca="1" si="8"/>
        <v>401941</v>
      </c>
      <c r="L44" s="55" t="str">
        <f t="shared" ca="1" si="4"/>
        <v/>
      </c>
      <c r="M44" s="55">
        <f t="shared" ca="1" si="9"/>
        <v>401941</v>
      </c>
      <c r="N44" s="55">
        <f t="shared" ca="1" si="5"/>
        <v>401941</v>
      </c>
    </row>
    <row r="45" spans="1:14" x14ac:dyDescent="0.3">
      <c r="A45" s="105">
        <v>44</v>
      </c>
      <c r="B45" s="105" t="str">
        <f>VLOOKUP( $A45, Aop!$A$2:$P$453, 2, 0)</f>
        <v>BSa</v>
      </c>
      <c r="C45" s="105">
        <v>25</v>
      </c>
      <c r="D45" s="105" t="str">
        <f t="shared" si="0"/>
        <v>01040103</v>
      </c>
      <c r="E45" s="105" t="str">
        <f t="shared" si="6"/>
        <v>4400849160004</v>
      </c>
      <c r="F45" s="105" t="b">
        <f t="shared" si="1"/>
        <v>0</v>
      </c>
      <c r="G45" s="139">
        <f t="shared" si="2"/>
        <v>46203</v>
      </c>
      <c r="H45" s="105">
        <v>44</v>
      </c>
      <c r="I45" s="105">
        <f t="shared" si="3"/>
        <v>2026</v>
      </c>
      <c r="J45" s="55" t="str">
        <f t="shared" ca="1" si="7"/>
        <v/>
      </c>
      <c r="K45" s="55">
        <f t="shared" ca="1" si="8"/>
        <v>16273026</v>
      </c>
      <c r="L45" s="55">
        <f t="shared" ca="1" si="4"/>
        <v>5229878</v>
      </c>
      <c r="M45" s="55">
        <f t="shared" ca="1" si="9"/>
        <v>11043148</v>
      </c>
      <c r="N45" s="55">
        <f t="shared" ca="1" si="5"/>
        <v>11043148</v>
      </c>
    </row>
    <row r="46" spans="1:14" x14ac:dyDescent="0.3">
      <c r="A46" s="105">
        <v>45</v>
      </c>
      <c r="B46" s="105" t="str">
        <f>VLOOKUP( $A46, Aop!$A$2:$P$453, 2, 0)</f>
        <v>BSa</v>
      </c>
      <c r="C46" s="105">
        <v>25</v>
      </c>
      <c r="D46" s="105" t="str">
        <f t="shared" si="0"/>
        <v>01040103</v>
      </c>
      <c r="E46" s="105" t="str">
        <f t="shared" si="6"/>
        <v>4400849160004</v>
      </c>
      <c r="F46" s="105" t="b">
        <f t="shared" si="1"/>
        <v>0</v>
      </c>
      <c r="G46" s="139">
        <f t="shared" si="2"/>
        <v>46203</v>
      </c>
      <c r="H46" s="105">
        <v>45</v>
      </c>
      <c r="I46" s="105">
        <f t="shared" si="3"/>
        <v>2026</v>
      </c>
      <c r="J46" s="55" t="str">
        <f t="shared" ca="1" si="7"/>
        <v/>
      </c>
      <c r="K46" s="55">
        <f t="shared" ca="1" si="8"/>
        <v>11942234</v>
      </c>
      <c r="L46" s="55">
        <f t="shared" ca="1" si="4"/>
        <v>5229878</v>
      </c>
      <c r="M46" s="55">
        <f t="shared" ca="1" si="9"/>
        <v>6712356</v>
      </c>
      <c r="N46" s="55">
        <f t="shared" ca="1" si="5"/>
        <v>6712356</v>
      </c>
    </row>
    <row r="47" spans="1:14" x14ac:dyDescent="0.3">
      <c r="A47" s="105">
        <v>46</v>
      </c>
      <c r="B47" s="105" t="str">
        <f>VLOOKUP( $A47, Aop!$A$2:$P$453, 2, 0)</f>
        <v>BSa</v>
      </c>
      <c r="C47" s="105">
        <v>25</v>
      </c>
      <c r="D47" s="105" t="str">
        <f t="shared" si="0"/>
        <v>01040103</v>
      </c>
      <c r="E47" s="105" t="str">
        <f t="shared" si="6"/>
        <v>4400849160004</v>
      </c>
      <c r="F47" s="105" t="b">
        <f t="shared" si="1"/>
        <v>0</v>
      </c>
      <c r="G47" s="139">
        <f t="shared" si="2"/>
        <v>46203</v>
      </c>
      <c r="H47" s="105">
        <v>46</v>
      </c>
      <c r="I47" s="105">
        <f t="shared" si="3"/>
        <v>2026</v>
      </c>
      <c r="J47" s="55">
        <f t="shared" ca="1" si="7"/>
        <v>7</v>
      </c>
      <c r="K47" s="55">
        <f t="shared" ca="1" si="8"/>
        <v>3562606</v>
      </c>
      <c r="L47" s="55">
        <f t="shared" ca="1" si="4"/>
        <v>1434210</v>
      </c>
      <c r="M47" s="55">
        <f t="shared" ca="1" si="9"/>
        <v>2128396</v>
      </c>
      <c r="N47" s="55">
        <f t="shared" ca="1" si="5"/>
        <v>2128396</v>
      </c>
    </row>
    <row r="48" spans="1:14" x14ac:dyDescent="0.3">
      <c r="A48" s="105">
        <v>47</v>
      </c>
      <c r="B48" s="105" t="str">
        <f>VLOOKUP( $A48, Aop!$A$2:$P$453, 2, 0)</f>
        <v>BSa</v>
      </c>
      <c r="C48" s="105">
        <v>25</v>
      </c>
      <c r="D48" s="105" t="str">
        <f t="shared" si="0"/>
        <v>01040103</v>
      </c>
      <c r="E48" s="105" t="str">
        <f t="shared" si="6"/>
        <v>4400849160004</v>
      </c>
      <c r="F48" s="105" t="b">
        <f t="shared" si="1"/>
        <v>0</v>
      </c>
      <c r="G48" s="139">
        <f t="shared" si="2"/>
        <v>46203</v>
      </c>
      <c r="H48" s="105">
        <v>47</v>
      </c>
      <c r="I48" s="105">
        <f t="shared" si="3"/>
        <v>2026</v>
      </c>
      <c r="J48" s="55">
        <f t="shared" ca="1" si="7"/>
        <v>7</v>
      </c>
      <c r="K48" s="55">
        <f t="shared" ca="1" si="8"/>
        <v>7940418</v>
      </c>
      <c r="L48" s="55">
        <f t="shared" ca="1" si="4"/>
        <v>3795668</v>
      </c>
      <c r="M48" s="55">
        <f t="shared" ca="1" si="9"/>
        <v>4144750</v>
      </c>
      <c r="N48" s="55">
        <f t="shared" ca="1" si="5"/>
        <v>4144750</v>
      </c>
    </row>
    <row r="49" spans="1:14" x14ac:dyDescent="0.3">
      <c r="A49" s="105">
        <v>48</v>
      </c>
      <c r="B49" s="105" t="str">
        <f>VLOOKUP( $A49, Aop!$A$2:$P$453, 2, 0)</f>
        <v>BSa</v>
      </c>
      <c r="C49" s="105">
        <v>25</v>
      </c>
      <c r="D49" s="105" t="str">
        <f t="shared" si="0"/>
        <v>01040103</v>
      </c>
      <c r="E49" s="105" t="str">
        <f t="shared" si="6"/>
        <v>4400849160004</v>
      </c>
      <c r="F49" s="105" t="b">
        <f t="shared" si="1"/>
        <v>0</v>
      </c>
      <c r="G49" s="139">
        <f t="shared" si="2"/>
        <v>46203</v>
      </c>
      <c r="H49" s="105">
        <v>48</v>
      </c>
      <c r="I49" s="105">
        <f t="shared" si="3"/>
        <v>2026</v>
      </c>
      <c r="J49" s="55">
        <f t="shared" ca="1" si="7"/>
        <v>7</v>
      </c>
      <c r="K49" s="55" t="str">
        <f t="shared" ca="1" si="8"/>
        <v/>
      </c>
      <c r="L49" s="55" t="str">
        <f t="shared" ca="1" si="4"/>
        <v/>
      </c>
      <c r="M49" s="55">
        <f t="shared" ca="1" si="9"/>
        <v>0</v>
      </c>
      <c r="N49" s="55">
        <f t="shared" ca="1" si="5"/>
        <v>0</v>
      </c>
    </row>
    <row r="50" spans="1:14" x14ac:dyDescent="0.3">
      <c r="A50" s="105">
        <v>49</v>
      </c>
      <c r="B50" s="105" t="str">
        <f>VLOOKUP( $A50, Aop!$A$2:$P$453, 2, 0)</f>
        <v>BSa</v>
      </c>
      <c r="C50" s="105">
        <v>25</v>
      </c>
      <c r="D50" s="105" t="str">
        <f t="shared" si="0"/>
        <v>01040103</v>
      </c>
      <c r="E50" s="105" t="str">
        <f t="shared" si="6"/>
        <v>4400849160004</v>
      </c>
      <c r="F50" s="105" t="b">
        <f t="shared" si="1"/>
        <v>0</v>
      </c>
      <c r="G50" s="139">
        <f t="shared" si="2"/>
        <v>46203</v>
      </c>
      <c r="H50" s="105">
        <v>49</v>
      </c>
      <c r="I50" s="105">
        <f t="shared" si="3"/>
        <v>2026</v>
      </c>
      <c r="J50" s="55" t="str">
        <f t="shared" ca="1" si="7"/>
        <v/>
      </c>
      <c r="K50" s="55" t="str">
        <f t="shared" ca="1" si="8"/>
        <v/>
      </c>
      <c r="L50" s="55" t="str">
        <f t="shared" ca="1" si="4"/>
        <v/>
      </c>
      <c r="M50" s="55">
        <f t="shared" ca="1" si="9"/>
        <v>0</v>
      </c>
      <c r="N50" s="55">
        <f t="shared" ca="1" si="5"/>
        <v>0</v>
      </c>
    </row>
    <row r="51" spans="1:14" x14ac:dyDescent="0.3">
      <c r="A51" s="105">
        <v>50</v>
      </c>
      <c r="B51" s="105" t="str">
        <f>VLOOKUP( $A51, Aop!$A$2:$P$453, 2, 0)</f>
        <v>BSa</v>
      </c>
      <c r="C51" s="105">
        <v>25</v>
      </c>
      <c r="D51" s="105" t="str">
        <f t="shared" si="0"/>
        <v>01040103</v>
      </c>
      <c r="E51" s="105" t="str">
        <f t="shared" si="6"/>
        <v>4400849160004</v>
      </c>
      <c r="F51" s="105" t="b">
        <f t="shared" si="1"/>
        <v>0</v>
      </c>
      <c r="G51" s="139">
        <f t="shared" si="2"/>
        <v>46203</v>
      </c>
      <c r="H51" s="105">
        <v>50</v>
      </c>
      <c r="I51" s="105">
        <f t="shared" si="3"/>
        <v>2026</v>
      </c>
      <c r="J51" s="55">
        <f t="shared" ca="1" si="7"/>
        <v>7</v>
      </c>
      <c r="K51" s="55">
        <f t="shared" ca="1" si="8"/>
        <v>439210</v>
      </c>
      <c r="L51" s="55" t="str">
        <f t="shared" ca="1" si="4"/>
        <v/>
      </c>
      <c r="M51" s="55">
        <f t="shared" ca="1" si="9"/>
        <v>439210</v>
      </c>
      <c r="N51" s="55">
        <f t="shared" ca="1" si="5"/>
        <v>439210</v>
      </c>
    </row>
    <row r="52" spans="1:14" x14ac:dyDescent="0.3">
      <c r="A52" s="105">
        <v>51</v>
      </c>
      <c r="B52" s="105" t="str">
        <f>VLOOKUP( $A52, Aop!$A$2:$P$453, 2, 0)</f>
        <v>BSa</v>
      </c>
      <c r="C52" s="105">
        <v>25</v>
      </c>
      <c r="D52" s="105" t="str">
        <f t="shared" si="0"/>
        <v>01040103</v>
      </c>
      <c r="E52" s="105" t="str">
        <f t="shared" si="6"/>
        <v>4400849160004</v>
      </c>
      <c r="F52" s="105" t="b">
        <f t="shared" si="1"/>
        <v>0</v>
      </c>
      <c r="G52" s="139">
        <f t="shared" si="2"/>
        <v>46203</v>
      </c>
      <c r="H52" s="105">
        <v>51</v>
      </c>
      <c r="I52" s="105">
        <f t="shared" si="3"/>
        <v>2026</v>
      </c>
      <c r="J52" s="55" t="str">
        <f t="shared" ca="1" si="7"/>
        <v/>
      </c>
      <c r="K52" s="55" t="str">
        <f t="shared" ca="1" si="8"/>
        <v/>
      </c>
      <c r="L52" s="55" t="str">
        <f t="shared" ca="1" si="4"/>
        <v/>
      </c>
      <c r="M52" s="55">
        <f t="shared" ca="1" si="9"/>
        <v>0</v>
      </c>
      <c r="N52" s="55">
        <f t="shared" ca="1" si="5"/>
        <v>0</v>
      </c>
    </row>
    <row r="53" spans="1:14" x14ac:dyDescent="0.3">
      <c r="A53" s="105">
        <v>52</v>
      </c>
      <c r="B53" s="105" t="str">
        <f>VLOOKUP( $A53, Aop!$A$2:$P$453, 2, 0)</f>
        <v>BSa</v>
      </c>
      <c r="C53" s="105">
        <v>25</v>
      </c>
      <c r="D53" s="105" t="str">
        <f t="shared" si="0"/>
        <v>01040103</v>
      </c>
      <c r="E53" s="105" t="str">
        <f t="shared" si="6"/>
        <v>4400849160004</v>
      </c>
      <c r="F53" s="105" t="b">
        <f t="shared" si="1"/>
        <v>0</v>
      </c>
      <c r="G53" s="139">
        <f t="shared" si="2"/>
        <v>46203</v>
      </c>
      <c r="H53" s="105">
        <v>52</v>
      </c>
      <c r="I53" s="105">
        <f t="shared" si="3"/>
        <v>2026</v>
      </c>
      <c r="J53" s="55" t="str">
        <f t="shared" ca="1" si="7"/>
        <v/>
      </c>
      <c r="K53" s="55">
        <f t="shared" ca="1" si="8"/>
        <v>2608750</v>
      </c>
      <c r="L53" s="55">
        <f t="shared" ca="1" si="4"/>
        <v>0</v>
      </c>
      <c r="M53" s="55">
        <f t="shared" ca="1" si="9"/>
        <v>2608750</v>
      </c>
      <c r="N53" s="55">
        <f t="shared" ca="1" si="5"/>
        <v>2608750</v>
      </c>
    </row>
    <row r="54" spans="1:14" x14ac:dyDescent="0.3">
      <c r="A54" s="105">
        <v>53</v>
      </c>
      <c r="B54" s="105" t="str">
        <f>VLOOKUP( $A54, Aop!$A$2:$P$453, 2, 0)</f>
        <v>BSa</v>
      </c>
      <c r="C54" s="105">
        <v>25</v>
      </c>
      <c r="D54" s="105" t="str">
        <f t="shared" si="0"/>
        <v>01040103</v>
      </c>
      <c r="E54" s="105" t="str">
        <f t="shared" si="6"/>
        <v>4400849160004</v>
      </c>
      <c r="F54" s="105" t="b">
        <f t="shared" si="1"/>
        <v>0</v>
      </c>
      <c r="G54" s="139">
        <f t="shared" si="2"/>
        <v>46203</v>
      </c>
      <c r="H54" s="105">
        <v>53</v>
      </c>
      <c r="I54" s="105">
        <f t="shared" si="3"/>
        <v>2026</v>
      </c>
      <c r="J54" s="55" t="str">
        <f t="shared" ca="1" si="7"/>
        <v/>
      </c>
      <c r="K54" s="55">
        <f t="shared" ca="1" si="8"/>
        <v>2608750</v>
      </c>
      <c r="L54" s="55">
        <f t="shared" ca="1" si="4"/>
        <v>0</v>
      </c>
      <c r="M54" s="55">
        <f t="shared" ca="1" si="9"/>
        <v>2608750</v>
      </c>
      <c r="N54" s="55">
        <f t="shared" ca="1" si="5"/>
        <v>2608750</v>
      </c>
    </row>
    <row r="55" spans="1:14" x14ac:dyDescent="0.3">
      <c r="A55" s="105">
        <v>54</v>
      </c>
      <c r="B55" s="105" t="str">
        <f>VLOOKUP( $A55, Aop!$A$2:$P$453, 2, 0)</f>
        <v>BSa</v>
      </c>
      <c r="C55" s="105">
        <v>25</v>
      </c>
      <c r="D55" s="105" t="str">
        <f t="shared" si="0"/>
        <v>01040103</v>
      </c>
      <c r="E55" s="105" t="str">
        <f t="shared" si="6"/>
        <v>4400849160004</v>
      </c>
      <c r="F55" s="105" t="b">
        <f t="shared" si="1"/>
        <v>0</v>
      </c>
      <c r="G55" s="139">
        <f t="shared" si="2"/>
        <v>46203</v>
      </c>
      <c r="H55" s="105">
        <v>54</v>
      </c>
      <c r="I55" s="105">
        <f t="shared" si="3"/>
        <v>2026</v>
      </c>
      <c r="J55" s="55" t="str">
        <f t="shared" ca="1" si="7"/>
        <v/>
      </c>
      <c r="K55" s="55" t="str">
        <f t="shared" ca="1" si="8"/>
        <v/>
      </c>
      <c r="L55" s="55" t="str">
        <f t="shared" ca="1" si="4"/>
        <v/>
      </c>
      <c r="M55" s="55">
        <f t="shared" ca="1" si="9"/>
        <v>0</v>
      </c>
      <c r="N55" s="55">
        <f t="shared" ca="1" si="5"/>
        <v>0</v>
      </c>
    </row>
    <row r="56" spans="1:14" x14ac:dyDescent="0.3">
      <c r="A56" s="105">
        <v>55</v>
      </c>
      <c r="B56" s="105" t="str">
        <f>VLOOKUP( $A56, Aop!$A$2:$P$453, 2, 0)</f>
        <v>BSa</v>
      </c>
      <c r="C56" s="105">
        <v>25</v>
      </c>
      <c r="D56" s="105" t="str">
        <f t="shared" si="0"/>
        <v>01040103</v>
      </c>
      <c r="E56" s="105" t="str">
        <f t="shared" si="6"/>
        <v>4400849160004</v>
      </c>
      <c r="F56" s="105" t="b">
        <f t="shared" si="1"/>
        <v>0</v>
      </c>
      <c r="G56" s="139">
        <f t="shared" si="2"/>
        <v>46203</v>
      </c>
      <c r="H56" s="105">
        <v>55</v>
      </c>
      <c r="I56" s="105">
        <f t="shared" si="3"/>
        <v>2026</v>
      </c>
      <c r="J56" s="55" t="str">
        <f t="shared" ca="1" si="7"/>
        <v/>
      </c>
      <c r="K56" s="55">
        <f t="shared" ca="1" si="8"/>
        <v>2608750</v>
      </c>
      <c r="L56" s="55" t="str">
        <f t="shared" ca="1" si="4"/>
        <v/>
      </c>
      <c r="M56" s="55">
        <f t="shared" ca="1" si="9"/>
        <v>2608750</v>
      </c>
      <c r="N56" s="55">
        <f t="shared" ca="1" si="5"/>
        <v>2608750</v>
      </c>
    </row>
    <row r="57" spans="1:14" x14ac:dyDescent="0.3">
      <c r="A57" s="105">
        <v>56</v>
      </c>
      <c r="B57" s="105" t="str">
        <f>VLOOKUP( $A57, Aop!$A$2:$P$453, 2, 0)</f>
        <v>BSa</v>
      </c>
      <c r="C57" s="105">
        <v>25</v>
      </c>
      <c r="D57" s="105" t="str">
        <f t="shared" si="0"/>
        <v>01040103</v>
      </c>
      <c r="E57" s="105" t="str">
        <f t="shared" si="6"/>
        <v>4400849160004</v>
      </c>
      <c r="F57" s="105" t="b">
        <f t="shared" si="1"/>
        <v>0</v>
      </c>
      <c r="G57" s="139">
        <f t="shared" si="2"/>
        <v>46203</v>
      </c>
      <c r="H57" s="105">
        <v>56</v>
      </c>
      <c r="I57" s="105">
        <f t="shared" si="3"/>
        <v>2026</v>
      </c>
      <c r="J57" s="55" t="str">
        <f t="shared" ca="1" si="7"/>
        <v/>
      </c>
      <c r="K57" s="55" t="str">
        <f t="shared" ca="1" si="8"/>
        <v/>
      </c>
      <c r="L57" s="55" t="str">
        <f t="shared" ca="1" si="4"/>
        <v/>
      </c>
      <c r="M57" s="55">
        <f t="shared" ca="1" si="9"/>
        <v>0</v>
      </c>
      <c r="N57" s="55">
        <f t="shared" ca="1" si="5"/>
        <v>0</v>
      </c>
    </row>
    <row r="58" spans="1:14" x14ac:dyDescent="0.3">
      <c r="A58" s="105">
        <v>57</v>
      </c>
      <c r="B58" s="105" t="str">
        <f>VLOOKUP( $A58, Aop!$A$2:$P$453, 2, 0)</f>
        <v>BSa</v>
      </c>
      <c r="C58" s="105">
        <v>25</v>
      </c>
      <c r="D58" s="105" t="str">
        <f t="shared" si="0"/>
        <v>01040103</v>
      </c>
      <c r="E58" s="105" t="str">
        <f t="shared" si="6"/>
        <v>4400849160004</v>
      </c>
      <c r="F58" s="105" t="b">
        <f t="shared" si="1"/>
        <v>0</v>
      </c>
      <c r="G58" s="139">
        <f t="shared" si="2"/>
        <v>46203</v>
      </c>
      <c r="H58" s="105">
        <v>57</v>
      </c>
      <c r="I58" s="105">
        <f t="shared" si="3"/>
        <v>2026</v>
      </c>
      <c r="J58" s="55" t="str">
        <f t="shared" ca="1" si="7"/>
        <v/>
      </c>
      <c r="K58" s="55" t="str">
        <f t="shared" ca="1" si="8"/>
        <v/>
      </c>
      <c r="L58" s="55" t="str">
        <f t="shared" ca="1" si="4"/>
        <v/>
      </c>
      <c r="M58" s="55">
        <f t="shared" ca="1" si="9"/>
        <v>0</v>
      </c>
      <c r="N58" s="55">
        <f t="shared" ca="1" si="5"/>
        <v>0</v>
      </c>
    </row>
    <row r="59" spans="1:14" x14ac:dyDescent="0.3">
      <c r="A59" s="105">
        <v>58</v>
      </c>
      <c r="B59" s="105" t="str">
        <f>VLOOKUP( $A59, Aop!$A$2:$P$453, 2, 0)</f>
        <v>BSa</v>
      </c>
      <c r="C59" s="105">
        <v>25</v>
      </c>
      <c r="D59" s="105" t="str">
        <f t="shared" si="0"/>
        <v>01040103</v>
      </c>
      <c r="E59" s="105" t="str">
        <f t="shared" si="6"/>
        <v>4400849160004</v>
      </c>
      <c r="F59" s="105" t="b">
        <f t="shared" si="1"/>
        <v>0</v>
      </c>
      <c r="G59" s="139">
        <f t="shared" si="2"/>
        <v>46203</v>
      </c>
      <c r="H59" s="105">
        <v>58</v>
      </c>
      <c r="I59" s="105">
        <f t="shared" si="3"/>
        <v>2026</v>
      </c>
      <c r="J59" s="55" t="str">
        <f t="shared" ca="1" si="7"/>
        <v/>
      </c>
      <c r="K59" s="55" t="str">
        <f t="shared" ca="1" si="8"/>
        <v/>
      </c>
      <c r="L59" s="55" t="str">
        <f t="shared" ca="1" si="4"/>
        <v/>
      </c>
      <c r="M59" s="55">
        <f t="shared" ca="1" si="9"/>
        <v>0</v>
      </c>
      <c r="N59" s="55">
        <f t="shared" ca="1" si="5"/>
        <v>0</v>
      </c>
    </row>
    <row r="60" spans="1:14" x14ac:dyDescent="0.3">
      <c r="A60" s="105">
        <v>59</v>
      </c>
      <c r="B60" s="105" t="str">
        <f>VLOOKUP( $A60, Aop!$A$2:$P$453, 2, 0)</f>
        <v>BSa</v>
      </c>
      <c r="C60" s="105">
        <v>25</v>
      </c>
      <c r="D60" s="105" t="str">
        <f t="shared" si="0"/>
        <v>01040103</v>
      </c>
      <c r="E60" s="105" t="str">
        <f t="shared" si="6"/>
        <v>4400849160004</v>
      </c>
      <c r="F60" s="105" t="b">
        <f t="shared" si="1"/>
        <v>0</v>
      </c>
      <c r="G60" s="139">
        <f t="shared" si="2"/>
        <v>46203</v>
      </c>
      <c r="H60" s="105">
        <v>59</v>
      </c>
      <c r="I60" s="105">
        <f t="shared" si="3"/>
        <v>2026</v>
      </c>
      <c r="J60" s="55" t="str">
        <f t="shared" ca="1" si="7"/>
        <v/>
      </c>
      <c r="K60" s="55" t="str">
        <f t="shared" ca="1" si="8"/>
        <v/>
      </c>
      <c r="L60" s="55" t="str">
        <f t="shared" ca="1" si="4"/>
        <v/>
      </c>
      <c r="M60" s="55">
        <f t="shared" ca="1" si="9"/>
        <v>0</v>
      </c>
      <c r="N60" s="55">
        <f t="shared" ca="1" si="5"/>
        <v>0</v>
      </c>
    </row>
    <row r="61" spans="1:14" x14ac:dyDescent="0.3">
      <c r="A61" s="105">
        <v>60</v>
      </c>
      <c r="B61" s="105" t="str">
        <f>VLOOKUP( $A61, Aop!$A$2:$P$453, 2, 0)</f>
        <v>BSa</v>
      </c>
      <c r="C61" s="105">
        <v>25</v>
      </c>
      <c r="D61" s="105" t="str">
        <f t="shared" si="0"/>
        <v>01040103</v>
      </c>
      <c r="E61" s="105" t="str">
        <f t="shared" si="6"/>
        <v>4400849160004</v>
      </c>
      <c r="F61" s="105" t="b">
        <f t="shared" si="1"/>
        <v>0</v>
      </c>
      <c r="G61" s="139">
        <f t="shared" si="2"/>
        <v>46203</v>
      </c>
      <c r="H61" s="105">
        <v>60</v>
      </c>
      <c r="I61" s="105">
        <f t="shared" si="3"/>
        <v>2026</v>
      </c>
      <c r="J61" s="55" t="str">
        <f t="shared" ca="1" si="7"/>
        <v/>
      </c>
      <c r="K61" s="55" t="str">
        <f t="shared" ca="1" si="8"/>
        <v/>
      </c>
      <c r="L61" s="55" t="str">
        <f t="shared" ca="1" si="4"/>
        <v/>
      </c>
      <c r="M61" s="55">
        <f t="shared" ca="1" si="9"/>
        <v>0</v>
      </c>
      <c r="N61" s="55">
        <f t="shared" ca="1" si="5"/>
        <v>0</v>
      </c>
    </row>
    <row r="62" spans="1:14" x14ac:dyDescent="0.3">
      <c r="A62" s="105">
        <v>61</v>
      </c>
      <c r="B62" s="105" t="str">
        <f>VLOOKUP( $A62, Aop!$A$2:$P$453, 2, 0)</f>
        <v>BSa</v>
      </c>
      <c r="C62" s="105">
        <v>25</v>
      </c>
      <c r="D62" s="105" t="str">
        <f t="shared" si="0"/>
        <v>01040103</v>
      </c>
      <c r="E62" s="105" t="str">
        <f t="shared" si="6"/>
        <v>4400849160004</v>
      </c>
      <c r="F62" s="105" t="b">
        <f t="shared" si="1"/>
        <v>0</v>
      </c>
      <c r="G62" s="139">
        <f t="shared" si="2"/>
        <v>46203</v>
      </c>
      <c r="H62" s="105">
        <v>61</v>
      </c>
      <c r="I62" s="105">
        <f t="shared" si="3"/>
        <v>2026</v>
      </c>
      <c r="J62" s="55">
        <f t="shared" ca="1" si="7"/>
        <v>8</v>
      </c>
      <c r="K62" s="55">
        <f t="shared" ca="1" si="8"/>
        <v>250689</v>
      </c>
      <c r="L62" s="55">
        <f t="shared" ca="1" si="4"/>
        <v>0</v>
      </c>
      <c r="M62" s="55">
        <f t="shared" ca="1" si="9"/>
        <v>250689</v>
      </c>
      <c r="N62" s="55">
        <f t="shared" ca="1" si="5"/>
        <v>250689</v>
      </c>
    </row>
    <row r="63" spans="1:14" x14ac:dyDescent="0.3">
      <c r="A63" s="105">
        <v>62</v>
      </c>
      <c r="B63" s="105" t="str">
        <f>VLOOKUP( $A63, Aop!$A$2:$P$453, 2, 0)</f>
        <v>BSa</v>
      </c>
      <c r="C63" s="105">
        <v>25</v>
      </c>
      <c r="D63" s="105" t="str">
        <f t="shared" si="0"/>
        <v>01040103</v>
      </c>
      <c r="E63" s="105" t="str">
        <f t="shared" si="6"/>
        <v>4400849160004</v>
      </c>
      <c r="F63" s="105" t="b">
        <f t="shared" si="1"/>
        <v>0</v>
      </c>
      <c r="G63" s="139">
        <f t="shared" si="2"/>
        <v>46203</v>
      </c>
      <c r="H63" s="105">
        <v>62</v>
      </c>
      <c r="I63" s="105">
        <f t="shared" si="3"/>
        <v>2026</v>
      </c>
      <c r="J63" s="55" t="str">
        <f t="shared" ca="1" si="7"/>
        <v/>
      </c>
      <c r="K63" s="55" t="str">
        <f t="shared" ca="1" si="8"/>
        <v/>
      </c>
      <c r="L63" s="55" t="str">
        <f t="shared" ca="1" si="4"/>
        <v/>
      </c>
      <c r="M63" s="55">
        <f t="shared" ca="1" si="9"/>
        <v>0</v>
      </c>
      <c r="N63" s="55">
        <f t="shared" ca="1" si="5"/>
        <v>0</v>
      </c>
    </row>
    <row r="64" spans="1:14" x14ac:dyDescent="0.3">
      <c r="A64" s="105">
        <v>63</v>
      </c>
      <c r="B64" s="105" t="str">
        <f>VLOOKUP( $A64, Aop!$A$2:$P$453, 2, 0)</f>
        <v>BSa</v>
      </c>
      <c r="C64" s="105">
        <v>25</v>
      </c>
      <c r="D64" s="105" t="str">
        <f t="shared" si="0"/>
        <v>01040103</v>
      </c>
      <c r="E64" s="105" t="str">
        <f t="shared" si="6"/>
        <v>4400849160004</v>
      </c>
      <c r="F64" s="105" t="b">
        <f t="shared" si="1"/>
        <v>0</v>
      </c>
      <c r="G64" s="139">
        <f t="shared" si="2"/>
        <v>46203</v>
      </c>
      <c r="H64" s="105">
        <v>63</v>
      </c>
      <c r="I64" s="105">
        <f t="shared" si="3"/>
        <v>2026</v>
      </c>
      <c r="J64" s="55">
        <f t="shared" ca="1" si="7"/>
        <v>8</v>
      </c>
      <c r="K64" s="55">
        <f t="shared" ca="1" si="8"/>
        <v>250689</v>
      </c>
      <c r="L64" s="55" t="str">
        <f t="shared" ca="1" si="4"/>
        <v/>
      </c>
      <c r="M64" s="55">
        <f t="shared" ca="1" si="9"/>
        <v>250689</v>
      </c>
      <c r="N64" s="55">
        <f t="shared" ca="1" si="5"/>
        <v>250689</v>
      </c>
    </row>
    <row r="65" spans="1:14" x14ac:dyDescent="0.3">
      <c r="A65" s="105">
        <v>64</v>
      </c>
      <c r="B65" s="105" t="str">
        <f>VLOOKUP( $A65, Aop!$A$2:$P$453, 2, 0)</f>
        <v>BSa</v>
      </c>
      <c r="C65" s="105">
        <v>25</v>
      </c>
      <c r="D65" s="105" t="str">
        <f t="shared" si="0"/>
        <v>01040103</v>
      </c>
      <c r="E65" s="105" t="str">
        <f t="shared" si="6"/>
        <v>4400849160004</v>
      </c>
      <c r="F65" s="105" t="b">
        <f t="shared" si="1"/>
        <v>0</v>
      </c>
      <c r="G65" s="139">
        <f t="shared" si="2"/>
        <v>46203</v>
      </c>
      <c r="H65" s="105">
        <v>64</v>
      </c>
      <c r="I65" s="105">
        <f t="shared" si="3"/>
        <v>2026</v>
      </c>
      <c r="J65" s="55" t="str">
        <f t="shared" ca="1" si="7"/>
        <v/>
      </c>
      <c r="K65" s="55" t="str">
        <f t="shared" ca="1" si="8"/>
        <v/>
      </c>
      <c r="L65" s="55" t="str">
        <f t="shared" ca="1" si="4"/>
        <v/>
      </c>
      <c r="M65" s="55">
        <f t="shared" ca="1" si="9"/>
        <v>0</v>
      </c>
      <c r="N65" s="55">
        <f t="shared" ca="1" si="5"/>
        <v>0</v>
      </c>
    </row>
    <row r="66" spans="1:14" x14ac:dyDescent="0.3">
      <c r="A66" s="105">
        <v>65</v>
      </c>
      <c r="B66" s="55" t="str">
        <f>VLOOKUP( $A66, Aop!$A$2:$P$453, 2, 0)</f>
        <v>BSa</v>
      </c>
      <c r="C66" s="105">
        <v>25</v>
      </c>
      <c r="D66" s="55" t="str">
        <f>Podatak_MB</f>
        <v>01040103</v>
      </c>
      <c r="E66" s="55" t="str">
        <f>Podatak_JIB</f>
        <v>4400849160004</v>
      </c>
      <c r="F66" s="55" t="b">
        <f>Konsolidovan_izvjestaj</f>
        <v>0</v>
      </c>
      <c r="G66" s="139">
        <f>Datum_Broj</f>
        <v>46203</v>
      </c>
      <c r="H66" s="105">
        <v>65</v>
      </c>
      <c r="I66" s="55">
        <f>Godina</f>
        <v>2026</v>
      </c>
      <c r="J66" s="55" t="str">
        <f t="shared" ca="1" si="7"/>
        <v/>
      </c>
      <c r="K66" s="55">
        <f t="shared" ca="1" si="8"/>
        <v>1471353</v>
      </c>
      <c r="L66" s="55" t="str">
        <f t="shared" ref="L66:L131" ca="1" si="10">IF( VLOOKUP( $H66, INDIRECT( "Lookup_" &amp; $B66), IF( LEFT( $B66, 2) = "BS", R$2, R$1), 0) = "", "", VLOOKUP( $H66, INDIRECT( "Lookup_" &amp; $B66), IF( $B66 = "BSa", R$2, R$1), 0))</f>
        <v/>
      </c>
      <c r="M66" s="55">
        <f t="shared" ca="1" si="9"/>
        <v>1471353</v>
      </c>
      <c r="N66" s="55">
        <f t="shared" ref="N66:N129" ca="1" si="11">IF( VLOOKUP( $H66, INDIRECT( "Lookup_" &amp; $B66), IF( LEFT( $B66, 2) = "BS", S$2, S$1), 0) = "", "", VLOOKUP( $H66, INDIRECT( "Lookup_" &amp; $B66), IF( LEFT( $B66, 2) = "BS", S$2, S$1), 0))</f>
        <v>1471353</v>
      </c>
    </row>
    <row r="67" spans="1:14" x14ac:dyDescent="0.3">
      <c r="A67" s="105">
        <v>66</v>
      </c>
      <c r="B67" s="55" t="str">
        <f>VLOOKUP( $A67, Aop!$A$2:$P$453, 2, 0)</f>
        <v>BSa</v>
      </c>
      <c r="C67" s="105">
        <v>25</v>
      </c>
      <c r="D67" s="55" t="str">
        <f>Podatak_MB</f>
        <v>01040103</v>
      </c>
      <c r="E67" s="55" t="str">
        <f>Podatak_JIB</f>
        <v>4400849160004</v>
      </c>
      <c r="F67" s="55" t="b">
        <f>Konsolidovan_izvjestaj</f>
        <v>0</v>
      </c>
      <c r="G67" s="139">
        <f>Datum_Broj</f>
        <v>46203</v>
      </c>
      <c r="H67" s="105">
        <v>66</v>
      </c>
      <c r="I67" s="55">
        <f>Godina</f>
        <v>2026</v>
      </c>
      <c r="J67" s="55" t="str">
        <f t="shared" ca="1" si="7"/>
        <v/>
      </c>
      <c r="K67" s="55">
        <f t="shared" ca="1" si="8"/>
        <v>53831098</v>
      </c>
      <c r="L67" s="55">
        <f ca="1">IF( VLOOKUP( $H67, INDIRECT( "Lookup_" &amp; $B67), IF( LEFT( $B67, 2) = "BS", R$2, R$1), 0) = "", "", VLOOKUP( $H67, INDIRECT( "Lookup_" &amp; $B67), IF( $B67 = "BSa", R$2, R$1), 0))</f>
        <v>25907933</v>
      </c>
      <c r="M67" s="55">
        <f t="shared" ca="1" si="9"/>
        <v>27923165</v>
      </c>
      <c r="N67" s="55">
        <f t="shared" ca="1" si="11"/>
        <v>27923165</v>
      </c>
    </row>
    <row r="68" spans="1:14" x14ac:dyDescent="0.3">
      <c r="A68" s="105">
        <v>67</v>
      </c>
      <c r="B68" s="105" t="str">
        <f>VLOOKUP( $A68, Aop!$A$2:$P$453, 2, 0)</f>
        <v>BSa</v>
      </c>
      <c r="C68" s="105">
        <v>25</v>
      </c>
      <c r="D68" s="105" t="str">
        <f t="shared" ref="D68:D129" si="12">Podatak_MB</f>
        <v>01040103</v>
      </c>
      <c r="E68" s="105" t="str">
        <f t="shared" ref="E68:E129" si="13">Podatak_JIB</f>
        <v>4400849160004</v>
      </c>
      <c r="F68" s="105" t="b">
        <f t="shared" ref="F68:F131" si="14">Konsolidovan_izvjestaj</f>
        <v>0</v>
      </c>
      <c r="G68" s="139">
        <f t="shared" ref="G68:G131" si="15">Datum_Broj</f>
        <v>46203</v>
      </c>
      <c r="H68" s="105">
        <v>67</v>
      </c>
      <c r="I68" s="105">
        <f t="shared" ref="I68:I129" si="16">Godina</f>
        <v>2026</v>
      </c>
      <c r="J68" s="55" t="str">
        <f t="shared" ref="J68" ca="1" si="17">IF( VLOOKUP( $H68, INDIRECT( "Lookup_" &amp; $B68), IF( LEFT( $B68, 2) = "BS", P$2, P$1), 0) = "", "", VLOOKUP( $H68, INDIRECT( "Lookup_" &amp; $B68), IF( $B68 = "BSa", P$2, P$1), 0))</f>
        <v/>
      </c>
      <c r="K68" s="55" t="str">
        <f t="shared" ref="K68" ca="1" si="18">IF( VLOOKUP( $H68, INDIRECT( "Lookup_" &amp; $B68), IF( LEFT( $B68, 2) = "BS", Q$2, Q$1), 0) = "", "", VLOOKUP( $H68, INDIRECT( "Lookup_" &amp; $B68), IF( $B68 = "BSa", Q$2, Q$1), 0))</f>
        <v/>
      </c>
      <c r="L68" s="55" t="str">
        <f t="shared" ca="1" si="10"/>
        <v/>
      </c>
      <c r="M68" s="55">
        <f t="shared" ref="M68:M131" ca="1" si="19">IF( VLOOKUP( $H68, INDIRECT( "Lookup_" &amp; $B68), IF( LEFT( $B68, 2) = "BS", S$2, S$1), 0) = "", "", VLOOKUP( $H68, INDIRECT( "Lookup_" &amp; $B68), IF( LEFT( $B68, 2) = "BS", S$2, S$1), 0))</f>
        <v>0</v>
      </c>
      <c r="N68" s="55">
        <f t="shared" ca="1" si="11"/>
        <v>0</v>
      </c>
    </row>
    <row r="69" spans="1:14" x14ac:dyDescent="0.3">
      <c r="A69" s="105">
        <v>68</v>
      </c>
      <c r="B69" s="105" t="str">
        <f>VLOOKUP( $A69, Aop!$A$2:$P$453, 2, 0)</f>
        <v>BSp</v>
      </c>
      <c r="C69" s="105">
        <v>26</v>
      </c>
      <c r="D69" s="105" t="str">
        <f>Podatak_MB</f>
        <v>01040103</v>
      </c>
      <c r="E69" s="105" t="str">
        <f>Podatak_JIB</f>
        <v>4400849160004</v>
      </c>
      <c r="F69" s="105" t="b">
        <f>Konsolidovan_izvjestaj</f>
        <v>0</v>
      </c>
      <c r="G69" s="139">
        <f>Datum_Broj</f>
        <v>46203</v>
      </c>
      <c r="H69" s="105">
        <f>VLOOKUP( $A69, Aop!$A$2:$P$453, 4, 0)</f>
        <v>101</v>
      </c>
      <c r="I69" s="105">
        <f>Godina</f>
        <v>2026</v>
      </c>
      <c r="J69" s="55">
        <f ca="1">IF( VLOOKUP( $H69, INDIRECT( "Lookup_" &amp; $B69), IF( LEFT( $B69, 2) = "BS", P$2, P$1), 0) = "", "", VLOOKUP( $H69, INDIRECT( "Lookup_" &amp; $B69), IF( $B69 = "BSp", P$2, P$1), 0))</f>
        <v>9</v>
      </c>
      <c r="K69" s="55"/>
      <c r="L69" s="55" t="str">
        <f ca="1">IF( VLOOKUP( $H69, INDIRECT( "Lookup_" &amp; $B69), IF( LEFT( $B69, 2) = "BS", R$2, R$1), 0) = "", "", VLOOKUP( $H69, INDIRECT( "Lookup_" &amp; $B69), IF( $B69 = "BSa", R$2, R$1), 0))</f>
        <v/>
      </c>
      <c r="M69" s="55">
        <f t="shared" ca="1" si="19"/>
        <v>21911658</v>
      </c>
      <c r="N69" s="55">
        <f t="shared" ca="1" si="11"/>
        <v>21911658</v>
      </c>
    </row>
    <row r="70" spans="1:14" x14ac:dyDescent="0.3">
      <c r="A70" s="105">
        <v>69</v>
      </c>
      <c r="B70" s="105" t="str">
        <f>VLOOKUP( $A70, Aop!$A$2:$P$453, 2, 0)</f>
        <v>BSp</v>
      </c>
      <c r="C70" s="105">
        <v>26</v>
      </c>
      <c r="D70" s="105" t="str">
        <f t="shared" si="12"/>
        <v>01040103</v>
      </c>
      <c r="E70" s="105" t="str">
        <f t="shared" si="13"/>
        <v>4400849160004</v>
      </c>
      <c r="F70" s="105" t="b">
        <f t="shared" si="14"/>
        <v>0</v>
      </c>
      <c r="G70" s="139">
        <f t="shared" si="15"/>
        <v>46203</v>
      </c>
      <c r="H70" s="105">
        <f>VLOOKUP( $A70, Aop!$A$2:$P$453, 4, 0)</f>
        <v>102</v>
      </c>
      <c r="I70" s="105">
        <f t="shared" si="16"/>
        <v>2026</v>
      </c>
      <c r="J70" s="55" t="str">
        <f ca="1">IF( VLOOKUP( $H70, INDIRECT( "Lookup_" &amp; $B70), IF( LEFT( $B70, 2) = "BS", P$2, P$1), 0) = "", "", VLOOKUP( $H70, INDIRECT( "Lookup_" &amp; $B70), IF( $B70 = "BSp", P$2, P$1), 0))</f>
        <v/>
      </c>
      <c r="K70" s="55"/>
      <c r="L70" s="55" t="str">
        <f t="shared" ca="1" si="10"/>
        <v/>
      </c>
      <c r="M70" s="55">
        <f t="shared" ca="1" si="19"/>
        <v>9603944</v>
      </c>
      <c r="N70" s="55">
        <f t="shared" ca="1" si="11"/>
        <v>9603944</v>
      </c>
    </row>
    <row r="71" spans="1:14" x14ac:dyDescent="0.3">
      <c r="A71" s="105">
        <v>70</v>
      </c>
      <c r="B71" s="105" t="str">
        <f>VLOOKUP( $A71, Aop!$A$2:$P$453, 2, 0)</f>
        <v>BSp</v>
      </c>
      <c r="C71" s="105">
        <v>26</v>
      </c>
      <c r="D71" s="105" t="str">
        <f t="shared" si="12"/>
        <v>01040103</v>
      </c>
      <c r="E71" s="105" t="str">
        <f t="shared" si="13"/>
        <v>4400849160004</v>
      </c>
      <c r="F71" s="105" t="b">
        <f t="shared" si="14"/>
        <v>0</v>
      </c>
      <c r="G71" s="139">
        <f t="shared" si="15"/>
        <v>46203</v>
      </c>
      <c r="H71" s="105">
        <f>VLOOKUP( $A71, Aop!$A$2:$P$453, 4, 0)</f>
        <v>103</v>
      </c>
      <c r="I71" s="105">
        <f t="shared" si="16"/>
        <v>2026</v>
      </c>
      <c r="J71" s="55" t="str">
        <f t="shared" ref="J71:J134" ca="1" si="20">IF( VLOOKUP( $H71, INDIRECT( "Lookup_" &amp; $B71), IF( LEFT( $B71, 2) = "BS", P$2, P$1), 0) = "", "", VLOOKUP( $H71, INDIRECT( "Lookup_" &amp; $B71), IF( $B71 = "BSp", P$2, P$1), 0))</f>
        <v/>
      </c>
      <c r="K71" s="55"/>
      <c r="L71" s="55" t="str">
        <f t="shared" ca="1" si="10"/>
        <v/>
      </c>
      <c r="M71" s="55">
        <f t="shared" ca="1" si="19"/>
        <v>9603944</v>
      </c>
      <c r="N71" s="55">
        <f t="shared" ca="1" si="11"/>
        <v>9603944</v>
      </c>
    </row>
    <row r="72" spans="1:14" x14ac:dyDescent="0.3">
      <c r="A72" s="105">
        <v>71</v>
      </c>
      <c r="B72" s="105" t="str">
        <f>VLOOKUP( $A72, Aop!$A$2:$P$453, 2, 0)</f>
        <v>BSp</v>
      </c>
      <c r="C72" s="105">
        <v>26</v>
      </c>
      <c r="D72" s="105" t="str">
        <f t="shared" si="12"/>
        <v>01040103</v>
      </c>
      <c r="E72" s="105" t="str">
        <f t="shared" si="13"/>
        <v>4400849160004</v>
      </c>
      <c r="F72" s="105" t="b">
        <f t="shared" si="14"/>
        <v>0</v>
      </c>
      <c r="G72" s="139">
        <f t="shared" si="15"/>
        <v>46203</v>
      </c>
      <c r="H72" s="105">
        <f>VLOOKUP( $A72, Aop!$A$2:$P$453, 4, 0)</f>
        <v>104</v>
      </c>
      <c r="I72" s="105">
        <f t="shared" si="16"/>
        <v>2026</v>
      </c>
      <c r="J72" s="55" t="str">
        <f t="shared" ca="1" si="20"/>
        <v/>
      </c>
      <c r="K72" s="55"/>
      <c r="L72" s="55" t="str">
        <f t="shared" ca="1" si="10"/>
        <v/>
      </c>
      <c r="M72" s="55">
        <f t="shared" ca="1" si="19"/>
        <v>9603944</v>
      </c>
      <c r="N72" s="55">
        <f t="shared" ca="1" si="11"/>
        <v>9603944</v>
      </c>
    </row>
    <row r="73" spans="1:14" x14ac:dyDescent="0.3">
      <c r="A73" s="105">
        <v>72</v>
      </c>
      <c r="B73" s="105" t="str">
        <f>VLOOKUP( $A73, Aop!$A$2:$P$453, 2, 0)</f>
        <v>BSp</v>
      </c>
      <c r="C73" s="105">
        <v>26</v>
      </c>
      <c r="D73" s="105" t="str">
        <f t="shared" si="12"/>
        <v>01040103</v>
      </c>
      <c r="E73" s="105" t="str">
        <f t="shared" si="13"/>
        <v>4400849160004</v>
      </c>
      <c r="F73" s="105" t="b">
        <f t="shared" si="14"/>
        <v>0</v>
      </c>
      <c r="G73" s="139">
        <f t="shared" si="15"/>
        <v>46203</v>
      </c>
      <c r="H73" s="105">
        <f>VLOOKUP( $A73, Aop!$A$2:$P$453, 4, 0)</f>
        <v>105</v>
      </c>
      <c r="I73" s="105">
        <f t="shared" si="16"/>
        <v>2026</v>
      </c>
      <c r="J73" s="55" t="str">
        <f t="shared" ca="1" si="20"/>
        <v/>
      </c>
      <c r="K73" s="55"/>
      <c r="L73" s="55" t="str">
        <f t="shared" ca="1" si="10"/>
        <v/>
      </c>
      <c r="M73" s="55" t="str">
        <f t="shared" ca="1" si="19"/>
        <v/>
      </c>
      <c r="N73" s="55" t="str">
        <f t="shared" ca="1" si="11"/>
        <v/>
      </c>
    </row>
    <row r="74" spans="1:14" x14ac:dyDescent="0.3">
      <c r="A74" s="105">
        <v>73</v>
      </c>
      <c r="B74" s="105" t="str">
        <f>VLOOKUP( $A74, Aop!$A$2:$P$453, 2, 0)</f>
        <v>BSp</v>
      </c>
      <c r="C74" s="105">
        <v>26</v>
      </c>
      <c r="D74" s="105" t="str">
        <f t="shared" si="12"/>
        <v>01040103</v>
      </c>
      <c r="E74" s="105" t="str">
        <f t="shared" si="13"/>
        <v>4400849160004</v>
      </c>
      <c r="F74" s="105" t="b">
        <f t="shared" si="14"/>
        <v>0</v>
      </c>
      <c r="G74" s="139">
        <f t="shared" si="15"/>
        <v>46203</v>
      </c>
      <c r="H74" s="105">
        <f>VLOOKUP( $A74, Aop!$A$2:$P$453, 4, 0)</f>
        <v>106</v>
      </c>
      <c r="I74" s="105">
        <f t="shared" si="16"/>
        <v>2026</v>
      </c>
      <c r="J74" s="55" t="str">
        <f t="shared" ca="1" si="20"/>
        <v/>
      </c>
      <c r="K74" s="55"/>
      <c r="L74" s="55" t="str">
        <f t="shared" ca="1" si="10"/>
        <v/>
      </c>
      <c r="M74" s="55" t="str">
        <f t="shared" ca="1" si="19"/>
        <v/>
      </c>
      <c r="N74" s="55" t="str">
        <f t="shared" ca="1" si="11"/>
        <v/>
      </c>
    </row>
    <row r="75" spans="1:14" x14ac:dyDescent="0.3">
      <c r="A75" s="105">
        <v>74</v>
      </c>
      <c r="B75" s="105" t="str">
        <f>VLOOKUP( $A75, Aop!$A$2:$P$453, 2, 0)</f>
        <v>BSp</v>
      </c>
      <c r="C75" s="105">
        <v>26</v>
      </c>
      <c r="D75" s="105" t="str">
        <f t="shared" si="12"/>
        <v>01040103</v>
      </c>
      <c r="E75" s="105" t="str">
        <f t="shared" si="13"/>
        <v>4400849160004</v>
      </c>
      <c r="F75" s="105" t="b">
        <f t="shared" si="14"/>
        <v>0</v>
      </c>
      <c r="G75" s="139">
        <f t="shared" si="15"/>
        <v>46203</v>
      </c>
      <c r="H75" s="105">
        <f>VLOOKUP( $A75, Aop!$A$2:$P$453, 4, 0)</f>
        <v>107</v>
      </c>
      <c r="I75" s="105">
        <f t="shared" si="16"/>
        <v>2026</v>
      </c>
      <c r="J75" s="55" t="str">
        <f t="shared" ca="1" si="20"/>
        <v/>
      </c>
      <c r="K75" s="55"/>
      <c r="L75" s="55" t="str">
        <f t="shared" ca="1" si="10"/>
        <v/>
      </c>
      <c r="M75" s="55" t="str">
        <f t="shared" ca="1" si="19"/>
        <v/>
      </c>
      <c r="N75" s="55" t="str">
        <f t="shared" ca="1" si="11"/>
        <v/>
      </c>
    </row>
    <row r="76" spans="1:14" x14ac:dyDescent="0.3">
      <c r="A76" s="105">
        <v>75</v>
      </c>
      <c r="B76" s="105" t="str">
        <f>VLOOKUP( $A76, Aop!$A$2:$P$453, 2, 0)</f>
        <v>BSp</v>
      </c>
      <c r="C76" s="105">
        <v>26</v>
      </c>
      <c r="D76" s="105" t="str">
        <f t="shared" si="12"/>
        <v>01040103</v>
      </c>
      <c r="E76" s="105" t="str">
        <f t="shared" si="13"/>
        <v>4400849160004</v>
      </c>
      <c r="F76" s="105" t="b">
        <f t="shared" si="14"/>
        <v>0</v>
      </c>
      <c r="G76" s="139">
        <f t="shared" si="15"/>
        <v>46203</v>
      </c>
      <c r="H76" s="105">
        <f>VLOOKUP( $A76, Aop!$A$2:$P$453, 4, 0)</f>
        <v>108</v>
      </c>
      <c r="I76" s="105">
        <f t="shared" si="16"/>
        <v>2026</v>
      </c>
      <c r="J76" s="55" t="str">
        <f t="shared" ca="1" si="20"/>
        <v/>
      </c>
      <c r="K76" s="55"/>
      <c r="L76" s="55" t="str">
        <f t="shared" ca="1" si="10"/>
        <v/>
      </c>
      <c r="M76" s="55" t="str">
        <f t="shared" ca="1" si="19"/>
        <v/>
      </c>
      <c r="N76" s="55" t="str">
        <f t="shared" ca="1" si="11"/>
        <v/>
      </c>
    </row>
    <row r="77" spans="1:14" x14ac:dyDescent="0.3">
      <c r="A77" s="105">
        <v>76</v>
      </c>
      <c r="B77" s="105" t="str">
        <f>VLOOKUP( $A77, Aop!$A$2:$P$453, 2, 0)</f>
        <v>BSp</v>
      </c>
      <c r="C77" s="105">
        <v>26</v>
      </c>
      <c r="D77" s="105" t="str">
        <f t="shared" si="12"/>
        <v>01040103</v>
      </c>
      <c r="E77" s="105" t="str">
        <f t="shared" si="13"/>
        <v>4400849160004</v>
      </c>
      <c r="F77" s="105" t="b">
        <f t="shared" si="14"/>
        <v>0</v>
      </c>
      <c r="G77" s="139">
        <f t="shared" si="15"/>
        <v>46203</v>
      </c>
      <c r="H77" s="105">
        <f>VLOOKUP( $A77, Aop!$A$2:$P$453, 4, 0)</f>
        <v>109</v>
      </c>
      <c r="I77" s="105">
        <f t="shared" si="16"/>
        <v>2026</v>
      </c>
      <c r="J77" s="55" t="str">
        <f t="shared" ca="1" si="20"/>
        <v/>
      </c>
      <c r="K77" s="55"/>
      <c r="L77" s="55" t="str">
        <f t="shared" ca="1" si="10"/>
        <v/>
      </c>
      <c r="M77" s="55" t="str">
        <f t="shared" ca="1" si="19"/>
        <v/>
      </c>
      <c r="N77" s="55" t="str">
        <f t="shared" ca="1" si="11"/>
        <v/>
      </c>
    </row>
    <row r="78" spans="1:14" x14ac:dyDescent="0.3">
      <c r="A78" s="105">
        <v>77</v>
      </c>
      <c r="B78" s="105" t="str">
        <f>VLOOKUP( $A78, Aop!$A$2:$P$453, 2, 0)</f>
        <v>BSp</v>
      </c>
      <c r="C78" s="105">
        <v>26</v>
      </c>
      <c r="D78" s="105" t="str">
        <f t="shared" si="12"/>
        <v>01040103</v>
      </c>
      <c r="E78" s="105" t="str">
        <f t="shared" si="13"/>
        <v>4400849160004</v>
      </c>
      <c r="F78" s="105" t="b">
        <f t="shared" si="14"/>
        <v>0</v>
      </c>
      <c r="G78" s="139">
        <f t="shared" si="15"/>
        <v>46203</v>
      </c>
      <c r="H78" s="105">
        <f>VLOOKUP( $A78, Aop!$A$2:$P$453, 4, 0)</f>
        <v>110</v>
      </c>
      <c r="I78" s="105">
        <f t="shared" si="16"/>
        <v>2026</v>
      </c>
      <c r="J78" s="55" t="str">
        <f t="shared" ca="1" si="20"/>
        <v/>
      </c>
      <c r="K78" s="55"/>
      <c r="L78" s="55" t="str">
        <f t="shared" ca="1" si="10"/>
        <v/>
      </c>
      <c r="M78" s="55">
        <f t="shared" ca="1" si="19"/>
        <v>0</v>
      </c>
      <c r="N78" s="55">
        <f t="shared" ca="1" si="11"/>
        <v>0</v>
      </c>
    </row>
    <row r="79" spans="1:14" x14ac:dyDescent="0.3">
      <c r="A79" s="105">
        <v>78</v>
      </c>
      <c r="B79" s="105" t="str">
        <f>VLOOKUP( $A79, Aop!$A$2:$P$453, 2, 0)</f>
        <v>BSp</v>
      </c>
      <c r="C79" s="105">
        <v>26</v>
      </c>
      <c r="D79" s="105" t="str">
        <f t="shared" si="12"/>
        <v>01040103</v>
      </c>
      <c r="E79" s="105" t="str">
        <f t="shared" si="13"/>
        <v>4400849160004</v>
      </c>
      <c r="F79" s="105" t="b">
        <f t="shared" si="14"/>
        <v>0</v>
      </c>
      <c r="G79" s="139">
        <f t="shared" si="15"/>
        <v>46203</v>
      </c>
      <c r="H79" s="105">
        <f>VLOOKUP( $A79, Aop!$A$2:$P$453, 4, 0)</f>
        <v>111</v>
      </c>
      <c r="I79" s="105">
        <f t="shared" si="16"/>
        <v>2026</v>
      </c>
      <c r="J79" s="55" t="str">
        <f t="shared" ca="1" si="20"/>
        <v/>
      </c>
      <c r="K79" s="55"/>
      <c r="L79" s="55" t="str">
        <f t="shared" ca="1" si="10"/>
        <v/>
      </c>
      <c r="M79" s="55" t="str">
        <f t="shared" ca="1" si="19"/>
        <v/>
      </c>
      <c r="N79" s="55" t="str">
        <f t="shared" ca="1" si="11"/>
        <v/>
      </c>
    </row>
    <row r="80" spans="1:14" x14ac:dyDescent="0.3">
      <c r="A80" s="105">
        <v>79</v>
      </c>
      <c r="B80" s="105" t="str">
        <f>VLOOKUP( $A80, Aop!$A$2:$P$453, 2, 0)</f>
        <v>BSp</v>
      </c>
      <c r="C80" s="105">
        <v>26</v>
      </c>
      <c r="D80" s="105" t="str">
        <f t="shared" si="12"/>
        <v>01040103</v>
      </c>
      <c r="E80" s="105" t="str">
        <f t="shared" si="13"/>
        <v>4400849160004</v>
      </c>
      <c r="F80" s="105" t="b">
        <f t="shared" si="14"/>
        <v>0</v>
      </c>
      <c r="G80" s="139">
        <f t="shared" si="15"/>
        <v>46203</v>
      </c>
      <c r="H80" s="105">
        <f>VLOOKUP( $A80, Aop!$A$2:$P$453, 4, 0)</f>
        <v>112</v>
      </c>
      <c r="I80" s="105">
        <f t="shared" si="16"/>
        <v>2026</v>
      </c>
      <c r="J80" s="55" t="str">
        <f t="shared" ca="1" si="20"/>
        <v/>
      </c>
      <c r="K80" s="55"/>
      <c r="L80" s="55" t="str">
        <f t="shared" ca="1" si="10"/>
        <v/>
      </c>
      <c r="M80" s="55" t="str">
        <f t="shared" ca="1" si="19"/>
        <v/>
      </c>
      <c r="N80" s="55" t="str">
        <f t="shared" ca="1" si="11"/>
        <v/>
      </c>
    </row>
    <row r="81" spans="1:14" x14ac:dyDescent="0.3">
      <c r="A81" s="105">
        <v>80</v>
      </c>
      <c r="B81" s="105" t="str">
        <f>VLOOKUP( $A81, Aop!$A$2:$P$453, 2, 0)</f>
        <v>BSp</v>
      </c>
      <c r="C81" s="105">
        <v>26</v>
      </c>
      <c r="D81" s="105" t="str">
        <f t="shared" si="12"/>
        <v>01040103</v>
      </c>
      <c r="E81" s="105" t="str">
        <f t="shared" si="13"/>
        <v>4400849160004</v>
      </c>
      <c r="F81" s="105" t="b">
        <f t="shared" si="14"/>
        <v>0</v>
      </c>
      <c r="G81" s="139">
        <f t="shared" si="15"/>
        <v>46203</v>
      </c>
      <c r="H81" s="105">
        <f>VLOOKUP( $A81, Aop!$A$2:$P$453, 4, 0)</f>
        <v>113</v>
      </c>
      <c r="I81" s="105">
        <f t="shared" si="16"/>
        <v>2026</v>
      </c>
      <c r="J81" s="55" t="str">
        <f t="shared" ca="1" si="20"/>
        <v/>
      </c>
      <c r="K81" s="55"/>
      <c r="L81" s="55" t="str">
        <f t="shared" ca="1" si="10"/>
        <v/>
      </c>
      <c r="M81" s="55" t="str">
        <f t="shared" ca="1" si="19"/>
        <v/>
      </c>
      <c r="N81" s="55" t="str">
        <f t="shared" ca="1" si="11"/>
        <v/>
      </c>
    </row>
    <row r="82" spans="1:14" x14ac:dyDescent="0.3">
      <c r="A82" s="105">
        <v>81</v>
      </c>
      <c r="B82" s="105" t="str">
        <f>VLOOKUP( $A82, Aop!$A$2:$P$453, 2, 0)</f>
        <v>BSp</v>
      </c>
      <c r="C82" s="105">
        <v>26</v>
      </c>
      <c r="D82" s="105" t="str">
        <f t="shared" si="12"/>
        <v>01040103</v>
      </c>
      <c r="E82" s="105" t="str">
        <f t="shared" si="13"/>
        <v>4400849160004</v>
      </c>
      <c r="F82" s="105" t="b">
        <f t="shared" si="14"/>
        <v>0</v>
      </c>
      <c r="G82" s="139">
        <f t="shared" si="15"/>
        <v>46203</v>
      </c>
      <c r="H82" s="105">
        <f>VLOOKUP( $A82, Aop!$A$2:$P$453, 4, 0)</f>
        <v>114</v>
      </c>
      <c r="I82" s="105">
        <f t="shared" si="16"/>
        <v>2026</v>
      </c>
      <c r="J82" s="55" t="str">
        <f t="shared" ca="1" si="20"/>
        <v/>
      </c>
      <c r="K82" s="55"/>
      <c r="L82" s="55" t="str">
        <f t="shared" ca="1" si="10"/>
        <v/>
      </c>
      <c r="M82" s="55" t="str">
        <f t="shared" ca="1" si="19"/>
        <v/>
      </c>
      <c r="N82" s="55" t="str">
        <f t="shared" ca="1" si="11"/>
        <v/>
      </c>
    </row>
    <row r="83" spans="1:14" x14ac:dyDescent="0.3">
      <c r="A83" s="105">
        <v>82</v>
      </c>
      <c r="B83" s="105" t="str">
        <f>VLOOKUP( $A83, Aop!$A$2:$P$453, 2, 0)</f>
        <v>BSp</v>
      </c>
      <c r="C83" s="105">
        <v>26</v>
      </c>
      <c r="D83" s="105" t="str">
        <f t="shared" si="12"/>
        <v>01040103</v>
      </c>
      <c r="E83" s="105" t="str">
        <f t="shared" si="13"/>
        <v>4400849160004</v>
      </c>
      <c r="F83" s="105" t="b">
        <f t="shared" si="14"/>
        <v>0</v>
      </c>
      <c r="G83" s="139">
        <f t="shared" si="15"/>
        <v>46203</v>
      </c>
      <c r="H83" s="105">
        <f>VLOOKUP( $A83, Aop!$A$2:$P$453, 4, 0)</f>
        <v>115</v>
      </c>
      <c r="I83" s="105">
        <f t="shared" si="16"/>
        <v>2026</v>
      </c>
      <c r="J83" s="55" t="str">
        <f t="shared" ca="1" si="20"/>
        <v/>
      </c>
      <c r="K83" s="55"/>
      <c r="L83" s="55" t="str">
        <f t="shared" ca="1" si="10"/>
        <v/>
      </c>
      <c r="M83" s="55">
        <f t="shared" ca="1" si="19"/>
        <v>274841</v>
      </c>
      <c r="N83" s="55">
        <f t="shared" ca="1" si="11"/>
        <v>274841</v>
      </c>
    </row>
    <row r="84" spans="1:14" x14ac:dyDescent="0.3">
      <c r="A84" s="105">
        <v>83</v>
      </c>
      <c r="B84" s="105" t="str">
        <f>VLOOKUP( $A84, Aop!$A$2:$P$453, 2, 0)</f>
        <v>BSp</v>
      </c>
      <c r="C84" s="105">
        <v>26</v>
      </c>
      <c r="D84" s="105" t="str">
        <f t="shared" si="12"/>
        <v>01040103</v>
      </c>
      <c r="E84" s="105" t="str">
        <f t="shared" si="13"/>
        <v>4400849160004</v>
      </c>
      <c r="F84" s="105" t="b">
        <f t="shared" si="14"/>
        <v>0</v>
      </c>
      <c r="G84" s="139">
        <f t="shared" si="15"/>
        <v>46203</v>
      </c>
      <c r="H84" s="105">
        <f>VLOOKUP( $A84, Aop!$A$2:$P$453, 4, 0)</f>
        <v>116</v>
      </c>
      <c r="I84" s="105">
        <f t="shared" si="16"/>
        <v>2026</v>
      </c>
      <c r="J84" s="55" t="str">
        <f t="shared" ca="1" si="20"/>
        <v/>
      </c>
      <c r="K84" s="55"/>
      <c r="L84" s="55" t="str">
        <f t="shared" ca="1" si="10"/>
        <v/>
      </c>
      <c r="M84" s="55">
        <f t="shared" ca="1" si="19"/>
        <v>274841</v>
      </c>
      <c r="N84" s="55">
        <f t="shared" ca="1" si="11"/>
        <v>274841</v>
      </c>
    </row>
    <row r="85" spans="1:14" x14ac:dyDescent="0.3">
      <c r="A85" s="105">
        <v>84</v>
      </c>
      <c r="B85" s="105" t="str">
        <f>VLOOKUP( $A85, Aop!$A$2:$P$453, 2, 0)</f>
        <v>BSp</v>
      </c>
      <c r="C85" s="105">
        <v>26</v>
      </c>
      <c r="D85" s="105" t="str">
        <f t="shared" si="12"/>
        <v>01040103</v>
      </c>
      <c r="E85" s="105" t="str">
        <f t="shared" si="13"/>
        <v>4400849160004</v>
      </c>
      <c r="F85" s="105" t="b">
        <f t="shared" si="14"/>
        <v>0</v>
      </c>
      <c r="G85" s="139">
        <f t="shared" si="15"/>
        <v>46203</v>
      </c>
      <c r="H85" s="105">
        <f>VLOOKUP( $A85, Aop!$A$2:$P$453, 4, 0)</f>
        <v>117</v>
      </c>
      <c r="I85" s="105">
        <f t="shared" si="16"/>
        <v>2026</v>
      </c>
      <c r="J85" s="55" t="str">
        <f t="shared" ca="1" si="20"/>
        <v/>
      </c>
      <c r="K85" s="55"/>
      <c r="L85" s="55" t="str">
        <f t="shared" ca="1" si="10"/>
        <v/>
      </c>
      <c r="M85" s="55" t="str">
        <f t="shared" ca="1" si="19"/>
        <v/>
      </c>
      <c r="N85" s="55" t="str">
        <f t="shared" ca="1" si="11"/>
        <v/>
      </c>
    </row>
    <row r="86" spans="1:14" x14ac:dyDescent="0.3">
      <c r="A86" s="105">
        <v>85</v>
      </c>
      <c r="B86" s="105" t="str">
        <f>VLOOKUP( $A86, Aop!$A$2:$P$453, 2, 0)</f>
        <v>BSp</v>
      </c>
      <c r="C86" s="105">
        <v>26</v>
      </c>
      <c r="D86" s="105" t="str">
        <f t="shared" si="12"/>
        <v>01040103</v>
      </c>
      <c r="E86" s="105" t="str">
        <f t="shared" si="13"/>
        <v>4400849160004</v>
      </c>
      <c r="F86" s="105" t="b">
        <f t="shared" si="14"/>
        <v>0</v>
      </c>
      <c r="G86" s="139">
        <f t="shared" si="15"/>
        <v>46203</v>
      </c>
      <c r="H86" s="105">
        <f>VLOOKUP( $A86, Aop!$A$2:$P$453, 4, 0)</f>
        <v>118</v>
      </c>
      <c r="I86" s="105">
        <f t="shared" si="16"/>
        <v>2026</v>
      </c>
      <c r="J86" s="55" t="str">
        <f t="shared" ca="1" si="20"/>
        <v/>
      </c>
      <c r="K86" s="55"/>
      <c r="L86" s="55" t="str">
        <f t="shared" ca="1" si="10"/>
        <v/>
      </c>
      <c r="M86" s="55" t="str">
        <f t="shared" ca="1" si="19"/>
        <v/>
      </c>
      <c r="N86" s="55" t="str">
        <f t="shared" ca="1" si="11"/>
        <v/>
      </c>
    </row>
    <row r="87" spans="1:14" x14ac:dyDescent="0.3">
      <c r="A87" s="105">
        <v>86</v>
      </c>
      <c r="B87" s="105" t="str">
        <f>VLOOKUP( $A87, Aop!$A$2:$P$453, 2, 0)</f>
        <v>BSp</v>
      </c>
      <c r="C87" s="105">
        <v>26</v>
      </c>
      <c r="D87" s="105" t="str">
        <f t="shared" si="12"/>
        <v>01040103</v>
      </c>
      <c r="E87" s="105" t="str">
        <f t="shared" si="13"/>
        <v>4400849160004</v>
      </c>
      <c r="F87" s="105" t="b">
        <f t="shared" si="14"/>
        <v>0</v>
      </c>
      <c r="G87" s="139">
        <f t="shared" si="15"/>
        <v>46203</v>
      </c>
      <c r="H87" s="105">
        <f>VLOOKUP( $A87, Aop!$A$2:$P$453, 4, 0)</f>
        <v>119</v>
      </c>
      <c r="I87" s="105">
        <f t="shared" si="16"/>
        <v>2026</v>
      </c>
      <c r="J87" s="55" t="str">
        <f t="shared" ca="1" si="20"/>
        <v/>
      </c>
      <c r="K87" s="55"/>
      <c r="L87" s="55" t="str">
        <f t="shared" ca="1" si="10"/>
        <v/>
      </c>
      <c r="M87" s="55">
        <f t="shared" ca="1" si="19"/>
        <v>6146918</v>
      </c>
      <c r="N87" s="55">
        <f t="shared" ca="1" si="11"/>
        <v>6146918</v>
      </c>
    </row>
    <row r="88" spans="1:14" x14ac:dyDescent="0.3">
      <c r="A88" s="105">
        <v>87</v>
      </c>
      <c r="B88" s="105" t="str">
        <f>VLOOKUP( $A88, Aop!$A$2:$P$453, 2, 0)</f>
        <v>BSp</v>
      </c>
      <c r="C88" s="105">
        <v>26</v>
      </c>
      <c r="D88" s="105" t="str">
        <f t="shared" si="12"/>
        <v>01040103</v>
      </c>
      <c r="E88" s="105" t="str">
        <f t="shared" si="13"/>
        <v>4400849160004</v>
      </c>
      <c r="F88" s="105" t="b">
        <f t="shared" si="14"/>
        <v>0</v>
      </c>
      <c r="G88" s="139">
        <f t="shared" si="15"/>
        <v>46203</v>
      </c>
      <c r="H88" s="105">
        <f>VLOOKUP( $A88, Aop!$A$2:$P$453, 4, 0)</f>
        <v>120</v>
      </c>
      <c r="I88" s="105">
        <f t="shared" si="16"/>
        <v>2026</v>
      </c>
      <c r="J88" s="55" t="str">
        <f t="shared" ca="1" si="20"/>
        <v/>
      </c>
      <c r="K88" s="55"/>
      <c r="L88" s="55" t="str">
        <f t="shared" ca="1" si="10"/>
        <v/>
      </c>
      <c r="M88" s="55">
        <f t="shared" ca="1" si="19"/>
        <v>6146918</v>
      </c>
      <c r="N88" s="55">
        <f t="shared" ca="1" si="11"/>
        <v>6146918</v>
      </c>
    </row>
    <row r="89" spans="1:14" x14ac:dyDescent="0.3">
      <c r="A89" s="105">
        <v>88</v>
      </c>
      <c r="B89" s="105" t="str">
        <f>VLOOKUP( $A89, Aop!$A$2:$P$453, 2, 0)</f>
        <v>BSp</v>
      </c>
      <c r="C89" s="105">
        <v>26</v>
      </c>
      <c r="D89" s="105" t="str">
        <f t="shared" si="12"/>
        <v>01040103</v>
      </c>
      <c r="E89" s="105" t="str">
        <f t="shared" si="13"/>
        <v>4400849160004</v>
      </c>
      <c r="F89" s="105" t="b">
        <f t="shared" si="14"/>
        <v>0</v>
      </c>
      <c r="G89" s="139">
        <f t="shared" si="15"/>
        <v>46203</v>
      </c>
      <c r="H89" s="105">
        <f>VLOOKUP( $A89, Aop!$A$2:$P$453, 4, 0)</f>
        <v>121</v>
      </c>
      <c r="I89" s="105">
        <f t="shared" si="16"/>
        <v>2026</v>
      </c>
      <c r="J89" s="55" t="str">
        <f t="shared" ca="1" si="20"/>
        <v/>
      </c>
      <c r="K89" s="55"/>
      <c r="L89" s="55" t="str">
        <f t="shared" ca="1" si="10"/>
        <v/>
      </c>
      <c r="M89" s="55" t="str">
        <f t="shared" ca="1" si="19"/>
        <v/>
      </c>
      <c r="N89" s="55" t="str">
        <f t="shared" ca="1" si="11"/>
        <v/>
      </c>
    </row>
    <row r="90" spans="1:14" x14ac:dyDescent="0.3">
      <c r="A90" s="105">
        <v>89</v>
      </c>
      <c r="B90" s="105" t="str">
        <f>VLOOKUP( $A90, Aop!$A$2:$P$453, 2, 0)</f>
        <v>BSp</v>
      </c>
      <c r="C90" s="105">
        <v>26</v>
      </c>
      <c r="D90" s="105" t="str">
        <f t="shared" si="12"/>
        <v>01040103</v>
      </c>
      <c r="E90" s="105" t="str">
        <f t="shared" si="13"/>
        <v>4400849160004</v>
      </c>
      <c r="F90" s="105" t="b">
        <f t="shared" si="14"/>
        <v>0</v>
      </c>
      <c r="G90" s="139">
        <f t="shared" si="15"/>
        <v>46203</v>
      </c>
      <c r="H90" s="105">
        <f>VLOOKUP( $A90, Aop!$A$2:$P$453, 4, 0)</f>
        <v>122</v>
      </c>
      <c r="I90" s="105">
        <f t="shared" si="16"/>
        <v>2026</v>
      </c>
      <c r="J90" s="55" t="str">
        <f t="shared" ca="1" si="20"/>
        <v/>
      </c>
      <c r="K90" s="55"/>
      <c r="L90" s="55" t="str">
        <f t="shared" ca="1" si="10"/>
        <v/>
      </c>
      <c r="M90" s="55" t="str">
        <f t="shared" ca="1" si="19"/>
        <v/>
      </c>
      <c r="N90" s="55" t="str">
        <f t="shared" ca="1" si="11"/>
        <v/>
      </c>
    </row>
    <row r="91" spans="1:14" x14ac:dyDescent="0.3">
      <c r="A91" s="105">
        <v>90</v>
      </c>
      <c r="B91" s="105" t="str">
        <f>VLOOKUP( $A91, Aop!$A$2:$P$453, 2, 0)</f>
        <v>BSp</v>
      </c>
      <c r="C91" s="105">
        <v>26</v>
      </c>
      <c r="D91" s="105" t="str">
        <f t="shared" si="12"/>
        <v>01040103</v>
      </c>
      <c r="E91" s="105" t="str">
        <f t="shared" si="13"/>
        <v>4400849160004</v>
      </c>
      <c r="F91" s="105" t="b">
        <f t="shared" si="14"/>
        <v>0</v>
      </c>
      <c r="G91" s="139">
        <f t="shared" si="15"/>
        <v>46203</v>
      </c>
      <c r="H91" s="105">
        <f>VLOOKUP( $A91, Aop!$A$2:$P$453, 4, 0)</f>
        <v>123</v>
      </c>
      <c r="I91" s="105">
        <f t="shared" si="16"/>
        <v>2026</v>
      </c>
      <c r="J91" s="55" t="str">
        <f t="shared" ca="1" si="20"/>
        <v/>
      </c>
      <c r="K91" s="55"/>
      <c r="L91" s="55" t="str">
        <f t="shared" ca="1" si="10"/>
        <v/>
      </c>
      <c r="M91" s="55" t="str">
        <f t="shared" ca="1" si="19"/>
        <v/>
      </c>
      <c r="N91" s="55" t="str">
        <f t="shared" ca="1" si="11"/>
        <v/>
      </c>
    </row>
    <row r="92" spans="1:14" x14ac:dyDescent="0.3">
      <c r="A92" s="105">
        <v>91</v>
      </c>
      <c r="B92" s="105" t="str">
        <f>VLOOKUP( $A92, Aop!$A$2:$P$453, 2, 0)</f>
        <v>BSp</v>
      </c>
      <c r="C92" s="105">
        <v>26</v>
      </c>
      <c r="D92" s="105" t="str">
        <f t="shared" si="12"/>
        <v>01040103</v>
      </c>
      <c r="E92" s="105" t="str">
        <f t="shared" si="13"/>
        <v>4400849160004</v>
      </c>
      <c r="F92" s="105" t="b">
        <f t="shared" si="14"/>
        <v>0</v>
      </c>
      <c r="G92" s="139">
        <f t="shared" si="15"/>
        <v>46203</v>
      </c>
      <c r="H92" s="105">
        <f>VLOOKUP( $A92, Aop!$A$2:$P$453, 4, 0)</f>
        <v>124</v>
      </c>
      <c r="I92" s="105">
        <f t="shared" si="16"/>
        <v>2026</v>
      </c>
      <c r="J92" s="55" t="str">
        <f t="shared" ca="1" si="20"/>
        <v/>
      </c>
      <c r="K92" s="55"/>
      <c r="L92" s="55" t="str">
        <f t="shared" ca="1" si="10"/>
        <v/>
      </c>
      <c r="M92" s="55">
        <f t="shared" ca="1" si="19"/>
        <v>5885955</v>
      </c>
      <c r="N92" s="55">
        <f t="shared" ca="1" si="11"/>
        <v>5885955</v>
      </c>
    </row>
    <row r="93" spans="1:14" x14ac:dyDescent="0.3">
      <c r="A93" s="105">
        <v>92</v>
      </c>
      <c r="B93" s="105" t="str">
        <f>VLOOKUP( $A93, Aop!$A$2:$P$453, 2, 0)</f>
        <v>BSp</v>
      </c>
      <c r="C93" s="105">
        <v>26</v>
      </c>
      <c r="D93" s="105" t="str">
        <f t="shared" si="12"/>
        <v>01040103</v>
      </c>
      <c r="E93" s="105" t="str">
        <f t="shared" si="13"/>
        <v>4400849160004</v>
      </c>
      <c r="F93" s="105" t="b">
        <f t="shared" si="14"/>
        <v>0</v>
      </c>
      <c r="G93" s="139">
        <f t="shared" si="15"/>
        <v>46203</v>
      </c>
      <c r="H93" s="105">
        <f>VLOOKUP( $A93, Aop!$A$2:$P$453, 4, 0)</f>
        <v>125</v>
      </c>
      <c r="I93" s="105">
        <f t="shared" si="16"/>
        <v>2026</v>
      </c>
      <c r="J93" s="55" t="str">
        <f t="shared" ca="1" si="20"/>
        <v/>
      </c>
      <c r="K93" s="55"/>
      <c r="L93" s="55" t="str">
        <f t="shared" ca="1" si="10"/>
        <v/>
      </c>
      <c r="M93" s="55">
        <f t="shared" ca="1" si="19"/>
        <v>4818042</v>
      </c>
      <c r="N93" s="55">
        <f t="shared" ca="1" si="11"/>
        <v>4818042</v>
      </c>
    </row>
    <row r="94" spans="1:14" x14ac:dyDescent="0.3">
      <c r="A94" s="105">
        <v>93</v>
      </c>
      <c r="B94" s="105" t="str">
        <f>VLOOKUP( $A94, Aop!$A$2:$P$453, 2, 0)</f>
        <v>BSp</v>
      </c>
      <c r="C94" s="105">
        <v>26</v>
      </c>
      <c r="D94" s="105" t="str">
        <f t="shared" si="12"/>
        <v>01040103</v>
      </c>
      <c r="E94" s="105" t="str">
        <f t="shared" si="13"/>
        <v>4400849160004</v>
      </c>
      <c r="F94" s="105" t="b">
        <f t="shared" si="14"/>
        <v>0</v>
      </c>
      <c r="G94" s="139">
        <f t="shared" si="15"/>
        <v>46203</v>
      </c>
      <c r="H94" s="105">
        <f>VLOOKUP( $A94, Aop!$A$2:$P$453, 4, 0)</f>
        <v>126</v>
      </c>
      <c r="I94" s="105">
        <f t="shared" si="16"/>
        <v>2026</v>
      </c>
      <c r="J94" s="55" t="str">
        <f t="shared" ca="1" si="20"/>
        <v/>
      </c>
      <c r="K94" s="55"/>
      <c r="L94" s="55" t="str">
        <f t="shared" ca="1" si="10"/>
        <v/>
      </c>
      <c r="M94" s="55">
        <f t="shared" ca="1" si="19"/>
        <v>1067913</v>
      </c>
      <c r="N94" s="55">
        <f t="shared" ca="1" si="11"/>
        <v>1067913</v>
      </c>
    </row>
    <row r="95" spans="1:14" x14ac:dyDescent="0.3">
      <c r="A95" s="105">
        <v>94</v>
      </c>
      <c r="B95" s="105" t="str">
        <f>VLOOKUP( $A95, Aop!$A$2:$P$453, 2, 0)</f>
        <v>BSp</v>
      </c>
      <c r="C95" s="105">
        <v>26</v>
      </c>
      <c r="D95" s="105" t="str">
        <f t="shared" si="12"/>
        <v>01040103</v>
      </c>
      <c r="E95" s="105" t="str">
        <f t="shared" si="13"/>
        <v>4400849160004</v>
      </c>
      <c r="F95" s="105" t="b">
        <f t="shared" si="14"/>
        <v>0</v>
      </c>
      <c r="G95" s="139">
        <f t="shared" si="15"/>
        <v>46203</v>
      </c>
      <c r="H95" s="105">
        <f>VLOOKUP( $A95, Aop!$A$2:$P$453, 4, 0)</f>
        <v>127</v>
      </c>
      <c r="I95" s="105">
        <f t="shared" si="16"/>
        <v>2026</v>
      </c>
      <c r="J95" s="55" t="str">
        <f t="shared" ca="1" si="20"/>
        <v/>
      </c>
      <c r="K95" s="55"/>
      <c r="L95" s="55" t="str">
        <f t="shared" ca="1" si="10"/>
        <v/>
      </c>
      <c r="M95" s="55" t="str">
        <f t="shared" ca="1" si="19"/>
        <v/>
      </c>
      <c r="N95" s="55" t="str">
        <f t="shared" ca="1" si="11"/>
        <v/>
      </c>
    </row>
    <row r="96" spans="1:14" x14ac:dyDescent="0.3">
      <c r="A96" s="105">
        <v>95</v>
      </c>
      <c r="B96" s="105" t="str">
        <f>VLOOKUP( $A96, Aop!$A$2:$P$453, 2, 0)</f>
        <v>BSp</v>
      </c>
      <c r="C96" s="105">
        <v>26</v>
      </c>
      <c r="D96" s="105" t="str">
        <f t="shared" si="12"/>
        <v>01040103</v>
      </c>
      <c r="E96" s="105" t="str">
        <f t="shared" si="13"/>
        <v>4400849160004</v>
      </c>
      <c r="F96" s="105" t="b">
        <f t="shared" si="14"/>
        <v>0</v>
      </c>
      <c r="G96" s="139">
        <f t="shared" si="15"/>
        <v>46203</v>
      </c>
      <c r="H96" s="105">
        <f>VLOOKUP( $A96, Aop!$A$2:$P$453, 4, 0)</f>
        <v>128</v>
      </c>
      <c r="I96" s="105">
        <f t="shared" si="16"/>
        <v>2026</v>
      </c>
      <c r="J96" s="55" t="str">
        <f t="shared" ca="1" si="20"/>
        <v/>
      </c>
      <c r="K96" s="55"/>
      <c r="L96" s="55" t="str">
        <f t="shared" ca="1" si="10"/>
        <v/>
      </c>
      <c r="M96" s="55">
        <f t="shared" ca="1" si="19"/>
        <v>0</v>
      </c>
      <c r="N96" s="55">
        <f t="shared" ca="1" si="11"/>
        <v>0</v>
      </c>
    </row>
    <row r="97" spans="1:14" x14ac:dyDescent="0.3">
      <c r="A97" s="105">
        <v>96</v>
      </c>
      <c r="B97" s="105" t="str">
        <f>VLOOKUP( $A97, Aop!$A$2:$P$453, 2, 0)</f>
        <v>BSp</v>
      </c>
      <c r="C97" s="105">
        <v>26</v>
      </c>
      <c r="D97" s="105" t="str">
        <f t="shared" si="12"/>
        <v>01040103</v>
      </c>
      <c r="E97" s="105" t="str">
        <f t="shared" si="13"/>
        <v>4400849160004</v>
      </c>
      <c r="F97" s="105" t="b">
        <f t="shared" si="14"/>
        <v>0</v>
      </c>
      <c r="G97" s="139">
        <f t="shared" si="15"/>
        <v>46203</v>
      </c>
      <c r="H97" s="105">
        <f>VLOOKUP( $A97, Aop!$A$2:$P$453, 4, 0)</f>
        <v>129</v>
      </c>
      <c r="I97" s="105">
        <f t="shared" si="16"/>
        <v>2026</v>
      </c>
      <c r="J97" s="55" t="str">
        <f t="shared" ca="1" si="20"/>
        <v/>
      </c>
      <c r="K97" s="55"/>
      <c r="L97" s="55" t="str">
        <f t="shared" ca="1" si="10"/>
        <v/>
      </c>
      <c r="M97" s="55" t="str">
        <f t="shared" ca="1" si="19"/>
        <v/>
      </c>
      <c r="N97" s="55" t="str">
        <f t="shared" ca="1" si="11"/>
        <v/>
      </c>
    </row>
    <row r="98" spans="1:14" x14ac:dyDescent="0.3">
      <c r="A98" s="105">
        <v>97</v>
      </c>
      <c r="B98" s="105" t="str">
        <f>VLOOKUP( $A98, Aop!$A$2:$P$453, 2, 0)</f>
        <v>BSp</v>
      </c>
      <c r="C98" s="105">
        <v>26</v>
      </c>
      <c r="D98" s="105" t="str">
        <f t="shared" si="12"/>
        <v>01040103</v>
      </c>
      <c r="E98" s="105" t="str">
        <f t="shared" si="13"/>
        <v>4400849160004</v>
      </c>
      <c r="F98" s="105" t="b">
        <f t="shared" si="14"/>
        <v>0</v>
      </c>
      <c r="G98" s="139">
        <f t="shared" si="15"/>
        <v>46203</v>
      </c>
      <c r="H98" s="105">
        <f>VLOOKUP( $A98, Aop!$A$2:$P$453, 4, 0)</f>
        <v>130</v>
      </c>
      <c r="I98" s="105">
        <f t="shared" si="16"/>
        <v>2026</v>
      </c>
      <c r="J98" s="55" t="str">
        <f t="shared" ca="1" si="20"/>
        <v/>
      </c>
      <c r="K98" s="55"/>
      <c r="L98" s="55" t="str">
        <f t="shared" ca="1" si="10"/>
        <v/>
      </c>
      <c r="M98" s="55" t="str">
        <f t="shared" ca="1" si="19"/>
        <v/>
      </c>
      <c r="N98" s="55" t="str">
        <f t="shared" ca="1" si="11"/>
        <v/>
      </c>
    </row>
    <row r="99" spans="1:14" x14ac:dyDescent="0.3">
      <c r="A99" s="105">
        <v>98</v>
      </c>
      <c r="B99" s="105" t="str">
        <f>VLOOKUP( $A99, Aop!$A$2:$P$453, 2, 0)</f>
        <v>BSp</v>
      </c>
      <c r="C99" s="105">
        <v>26</v>
      </c>
      <c r="D99" s="105" t="str">
        <f t="shared" si="12"/>
        <v>01040103</v>
      </c>
      <c r="E99" s="105" t="str">
        <f t="shared" si="13"/>
        <v>4400849160004</v>
      </c>
      <c r="F99" s="105" t="b">
        <f t="shared" si="14"/>
        <v>0</v>
      </c>
      <c r="G99" s="139">
        <f t="shared" si="15"/>
        <v>46203</v>
      </c>
      <c r="H99" s="105">
        <f>VLOOKUP( $A99, Aop!$A$2:$P$453, 4, 0)</f>
        <v>131</v>
      </c>
      <c r="I99" s="105">
        <f t="shared" si="16"/>
        <v>2026</v>
      </c>
      <c r="J99" s="55" t="str">
        <f t="shared" ca="1" si="20"/>
        <v/>
      </c>
      <c r="K99" s="55"/>
      <c r="L99" s="55" t="str">
        <f t="shared" ca="1" si="10"/>
        <v/>
      </c>
      <c r="M99" s="55" t="str">
        <f t="shared" ca="1" si="19"/>
        <v/>
      </c>
      <c r="N99" s="55" t="str">
        <f t="shared" ca="1" si="11"/>
        <v/>
      </c>
    </row>
    <row r="100" spans="1:14" x14ac:dyDescent="0.3">
      <c r="A100" s="105">
        <v>99</v>
      </c>
      <c r="B100" s="105" t="str">
        <f>VLOOKUP( $A100, Aop!$A$2:$P$453, 2, 0)</f>
        <v>BSp</v>
      </c>
      <c r="C100" s="105">
        <v>26</v>
      </c>
      <c r="D100" s="105" t="str">
        <f t="shared" si="12"/>
        <v>01040103</v>
      </c>
      <c r="E100" s="105" t="str">
        <f t="shared" si="13"/>
        <v>4400849160004</v>
      </c>
      <c r="F100" s="105" t="b">
        <f t="shared" si="14"/>
        <v>0</v>
      </c>
      <c r="G100" s="139">
        <f t="shared" si="15"/>
        <v>46203</v>
      </c>
      <c r="H100" s="105">
        <f>VLOOKUP( $A100, Aop!$A$2:$P$453, 4, 0)</f>
        <v>132</v>
      </c>
      <c r="I100" s="105">
        <f t="shared" si="16"/>
        <v>2026</v>
      </c>
      <c r="J100" s="55">
        <f t="shared" ca="1" si="20"/>
        <v>10</v>
      </c>
      <c r="K100" s="55"/>
      <c r="L100" s="55" t="str">
        <f t="shared" ca="1" si="10"/>
        <v/>
      </c>
      <c r="M100" s="55">
        <f t="shared" ca="1" si="19"/>
        <v>306943</v>
      </c>
      <c r="N100" s="55">
        <f t="shared" ca="1" si="11"/>
        <v>306943</v>
      </c>
    </row>
    <row r="101" spans="1:14" x14ac:dyDescent="0.3">
      <c r="A101" s="105">
        <v>100</v>
      </c>
      <c r="B101" s="105" t="str">
        <f>VLOOKUP( $A101, Aop!$A$2:$P$453, 2, 0)</f>
        <v>BSp</v>
      </c>
      <c r="C101" s="105">
        <v>26</v>
      </c>
      <c r="D101" s="105" t="str">
        <f t="shared" si="12"/>
        <v>01040103</v>
      </c>
      <c r="E101" s="105" t="str">
        <f t="shared" si="13"/>
        <v>4400849160004</v>
      </c>
      <c r="F101" s="105" t="b">
        <f t="shared" si="14"/>
        <v>0</v>
      </c>
      <c r="G101" s="139">
        <f t="shared" si="15"/>
        <v>46203</v>
      </c>
      <c r="H101" s="105">
        <f>VLOOKUP( $A101, Aop!$A$2:$P$453, 4, 0)</f>
        <v>133</v>
      </c>
      <c r="I101" s="105">
        <f t="shared" si="16"/>
        <v>2026</v>
      </c>
      <c r="J101" s="55" t="str">
        <f t="shared" ca="1" si="20"/>
        <v/>
      </c>
      <c r="K101" s="55"/>
      <c r="L101" s="55" t="str">
        <f t="shared" ca="1" si="10"/>
        <v/>
      </c>
      <c r="M101" s="55">
        <f t="shared" ca="1" si="19"/>
        <v>306943</v>
      </c>
      <c r="N101" s="55">
        <f t="shared" ca="1" si="11"/>
        <v>306943</v>
      </c>
    </row>
    <row r="102" spans="1:14" x14ac:dyDescent="0.3">
      <c r="A102" s="105">
        <v>101</v>
      </c>
      <c r="B102" s="105" t="str">
        <f>VLOOKUP( $A102, Aop!$A$2:$P$453, 2, 0)</f>
        <v>BSp</v>
      </c>
      <c r="C102" s="105">
        <v>26</v>
      </c>
      <c r="D102" s="105" t="str">
        <f t="shared" si="12"/>
        <v>01040103</v>
      </c>
      <c r="E102" s="105" t="str">
        <f t="shared" si="13"/>
        <v>4400849160004</v>
      </c>
      <c r="F102" s="105" t="b">
        <f t="shared" si="14"/>
        <v>0</v>
      </c>
      <c r="G102" s="139">
        <f t="shared" si="15"/>
        <v>46203</v>
      </c>
      <c r="H102" s="105">
        <f>VLOOKUP( $A102, Aop!$A$2:$P$453, 4, 0)</f>
        <v>134</v>
      </c>
      <c r="I102" s="105">
        <f t="shared" si="16"/>
        <v>2026</v>
      </c>
      <c r="J102" s="55" t="str">
        <f t="shared" ca="1" si="20"/>
        <v/>
      </c>
      <c r="K102" s="55"/>
      <c r="L102" s="55" t="str">
        <f t="shared" ca="1" si="10"/>
        <v/>
      </c>
      <c r="M102" s="55" t="str">
        <f t="shared" ca="1" si="19"/>
        <v/>
      </c>
      <c r="N102" s="55" t="str">
        <f t="shared" ca="1" si="11"/>
        <v/>
      </c>
    </row>
    <row r="103" spans="1:14" x14ac:dyDescent="0.3">
      <c r="A103" s="105">
        <v>102</v>
      </c>
      <c r="B103" s="105" t="str">
        <f>VLOOKUP( $A103, Aop!$A$2:$P$453, 2, 0)</f>
        <v>BSp</v>
      </c>
      <c r="C103" s="105">
        <v>26</v>
      </c>
      <c r="D103" s="105" t="str">
        <f t="shared" si="12"/>
        <v>01040103</v>
      </c>
      <c r="E103" s="105" t="str">
        <f t="shared" si="13"/>
        <v>4400849160004</v>
      </c>
      <c r="F103" s="105" t="b">
        <f t="shared" si="14"/>
        <v>0</v>
      </c>
      <c r="G103" s="139">
        <f t="shared" si="15"/>
        <v>46203</v>
      </c>
      <c r="H103" s="105">
        <f>VLOOKUP( $A103, Aop!$A$2:$P$453, 4, 0)</f>
        <v>135</v>
      </c>
      <c r="I103" s="105">
        <f t="shared" si="16"/>
        <v>2026</v>
      </c>
      <c r="J103" s="55" t="str">
        <f t="shared" ca="1" si="20"/>
        <v/>
      </c>
      <c r="K103" s="55"/>
      <c r="L103" s="55" t="str">
        <f t="shared" ca="1" si="10"/>
        <v/>
      </c>
      <c r="M103" s="55">
        <f t="shared" ca="1" si="19"/>
        <v>217895</v>
      </c>
      <c r="N103" s="55">
        <f t="shared" ca="1" si="11"/>
        <v>217895</v>
      </c>
    </row>
    <row r="104" spans="1:14" x14ac:dyDescent="0.3">
      <c r="A104" s="105">
        <v>103</v>
      </c>
      <c r="B104" s="105" t="str">
        <f>VLOOKUP( $A104, Aop!$A$2:$P$453, 2, 0)</f>
        <v>BSp</v>
      </c>
      <c r="C104" s="105">
        <v>26</v>
      </c>
      <c r="D104" s="105" t="str">
        <f t="shared" si="12"/>
        <v>01040103</v>
      </c>
      <c r="E104" s="105" t="str">
        <f t="shared" si="13"/>
        <v>4400849160004</v>
      </c>
      <c r="F104" s="105" t="b">
        <f t="shared" si="14"/>
        <v>0</v>
      </c>
      <c r="G104" s="139">
        <f t="shared" si="15"/>
        <v>46203</v>
      </c>
      <c r="H104" s="105">
        <f>VLOOKUP( $A104, Aop!$A$2:$P$453, 4, 0)</f>
        <v>136</v>
      </c>
      <c r="I104" s="105">
        <f t="shared" si="16"/>
        <v>2026</v>
      </c>
      <c r="J104" s="55" t="str">
        <f t="shared" ca="1" si="20"/>
        <v/>
      </c>
      <c r="K104" s="55"/>
      <c r="L104" s="55" t="str">
        <f t="shared" ca="1" si="10"/>
        <v/>
      </c>
      <c r="M104" s="55">
        <f t="shared" ca="1" si="19"/>
        <v>89048</v>
      </c>
      <c r="N104" s="55">
        <f t="shared" ca="1" si="11"/>
        <v>89048</v>
      </c>
    </row>
    <row r="105" spans="1:14" x14ac:dyDescent="0.3">
      <c r="A105" s="105">
        <v>104</v>
      </c>
      <c r="B105" s="105" t="str">
        <f>VLOOKUP( $A105, Aop!$A$2:$P$453, 2, 0)</f>
        <v>BSp</v>
      </c>
      <c r="C105" s="105">
        <v>26</v>
      </c>
      <c r="D105" s="105" t="str">
        <f t="shared" si="12"/>
        <v>01040103</v>
      </c>
      <c r="E105" s="105" t="str">
        <f t="shared" si="13"/>
        <v>4400849160004</v>
      </c>
      <c r="F105" s="105" t="b">
        <f t="shared" si="14"/>
        <v>0</v>
      </c>
      <c r="G105" s="139">
        <f t="shared" si="15"/>
        <v>46203</v>
      </c>
      <c r="H105" s="105">
        <f>VLOOKUP( $A105, Aop!$A$2:$P$453, 4, 0)</f>
        <v>137</v>
      </c>
      <c r="I105" s="105">
        <f t="shared" si="16"/>
        <v>2026</v>
      </c>
      <c r="J105" s="55">
        <f t="shared" ca="1" si="20"/>
        <v>11</v>
      </c>
      <c r="K105" s="55"/>
      <c r="L105" s="55" t="str">
        <f t="shared" ca="1" si="10"/>
        <v/>
      </c>
      <c r="M105" s="55">
        <f t="shared" ca="1" si="19"/>
        <v>0</v>
      </c>
      <c r="N105" s="55">
        <f t="shared" ca="1" si="11"/>
        <v>0</v>
      </c>
    </row>
    <row r="106" spans="1:14" x14ac:dyDescent="0.3">
      <c r="A106" s="105">
        <v>105</v>
      </c>
      <c r="B106" s="105" t="str">
        <f>VLOOKUP( $A106, Aop!$A$2:$P$453, 2, 0)</f>
        <v>BSp</v>
      </c>
      <c r="C106" s="105">
        <v>26</v>
      </c>
      <c r="D106" s="105" t="str">
        <f t="shared" si="12"/>
        <v>01040103</v>
      </c>
      <c r="E106" s="105" t="str">
        <f t="shared" si="13"/>
        <v>4400849160004</v>
      </c>
      <c r="F106" s="105" t="b">
        <f t="shared" si="14"/>
        <v>0</v>
      </c>
      <c r="G106" s="139">
        <f t="shared" si="15"/>
        <v>46203</v>
      </c>
      <c r="H106" s="105">
        <f>VLOOKUP( $A106, Aop!$A$2:$P$453, 4, 0)</f>
        <v>138</v>
      </c>
      <c r="I106" s="105">
        <f t="shared" si="16"/>
        <v>2026</v>
      </c>
      <c r="J106" s="55" t="str">
        <f t="shared" ca="1" si="20"/>
        <v/>
      </c>
      <c r="K106" s="55"/>
      <c r="L106" s="55" t="str">
        <f t="shared" ca="1" si="10"/>
        <v/>
      </c>
      <c r="M106" s="55" t="str">
        <f t="shared" ca="1" si="19"/>
        <v/>
      </c>
      <c r="N106" s="55" t="str">
        <f t="shared" ca="1" si="11"/>
        <v/>
      </c>
    </row>
    <row r="107" spans="1:14" x14ac:dyDescent="0.3">
      <c r="A107" s="105">
        <v>106</v>
      </c>
      <c r="B107" s="105" t="str">
        <f>VLOOKUP( $A107, Aop!$A$2:$P$453, 2, 0)</f>
        <v>BSp</v>
      </c>
      <c r="C107" s="105">
        <v>26</v>
      </c>
      <c r="D107" s="105" t="str">
        <f t="shared" si="12"/>
        <v>01040103</v>
      </c>
      <c r="E107" s="105" t="str">
        <f t="shared" si="13"/>
        <v>4400849160004</v>
      </c>
      <c r="F107" s="105" t="b">
        <f t="shared" si="14"/>
        <v>0</v>
      </c>
      <c r="G107" s="139">
        <f t="shared" si="15"/>
        <v>46203</v>
      </c>
      <c r="H107" s="105">
        <f>VLOOKUP( $A107, Aop!$A$2:$P$453, 4, 0)</f>
        <v>139</v>
      </c>
      <c r="I107" s="105">
        <f t="shared" si="16"/>
        <v>2026</v>
      </c>
      <c r="J107" s="55" t="str">
        <f t="shared" ca="1" si="20"/>
        <v/>
      </c>
      <c r="K107" s="55"/>
      <c r="L107" s="55" t="str">
        <f t="shared" ca="1" si="10"/>
        <v/>
      </c>
      <c r="M107" s="55" t="str">
        <f t="shared" ca="1" si="19"/>
        <v/>
      </c>
      <c r="N107" s="55" t="str">
        <f t="shared" ca="1" si="11"/>
        <v/>
      </c>
    </row>
    <row r="108" spans="1:14" x14ac:dyDescent="0.3">
      <c r="A108" s="105">
        <v>107</v>
      </c>
      <c r="B108" s="105" t="str">
        <f>VLOOKUP( $A108, Aop!$A$2:$P$453, 2, 0)</f>
        <v>BSp</v>
      </c>
      <c r="C108" s="105">
        <v>26</v>
      </c>
      <c r="D108" s="105" t="str">
        <f t="shared" si="12"/>
        <v>01040103</v>
      </c>
      <c r="E108" s="105" t="str">
        <f t="shared" si="13"/>
        <v>4400849160004</v>
      </c>
      <c r="F108" s="105" t="b">
        <f t="shared" si="14"/>
        <v>0</v>
      </c>
      <c r="G108" s="139">
        <f t="shared" si="15"/>
        <v>46203</v>
      </c>
      <c r="H108" s="105">
        <f>VLOOKUP( $A108, Aop!$A$2:$P$453, 4, 0)</f>
        <v>140</v>
      </c>
      <c r="I108" s="105">
        <f t="shared" si="16"/>
        <v>2026</v>
      </c>
      <c r="J108" s="55" t="str">
        <f t="shared" ca="1" si="20"/>
        <v/>
      </c>
      <c r="K108" s="55"/>
      <c r="L108" s="55" t="str">
        <f t="shared" ca="1" si="10"/>
        <v/>
      </c>
      <c r="M108" s="55" t="str">
        <f t="shared" ca="1" si="19"/>
        <v/>
      </c>
      <c r="N108" s="55" t="str">
        <f t="shared" ca="1" si="11"/>
        <v/>
      </c>
    </row>
    <row r="109" spans="1:14" x14ac:dyDescent="0.3">
      <c r="A109" s="105">
        <v>108</v>
      </c>
      <c r="B109" s="105" t="str">
        <f>VLOOKUP( $A109, Aop!$A$2:$P$453, 2, 0)</f>
        <v>BSp</v>
      </c>
      <c r="C109" s="105">
        <v>26</v>
      </c>
      <c r="D109" s="105" t="str">
        <f t="shared" si="12"/>
        <v>01040103</v>
      </c>
      <c r="E109" s="105" t="str">
        <f t="shared" si="13"/>
        <v>4400849160004</v>
      </c>
      <c r="F109" s="105" t="b">
        <f t="shared" si="14"/>
        <v>0</v>
      </c>
      <c r="G109" s="139">
        <f t="shared" si="15"/>
        <v>46203</v>
      </c>
      <c r="H109" s="105">
        <f>VLOOKUP( $A109, Aop!$A$2:$P$453, 4, 0)</f>
        <v>141</v>
      </c>
      <c r="I109" s="105">
        <f t="shared" si="16"/>
        <v>2026</v>
      </c>
      <c r="J109" s="55" t="str">
        <f t="shared" ca="1" si="20"/>
        <v/>
      </c>
      <c r="K109" s="55"/>
      <c r="L109" s="55" t="str">
        <f t="shared" ca="1" si="10"/>
        <v/>
      </c>
      <c r="M109" s="55" t="str">
        <f t="shared" ca="1" si="19"/>
        <v/>
      </c>
      <c r="N109" s="55" t="str">
        <f t="shared" ca="1" si="11"/>
        <v/>
      </c>
    </row>
    <row r="110" spans="1:14" x14ac:dyDescent="0.3">
      <c r="A110" s="105">
        <v>109</v>
      </c>
      <c r="B110" s="105" t="str">
        <f>VLOOKUP( $A110, Aop!$A$2:$P$453, 2, 0)</f>
        <v>BSp</v>
      </c>
      <c r="C110" s="105">
        <v>26</v>
      </c>
      <c r="D110" s="105" t="str">
        <f t="shared" si="12"/>
        <v>01040103</v>
      </c>
      <c r="E110" s="105" t="str">
        <f t="shared" si="13"/>
        <v>4400849160004</v>
      </c>
      <c r="F110" s="105" t="b">
        <f t="shared" si="14"/>
        <v>0</v>
      </c>
      <c r="G110" s="139">
        <f t="shared" si="15"/>
        <v>46203</v>
      </c>
      <c r="H110" s="105">
        <f>VLOOKUP( $A110, Aop!$A$2:$P$453, 4, 0)</f>
        <v>142</v>
      </c>
      <c r="I110" s="105">
        <f t="shared" si="16"/>
        <v>2026</v>
      </c>
      <c r="J110" s="55" t="str">
        <f t="shared" ca="1" si="20"/>
        <v/>
      </c>
      <c r="K110" s="55"/>
      <c r="L110" s="55" t="str">
        <f t="shared" ca="1" si="10"/>
        <v/>
      </c>
      <c r="M110" s="55" t="str">
        <f t="shared" ca="1" si="19"/>
        <v/>
      </c>
      <c r="N110" s="55" t="str">
        <f t="shared" ca="1" si="11"/>
        <v/>
      </c>
    </row>
    <row r="111" spans="1:14" x14ac:dyDescent="0.3">
      <c r="A111" s="105">
        <v>110</v>
      </c>
      <c r="B111" s="105" t="str">
        <f>VLOOKUP( $A111, Aop!$A$2:$P$453, 2, 0)</f>
        <v>BSp</v>
      </c>
      <c r="C111" s="105">
        <v>26</v>
      </c>
      <c r="D111" s="105" t="str">
        <f t="shared" si="12"/>
        <v>01040103</v>
      </c>
      <c r="E111" s="105" t="str">
        <f t="shared" si="13"/>
        <v>4400849160004</v>
      </c>
      <c r="F111" s="105" t="b">
        <f t="shared" si="14"/>
        <v>0</v>
      </c>
      <c r="G111" s="139">
        <f t="shared" si="15"/>
        <v>46203</v>
      </c>
      <c r="H111" s="105">
        <f>VLOOKUP( $A111, Aop!$A$2:$P$453, 4, 0)</f>
        <v>143</v>
      </c>
      <c r="I111" s="105">
        <f t="shared" si="16"/>
        <v>2026</v>
      </c>
      <c r="J111" s="55" t="str">
        <f t="shared" ca="1" si="20"/>
        <v/>
      </c>
      <c r="K111" s="55"/>
      <c r="L111" s="55" t="str">
        <f t="shared" ca="1" si="10"/>
        <v/>
      </c>
      <c r="M111" s="55" t="str">
        <f t="shared" ca="1" si="19"/>
        <v/>
      </c>
      <c r="N111" s="55" t="str">
        <f t="shared" ca="1" si="11"/>
        <v/>
      </c>
    </row>
    <row r="112" spans="1:14" x14ac:dyDescent="0.3">
      <c r="A112" s="105">
        <v>111</v>
      </c>
      <c r="B112" s="105" t="str">
        <f>VLOOKUP( $A112, Aop!$A$2:$P$453, 2, 0)</f>
        <v>BSp</v>
      </c>
      <c r="C112" s="105">
        <v>26</v>
      </c>
      <c r="D112" s="105" t="str">
        <f t="shared" si="12"/>
        <v>01040103</v>
      </c>
      <c r="E112" s="105" t="str">
        <f t="shared" si="13"/>
        <v>4400849160004</v>
      </c>
      <c r="F112" s="105" t="b">
        <f t="shared" si="14"/>
        <v>0</v>
      </c>
      <c r="G112" s="139">
        <f t="shared" si="15"/>
        <v>46203</v>
      </c>
      <c r="H112" s="105">
        <f>VLOOKUP( $A112, Aop!$A$2:$P$453, 4, 0)</f>
        <v>144</v>
      </c>
      <c r="I112" s="105">
        <f t="shared" si="16"/>
        <v>2026</v>
      </c>
      <c r="J112" s="55" t="str">
        <f t="shared" ca="1" si="20"/>
        <v/>
      </c>
      <c r="K112" s="55"/>
      <c r="L112" s="55" t="str">
        <f t="shared" ca="1" si="10"/>
        <v/>
      </c>
      <c r="M112" s="55" t="str">
        <f t="shared" ca="1" si="19"/>
        <v/>
      </c>
      <c r="N112" s="55" t="str">
        <f t="shared" ca="1" si="11"/>
        <v/>
      </c>
    </row>
    <row r="113" spans="1:14" x14ac:dyDescent="0.3">
      <c r="A113" s="105">
        <v>112</v>
      </c>
      <c r="B113" s="105" t="str">
        <f>VLOOKUP( $A113, Aop!$A$2:$P$453, 2, 0)</f>
        <v>BSp</v>
      </c>
      <c r="C113" s="105">
        <v>26</v>
      </c>
      <c r="D113" s="105" t="str">
        <f t="shared" si="12"/>
        <v>01040103</v>
      </c>
      <c r="E113" s="105" t="str">
        <f t="shared" si="13"/>
        <v>4400849160004</v>
      </c>
      <c r="F113" s="105" t="b">
        <f t="shared" si="14"/>
        <v>0</v>
      </c>
      <c r="G113" s="139">
        <f t="shared" si="15"/>
        <v>46203</v>
      </c>
      <c r="H113" s="105">
        <f>VLOOKUP( $A113, Aop!$A$2:$P$453, 4, 0)</f>
        <v>145</v>
      </c>
      <c r="I113" s="105">
        <f t="shared" si="16"/>
        <v>2026</v>
      </c>
      <c r="J113" s="55" t="str">
        <f t="shared" ca="1" si="20"/>
        <v/>
      </c>
      <c r="K113" s="55"/>
      <c r="L113" s="55" t="str">
        <f t="shared" ca="1" si="10"/>
        <v/>
      </c>
      <c r="M113" s="55" t="str">
        <f t="shared" ca="1" si="19"/>
        <v/>
      </c>
      <c r="N113" s="55" t="str">
        <f t="shared" ca="1" si="11"/>
        <v/>
      </c>
    </row>
    <row r="114" spans="1:14" x14ac:dyDescent="0.3">
      <c r="A114" s="105">
        <v>113</v>
      </c>
      <c r="B114" s="105" t="str">
        <f>VLOOKUP( $A114, Aop!$A$2:$P$453, 2, 0)</f>
        <v>BSp</v>
      </c>
      <c r="C114" s="105">
        <v>26</v>
      </c>
      <c r="D114" s="105" t="str">
        <f t="shared" si="12"/>
        <v>01040103</v>
      </c>
      <c r="E114" s="105" t="str">
        <f t="shared" si="13"/>
        <v>4400849160004</v>
      </c>
      <c r="F114" s="105" t="b">
        <f t="shared" si="14"/>
        <v>0</v>
      </c>
      <c r="G114" s="139">
        <f t="shared" si="15"/>
        <v>46203</v>
      </c>
      <c r="H114" s="105">
        <f>VLOOKUP( $A114, Aop!$A$2:$P$453, 4, 0)</f>
        <v>146</v>
      </c>
      <c r="I114" s="105">
        <f t="shared" si="16"/>
        <v>2026</v>
      </c>
      <c r="J114" s="55" t="str">
        <f t="shared" ca="1" si="20"/>
        <v/>
      </c>
      <c r="K114" s="55"/>
      <c r="L114" s="55" t="str">
        <f t="shared" ca="1" si="10"/>
        <v/>
      </c>
      <c r="M114" s="55" t="str">
        <f t="shared" ca="1" si="19"/>
        <v/>
      </c>
      <c r="N114" s="55" t="str">
        <f t="shared" ca="1" si="11"/>
        <v/>
      </c>
    </row>
    <row r="115" spans="1:14" x14ac:dyDescent="0.3">
      <c r="A115" s="105">
        <v>114</v>
      </c>
      <c r="B115" s="105" t="str">
        <f>VLOOKUP( $A115, Aop!$A$2:$P$453, 2, 0)</f>
        <v>BSp</v>
      </c>
      <c r="C115" s="105">
        <v>26</v>
      </c>
      <c r="D115" s="105" t="str">
        <f t="shared" si="12"/>
        <v>01040103</v>
      </c>
      <c r="E115" s="105" t="str">
        <f t="shared" si="13"/>
        <v>4400849160004</v>
      </c>
      <c r="F115" s="105" t="b">
        <f t="shared" si="14"/>
        <v>0</v>
      </c>
      <c r="G115" s="139">
        <f t="shared" si="15"/>
        <v>46203</v>
      </c>
      <c r="H115" s="105">
        <f>VLOOKUP( $A115, Aop!$A$2:$P$453, 4, 0)</f>
        <v>147</v>
      </c>
      <c r="I115" s="105">
        <f t="shared" si="16"/>
        <v>2026</v>
      </c>
      <c r="J115" s="55">
        <f t="shared" ca="1" si="20"/>
        <v>12</v>
      </c>
      <c r="K115" s="55"/>
      <c r="L115" s="55" t="str">
        <f t="shared" ca="1" si="10"/>
        <v/>
      </c>
      <c r="M115" s="55">
        <f t="shared" ca="1" si="19"/>
        <v>5704564</v>
      </c>
      <c r="N115" s="55">
        <f t="shared" ca="1" si="11"/>
        <v>5704564</v>
      </c>
    </row>
    <row r="116" spans="1:14" x14ac:dyDescent="0.3">
      <c r="A116" s="105">
        <v>115</v>
      </c>
      <c r="B116" s="105" t="str">
        <f>VLOOKUP( $A116, Aop!$A$2:$P$453, 2, 0)</f>
        <v>BSp</v>
      </c>
      <c r="C116" s="105">
        <v>26</v>
      </c>
      <c r="D116" s="105" t="str">
        <f t="shared" si="12"/>
        <v>01040103</v>
      </c>
      <c r="E116" s="105" t="str">
        <f t="shared" si="13"/>
        <v>4400849160004</v>
      </c>
      <c r="F116" s="105" t="b">
        <f t="shared" si="14"/>
        <v>0</v>
      </c>
      <c r="G116" s="139">
        <f t="shared" si="15"/>
        <v>46203</v>
      </c>
      <c r="H116" s="105">
        <f>VLOOKUP( $A116, Aop!$A$2:$P$453, 4, 0)</f>
        <v>148</v>
      </c>
      <c r="I116" s="105">
        <f t="shared" si="16"/>
        <v>2026</v>
      </c>
      <c r="J116" s="55" t="str">
        <f t="shared" ca="1" si="20"/>
        <v/>
      </c>
      <c r="K116" s="55"/>
      <c r="L116" s="55" t="str">
        <f t="shared" ca="1" si="10"/>
        <v/>
      </c>
      <c r="M116" s="55">
        <f t="shared" ca="1" si="19"/>
        <v>2726479</v>
      </c>
      <c r="N116" s="55">
        <f t="shared" ca="1" si="11"/>
        <v>2726479</v>
      </c>
    </row>
    <row r="117" spans="1:14" x14ac:dyDescent="0.3">
      <c r="A117" s="105">
        <v>116</v>
      </c>
      <c r="B117" s="105" t="str">
        <f>VLOOKUP( $A117, Aop!$A$2:$P$453, 2, 0)</f>
        <v>BSp</v>
      </c>
      <c r="C117" s="105">
        <v>26</v>
      </c>
      <c r="D117" s="105" t="str">
        <f t="shared" si="12"/>
        <v>01040103</v>
      </c>
      <c r="E117" s="105" t="str">
        <f t="shared" si="13"/>
        <v>4400849160004</v>
      </c>
      <c r="F117" s="105" t="b">
        <f t="shared" si="14"/>
        <v>0</v>
      </c>
      <c r="G117" s="139">
        <f t="shared" si="15"/>
        <v>46203</v>
      </c>
      <c r="H117" s="105">
        <f>VLOOKUP( $A117, Aop!$A$2:$P$453, 4, 0)</f>
        <v>149</v>
      </c>
      <c r="I117" s="105">
        <f t="shared" si="16"/>
        <v>2026</v>
      </c>
      <c r="J117" s="55">
        <f t="shared" ca="1" si="20"/>
        <v>12</v>
      </c>
      <c r="K117" s="55"/>
      <c r="L117" s="55" t="str">
        <f t="shared" ca="1" si="10"/>
        <v/>
      </c>
      <c r="M117" s="55">
        <f t="shared" ca="1" si="19"/>
        <v>1526479</v>
      </c>
      <c r="N117" s="55">
        <f t="shared" ca="1" si="11"/>
        <v>1526479</v>
      </c>
    </row>
    <row r="118" spans="1:14" x14ac:dyDescent="0.3">
      <c r="A118" s="105">
        <v>117</v>
      </c>
      <c r="B118" s="105" t="str">
        <f>VLOOKUP( $A118, Aop!$A$2:$P$453, 2, 0)</f>
        <v>BSp</v>
      </c>
      <c r="C118" s="105">
        <v>26</v>
      </c>
      <c r="D118" s="105" t="str">
        <f t="shared" si="12"/>
        <v>01040103</v>
      </c>
      <c r="E118" s="105" t="str">
        <f t="shared" si="13"/>
        <v>4400849160004</v>
      </c>
      <c r="F118" s="105" t="b">
        <f t="shared" si="14"/>
        <v>0</v>
      </c>
      <c r="G118" s="139">
        <f t="shared" si="15"/>
        <v>46203</v>
      </c>
      <c r="H118" s="105">
        <f>VLOOKUP( $A118, Aop!$A$2:$P$453, 4, 0)</f>
        <v>150</v>
      </c>
      <c r="I118" s="105">
        <f t="shared" si="16"/>
        <v>2026</v>
      </c>
      <c r="J118" s="55" t="str">
        <f t="shared" ca="1" si="20"/>
        <v/>
      </c>
      <c r="K118" s="55"/>
      <c r="L118" s="55" t="str">
        <f t="shared" ca="1" si="10"/>
        <v/>
      </c>
      <c r="M118" s="55" t="str">
        <f t="shared" ca="1" si="19"/>
        <v/>
      </c>
      <c r="N118" s="55" t="str">
        <f t="shared" ca="1" si="11"/>
        <v/>
      </c>
    </row>
    <row r="119" spans="1:14" x14ac:dyDescent="0.3">
      <c r="A119" s="105">
        <v>118</v>
      </c>
      <c r="B119" s="105" t="str">
        <f>VLOOKUP( $A119, Aop!$A$2:$P$453, 2, 0)</f>
        <v>BSp</v>
      </c>
      <c r="C119" s="105">
        <v>26</v>
      </c>
      <c r="D119" s="105" t="str">
        <f t="shared" si="12"/>
        <v>01040103</v>
      </c>
      <c r="E119" s="105" t="str">
        <f t="shared" si="13"/>
        <v>4400849160004</v>
      </c>
      <c r="F119" s="105" t="b">
        <f t="shared" si="14"/>
        <v>0</v>
      </c>
      <c r="G119" s="139">
        <f t="shared" si="15"/>
        <v>46203</v>
      </c>
      <c r="H119" s="105">
        <f>VLOOKUP( $A119, Aop!$A$2:$P$453, 4, 0)</f>
        <v>151</v>
      </c>
      <c r="I119" s="105">
        <f t="shared" si="16"/>
        <v>2026</v>
      </c>
      <c r="J119" s="55" t="str">
        <f t="shared" ca="1" si="20"/>
        <v/>
      </c>
      <c r="K119" s="55"/>
      <c r="L119" s="55" t="str">
        <f t="shared" ca="1" si="10"/>
        <v/>
      </c>
      <c r="M119" s="55" t="str">
        <f t="shared" ca="1" si="19"/>
        <v/>
      </c>
      <c r="N119" s="55" t="str">
        <f t="shared" ca="1" si="11"/>
        <v/>
      </c>
    </row>
    <row r="120" spans="1:14" x14ac:dyDescent="0.3">
      <c r="A120" s="105">
        <v>119</v>
      </c>
      <c r="B120" s="105" t="str">
        <f>VLOOKUP( $A120, Aop!$A$2:$P$453, 2, 0)</f>
        <v>BSp</v>
      </c>
      <c r="C120" s="105">
        <v>26</v>
      </c>
      <c r="D120" s="105" t="str">
        <f t="shared" si="12"/>
        <v>01040103</v>
      </c>
      <c r="E120" s="105" t="str">
        <f t="shared" si="13"/>
        <v>4400849160004</v>
      </c>
      <c r="F120" s="105" t="b">
        <f t="shared" si="14"/>
        <v>0</v>
      </c>
      <c r="G120" s="139">
        <f t="shared" si="15"/>
        <v>46203</v>
      </c>
      <c r="H120" s="105">
        <f>VLOOKUP( $A120, Aop!$A$2:$P$453, 4, 0)</f>
        <v>152</v>
      </c>
      <c r="I120" s="105">
        <f t="shared" si="16"/>
        <v>2026</v>
      </c>
      <c r="J120" s="55" t="str">
        <f t="shared" ca="1" si="20"/>
        <v/>
      </c>
      <c r="K120" s="55"/>
      <c r="L120" s="55" t="str">
        <f t="shared" ca="1" si="10"/>
        <v/>
      </c>
      <c r="M120" s="55" t="str">
        <f t="shared" ca="1" si="19"/>
        <v/>
      </c>
      <c r="N120" s="55" t="str">
        <f t="shared" ca="1" si="11"/>
        <v/>
      </c>
    </row>
    <row r="121" spans="1:14" x14ac:dyDescent="0.3">
      <c r="A121" s="105">
        <v>120</v>
      </c>
      <c r="B121" s="105" t="str">
        <f>VLOOKUP( $A121, Aop!$A$2:$P$453, 2, 0)</f>
        <v>BSp</v>
      </c>
      <c r="C121" s="105">
        <v>26</v>
      </c>
      <c r="D121" s="105" t="str">
        <f t="shared" si="12"/>
        <v>01040103</v>
      </c>
      <c r="E121" s="105" t="str">
        <f t="shared" si="13"/>
        <v>4400849160004</v>
      </c>
      <c r="F121" s="105" t="b">
        <f t="shared" si="14"/>
        <v>0</v>
      </c>
      <c r="G121" s="139">
        <f t="shared" si="15"/>
        <v>46203</v>
      </c>
      <c r="H121" s="105">
        <f>VLOOKUP( $A121, Aop!$A$2:$P$453, 4, 0)</f>
        <v>153</v>
      </c>
      <c r="I121" s="105">
        <f t="shared" si="16"/>
        <v>2026</v>
      </c>
      <c r="J121" s="55" t="str">
        <f t="shared" ca="1" si="20"/>
        <v/>
      </c>
      <c r="K121" s="55"/>
      <c r="L121" s="55" t="str">
        <f t="shared" ca="1" si="10"/>
        <v/>
      </c>
      <c r="M121" s="55" t="str">
        <f t="shared" ca="1" si="19"/>
        <v/>
      </c>
      <c r="N121" s="55" t="str">
        <f t="shared" ca="1" si="11"/>
        <v/>
      </c>
    </row>
    <row r="122" spans="1:14" x14ac:dyDescent="0.3">
      <c r="A122" s="105">
        <v>121</v>
      </c>
      <c r="B122" s="105" t="str">
        <f>VLOOKUP( $A122, Aop!$A$2:$P$453, 2, 0)</f>
        <v>BSp</v>
      </c>
      <c r="C122" s="105">
        <v>26</v>
      </c>
      <c r="D122" s="105" t="str">
        <f t="shared" si="12"/>
        <v>01040103</v>
      </c>
      <c r="E122" s="105" t="str">
        <f t="shared" si="13"/>
        <v>4400849160004</v>
      </c>
      <c r="F122" s="105" t="b">
        <f t="shared" si="14"/>
        <v>0</v>
      </c>
      <c r="G122" s="139">
        <f t="shared" si="15"/>
        <v>46203</v>
      </c>
      <c r="H122" s="105">
        <f>VLOOKUP( $A122, Aop!$A$2:$P$453, 4, 0)</f>
        <v>154</v>
      </c>
      <c r="I122" s="105">
        <f t="shared" si="16"/>
        <v>2026</v>
      </c>
      <c r="J122" s="55">
        <f t="shared" ca="1" si="20"/>
        <v>12</v>
      </c>
      <c r="K122" s="55"/>
      <c r="L122" s="55" t="str">
        <f t="shared" ca="1" si="10"/>
        <v/>
      </c>
      <c r="M122" s="55">
        <f t="shared" ca="1" si="19"/>
        <v>1200000</v>
      </c>
      <c r="N122" s="55">
        <f t="shared" ca="1" si="11"/>
        <v>1200000</v>
      </c>
    </row>
    <row r="123" spans="1:14" x14ac:dyDescent="0.3">
      <c r="A123" s="105">
        <v>122</v>
      </c>
      <c r="B123" s="105" t="str">
        <f>VLOOKUP( $A123, Aop!$A$2:$P$453, 2, 0)</f>
        <v>BSp</v>
      </c>
      <c r="C123" s="105">
        <v>26</v>
      </c>
      <c r="D123" s="105" t="str">
        <f t="shared" si="12"/>
        <v>01040103</v>
      </c>
      <c r="E123" s="105" t="str">
        <f t="shared" si="13"/>
        <v>4400849160004</v>
      </c>
      <c r="F123" s="105" t="b">
        <f t="shared" si="14"/>
        <v>0</v>
      </c>
      <c r="G123" s="139">
        <f t="shared" si="15"/>
        <v>46203</v>
      </c>
      <c r="H123" s="105">
        <f>VLOOKUP( $A123, Aop!$A$2:$P$453, 4, 0)</f>
        <v>155</v>
      </c>
      <c r="I123" s="105">
        <f t="shared" si="16"/>
        <v>2026</v>
      </c>
      <c r="J123" s="55">
        <f t="shared" ca="1" si="20"/>
        <v>13</v>
      </c>
      <c r="K123" s="55"/>
      <c r="L123" s="55" t="str">
        <f t="shared" ca="1" si="10"/>
        <v/>
      </c>
      <c r="M123" s="55">
        <f t="shared" ca="1" si="19"/>
        <v>2060651</v>
      </c>
      <c r="N123" s="55">
        <f t="shared" ca="1" si="11"/>
        <v>2060651</v>
      </c>
    </row>
    <row r="124" spans="1:14" x14ac:dyDescent="0.3">
      <c r="A124" s="105">
        <v>123</v>
      </c>
      <c r="B124" s="105" t="str">
        <f>VLOOKUP( $A124, Aop!$A$2:$P$453, 2, 0)</f>
        <v>BSp</v>
      </c>
      <c r="C124" s="105">
        <v>26</v>
      </c>
      <c r="D124" s="105" t="str">
        <f t="shared" si="12"/>
        <v>01040103</v>
      </c>
      <c r="E124" s="105" t="str">
        <f t="shared" si="13"/>
        <v>4400849160004</v>
      </c>
      <c r="F124" s="105" t="b">
        <f t="shared" si="14"/>
        <v>0</v>
      </c>
      <c r="G124" s="139">
        <f t="shared" si="15"/>
        <v>46203</v>
      </c>
      <c r="H124" s="105">
        <f>VLOOKUP( $A124, Aop!$A$2:$P$453, 4, 0)</f>
        <v>156</v>
      </c>
      <c r="I124" s="105">
        <f t="shared" si="16"/>
        <v>2026</v>
      </c>
      <c r="J124" s="55">
        <f t="shared" ca="1" si="20"/>
        <v>13</v>
      </c>
      <c r="K124" s="55"/>
      <c r="L124" s="55" t="str">
        <f t="shared" ca="1" si="10"/>
        <v/>
      </c>
      <c r="M124" s="55">
        <f t="shared" ca="1" si="19"/>
        <v>130703</v>
      </c>
      <c r="N124" s="55">
        <f t="shared" ca="1" si="11"/>
        <v>130703</v>
      </c>
    </row>
    <row r="125" spans="1:14" x14ac:dyDescent="0.3">
      <c r="A125" s="105">
        <v>124</v>
      </c>
      <c r="B125" s="105" t="str">
        <f>VLOOKUP( $A125, Aop!$A$2:$P$453, 2, 0)</f>
        <v>BSp</v>
      </c>
      <c r="C125" s="105">
        <v>26</v>
      </c>
      <c r="D125" s="105" t="str">
        <f t="shared" si="12"/>
        <v>01040103</v>
      </c>
      <c r="E125" s="105" t="str">
        <f t="shared" si="13"/>
        <v>4400849160004</v>
      </c>
      <c r="F125" s="105" t="b">
        <f t="shared" si="14"/>
        <v>0</v>
      </c>
      <c r="G125" s="139">
        <f t="shared" si="15"/>
        <v>46203</v>
      </c>
      <c r="H125" s="105">
        <f>VLOOKUP( $A125, Aop!$A$2:$P$453, 4, 0)</f>
        <v>157</v>
      </c>
      <c r="I125" s="105">
        <f t="shared" si="16"/>
        <v>2026</v>
      </c>
      <c r="J125" s="55">
        <f t="shared" ca="1" si="20"/>
        <v>13</v>
      </c>
      <c r="K125" s="55"/>
      <c r="L125" s="55" t="str">
        <f t="shared" ca="1" si="10"/>
        <v/>
      </c>
      <c r="M125" s="55">
        <f t="shared" ca="1" si="19"/>
        <v>906669</v>
      </c>
      <c r="N125" s="55">
        <f t="shared" ca="1" si="11"/>
        <v>906669</v>
      </c>
    </row>
    <row r="126" spans="1:14" x14ac:dyDescent="0.3">
      <c r="A126" s="105">
        <v>125</v>
      </c>
      <c r="B126" s="105" t="str">
        <f>VLOOKUP( $A126, Aop!$A$2:$P$453, 2, 0)</f>
        <v>BSp</v>
      </c>
      <c r="C126" s="105">
        <v>26</v>
      </c>
      <c r="D126" s="105" t="str">
        <f t="shared" si="12"/>
        <v>01040103</v>
      </c>
      <c r="E126" s="105" t="str">
        <f t="shared" si="13"/>
        <v>4400849160004</v>
      </c>
      <c r="F126" s="105" t="b">
        <f t="shared" si="14"/>
        <v>0</v>
      </c>
      <c r="G126" s="139">
        <f t="shared" si="15"/>
        <v>46203</v>
      </c>
      <c r="H126" s="105">
        <f>VLOOKUP( $A126, Aop!$A$2:$P$453, 4, 0)</f>
        <v>158</v>
      </c>
      <c r="I126" s="105">
        <f t="shared" si="16"/>
        <v>2026</v>
      </c>
      <c r="J126" s="55">
        <f t="shared" ca="1" si="20"/>
        <v>13</v>
      </c>
      <c r="K126" s="55"/>
      <c r="L126" s="55" t="str">
        <f t="shared" ca="1" si="10"/>
        <v/>
      </c>
      <c r="M126" s="55">
        <f t="shared" ca="1" si="19"/>
        <v>1023279</v>
      </c>
      <c r="N126" s="55">
        <f t="shared" ca="1" si="11"/>
        <v>1023279</v>
      </c>
    </row>
    <row r="127" spans="1:14" x14ac:dyDescent="0.3">
      <c r="A127" s="105">
        <v>126</v>
      </c>
      <c r="B127" s="105" t="str">
        <f>VLOOKUP( $A127, Aop!$A$2:$P$453, 2, 0)</f>
        <v>BSp</v>
      </c>
      <c r="C127" s="105">
        <v>26</v>
      </c>
      <c r="D127" s="105" t="str">
        <f t="shared" si="12"/>
        <v>01040103</v>
      </c>
      <c r="E127" s="105" t="str">
        <f t="shared" si="13"/>
        <v>4400849160004</v>
      </c>
      <c r="F127" s="105" t="b">
        <f t="shared" si="14"/>
        <v>0</v>
      </c>
      <c r="G127" s="139">
        <f t="shared" si="15"/>
        <v>46203</v>
      </c>
      <c r="H127" s="105">
        <f>VLOOKUP( $A127, Aop!$A$2:$P$453, 4, 0)</f>
        <v>159</v>
      </c>
      <c r="I127" s="105">
        <f t="shared" si="16"/>
        <v>2026</v>
      </c>
      <c r="J127" s="55" t="str">
        <f t="shared" ca="1" si="20"/>
        <v/>
      </c>
      <c r="K127" s="55"/>
      <c r="L127" s="55" t="str">
        <f t="shared" ca="1" si="10"/>
        <v/>
      </c>
      <c r="M127" s="55" t="str">
        <f t="shared" ca="1" si="19"/>
        <v/>
      </c>
      <c r="N127" s="55" t="str">
        <f t="shared" ca="1" si="11"/>
        <v/>
      </c>
    </row>
    <row r="128" spans="1:14" x14ac:dyDescent="0.3">
      <c r="A128" s="105">
        <v>127</v>
      </c>
      <c r="B128" s="105" t="str">
        <f>VLOOKUP( $A128, Aop!$A$2:$P$453, 2, 0)</f>
        <v>BSp</v>
      </c>
      <c r="C128" s="105">
        <v>26</v>
      </c>
      <c r="D128" s="105" t="str">
        <f t="shared" si="12"/>
        <v>01040103</v>
      </c>
      <c r="E128" s="105" t="str">
        <f t="shared" si="13"/>
        <v>4400849160004</v>
      </c>
      <c r="F128" s="105" t="b">
        <f t="shared" si="14"/>
        <v>0</v>
      </c>
      <c r="G128" s="139">
        <f t="shared" si="15"/>
        <v>46203</v>
      </c>
      <c r="H128" s="105">
        <f>VLOOKUP( $A128, Aop!$A$2:$P$453, 4, 0)</f>
        <v>160</v>
      </c>
      <c r="I128" s="105">
        <f t="shared" si="16"/>
        <v>2026</v>
      </c>
      <c r="J128" s="55" t="str">
        <f t="shared" ca="1" si="20"/>
        <v/>
      </c>
      <c r="K128" s="55"/>
      <c r="L128" s="55" t="str">
        <f t="shared" ca="1" si="10"/>
        <v/>
      </c>
      <c r="M128" s="55" t="str">
        <f t="shared" ca="1" si="19"/>
        <v/>
      </c>
      <c r="N128" s="55" t="str">
        <f t="shared" ca="1" si="11"/>
        <v/>
      </c>
    </row>
    <row r="129" spans="1:14" x14ac:dyDescent="0.3">
      <c r="A129" s="105">
        <v>128</v>
      </c>
      <c r="B129" s="105" t="str">
        <f>VLOOKUP( $A129, Aop!$A$2:$P$453, 2, 0)</f>
        <v>BSp</v>
      </c>
      <c r="C129" s="105">
        <v>26</v>
      </c>
      <c r="D129" s="105" t="str">
        <f t="shared" si="12"/>
        <v>01040103</v>
      </c>
      <c r="E129" s="105" t="str">
        <f t="shared" si="13"/>
        <v>4400849160004</v>
      </c>
      <c r="F129" s="105" t="b">
        <f t="shared" si="14"/>
        <v>0</v>
      </c>
      <c r="G129" s="139">
        <f t="shared" si="15"/>
        <v>46203</v>
      </c>
      <c r="H129" s="105">
        <f>VLOOKUP( $A129, Aop!$A$2:$P$453, 4, 0)</f>
        <v>161</v>
      </c>
      <c r="I129" s="105">
        <f t="shared" si="16"/>
        <v>2026</v>
      </c>
      <c r="J129" s="55" t="str">
        <f t="shared" ca="1" si="20"/>
        <v/>
      </c>
      <c r="K129" s="55"/>
      <c r="L129" s="55" t="str">
        <f t="shared" ca="1" si="10"/>
        <v/>
      </c>
      <c r="M129" s="55" t="str">
        <f t="shared" ca="1" si="19"/>
        <v/>
      </c>
      <c r="N129" s="55" t="str">
        <f t="shared" ca="1" si="11"/>
        <v/>
      </c>
    </row>
    <row r="130" spans="1:14" x14ac:dyDescent="0.3">
      <c r="A130" s="105">
        <v>129</v>
      </c>
      <c r="B130" s="55" t="str">
        <f>VLOOKUP( $A130, Aop!$A$2:$P$453, 2, 0)</f>
        <v>BSp</v>
      </c>
      <c r="C130" s="105">
        <v>26</v>
      </c>
      <c r="D130" s="55" t="str">
        <f>Podatak_MB</f>
        <v>01040103</v>
      </c>
      <c r="E130" s="55" t="str">
        <f>Podatak_JIB</f>
        <v>4400849160004</v>
      </c>
      <c r="F130" s="55" t="b">
        <f>Konsolidovan_izvjestaj</f>
        <v>0</v>
      </c>
      <c r="G130" s="139">
        <f>Datum_Broj</f>
        <v>46203</v>
      </c>
      <c r="H130" s="55">
        <f>VLOOKUP( $A130, Aop!$A$2:$P$453, 4, 0)</f>
        <v>162</v>
      </c>
      <c r="I130" s="55">
        <f>Godina</f>
        <v>2026</v>
      </c>
      <c r="J130" s="55" t="str">
        <f t="shared" ca="1" si="20"/>
        <v/>
      </c>
      <c r="K130" s="55"/>
      <c r="L130" s="55" t="str">
        <f t="shared" ca="1" si="10"/>
        <v/>
      </c>
      <c r="M130" s="55">
        <f t="shared" ca="1" si="19"/>
        <v>421932</v>
      </c>
      <c r="N130" s="55">
        <f t="shared" ref="N130:N193" ca="1" si="21">IF( VLOOKUP( $H130, INDIRECT( "Lookup_" &amp; $B130), IF( LEFT( $B130, 2) = "BS", S$2, S$1), 0) = "", "", VLOOKUP( $H130, INDIRECT( "Lookup_" &amp; $B130), IF( LEFT( $B130, 2) = "BS", S$2, S$1), 0))</f>
        <v>421932</v>
      </c>
    </row>
    <row r="131" spans="1:14" x14ac:dyDescent="0.3">
      <c r="A131" s="105">
        <v>130</v>
      </c>
      <c r="B131" s="105" t="str">
        <f>VLOOKUP( $A131, Aop!$A$2:$P$453, 2, 0)</f>
        <v>BSp</v>
      </c>
      <c r="C131" s="105">
        <v>26</v>
      </c>
      <c r="D131" s="55" t="str">
        <f t="shared" ref="D131:D190" si="22">Podatak_MB</f>
        <v>01040103</v>
      </c>
      <c r="E131" s="55" t="str">
        <f t="shared" ref="E131:E190" si="23">Podatak_JIB</f>
        <v>4400849160004</v>
      </c>
      <c r="F131" s="55" t="b">
        <f t="shared" si="14"/>
        <v>0</v>
      </c>
      <c r="G131" s="139">
        <f t="shared" si="15"/>
        <v>46203</v>
      </c>
      <c r="H131" s="105">
        <f>VLOOKUP( $A131, Aop!$A$2:$P$453, 4, 0)</f>
        <v>163</v>
      </c>
      <c r="I131" s="55">
        <f t="shared" ref="I131:I190" si="24">Godina</f>
        <v>2026</v>
      </c>
      <c r="J131" s="55" t="str">
        <f t="shared" ca="1" si="20"/>
        <v/>
      </c>
      <c r="K131" s="55"/>
      <c r="L131" s="55" t="str">
        <f t="shared" ca="1" si="10"/>
        <v/>
      </c>
      <c r="M131" s="55">
        <f t="shared" ca="1" si="19"/>
        <v>92562</v>
      </c>
      <c r="N131" s="55">
        <f t="shared" ca="1" si="21"/>
        <v>92562</v>
      </c>
    </row>
    <row r="132" spans="1:14" x14ac:dyDescent="0.3">
      <c r="A132" s="105">
        <v>131</v>
      </c>
      <c r="B132" s="105" t="str">
        <f>VLOOKUP( $A132, Aop!$A$2:$P$453, 2, 0)</f>
        <v>BSp</v>
      </c>
      <c r="C132" s="105">
        <v>26</v>
      </c>
      <c r="D132" s="55" t="str">
        <f t="shared" si="22"/>
        <v>01040103</v>
      </c>
      <c r="E132" s="55" t="str">
        <f t="shared" si="23"/>
        <v>4400849160004</v>
      </c>
      <c r="F132" s="55" t="b">
        <f t="shared" ref="F132:F191" si="25">Konsolidovan_izvjestaj</f>
        <v>0</v>
      </c>
      <c r="G132" s="139">
        <f t="shared" ref="G132:G191" si="26">Datum_Broj</f>
        <v>46203</v>
      </c>
      <c r="H132" s="105">
        <f>VLOOKUP( $A132, Aop!$A$2:$P$453, 4, 0)</f>
        <v>164</v>
      </c>
      <c r="I132" s="55">
        <f t="shared" si="24"/>
        <v>2026</v>
      </c>
      <c r="J132" s="55" t="str">
        <f t="shared" ca="1" si="20"/>
        <v/>
      </c>
      <c r="K132" s="55"/>
      <c r="L132" s="55" t="str">
        <f ca="1">IF( VLOOKUP( $H132, INDIRECT( "Lookup_" &amp; $B132), IF( LEFT( $B132, 2) = "BS", R$2, R$1), 0) = "", "", VLOOKUP( $H132, INDIRECT( "Lookup_" &amp; $B132), IF( $B132 = "BSa", R$2, R$1), 0))</f>
        <v/>
      </c>
      <c r="M132" s="55">
        <f t="shared" ref="M132:M137" ca="1" si="27">IF( VLOOKUP( $H132, INDIRECT( "Lookup_" &amp; $B132), IF( LEFT( $B132, 2) = "BS", S$2, S$1), 0) = "", "", VLOOKUP( $H132, INDIRECT( "Lookup_" &amp; $B132), IF( LEFT( $B132, 2) = "BS", S$2, S$1), 0))</f>
        <v>183805</v>
      </c>
      <c r="N132" s="55">
        <f t="shared" ca="1" si="21"/>
        <v>183805</v>
      </c>
    </row>
    <row r="133" spans="1:14" x14ac:dyDescent="0.3">
      <c r="A133" s="105">
        <v>132</v>
      </c>
      <c r="B133" s="105" t="str">
        <f>VLOOKUP( $A133, Aop!$A$2:$P$453, 2, 0)</f>
        <v>BSp</v>
      </c>
      <c r="C133" s="105">
        <v>26</v>
      </c>
      <c r="D133" s="55" t="str">
        <f t="shared" si="22"/>
        <v>01040103</v>
      </c>
      <c r="E133" s="55" t="str">
        <f t="shared" si="23"/>
        <v>4400849160004</v>
      </c>
      <c r="F133" s="55" t="b">
        <f t="shared" si="25"/>
        <v>0</v>
      </c>
      <c r="G133" s="139">
        <f t="shared" si="26"/>
        <v>46203</v>
      </c>
      <c r="H133" s="105">
        <f>VLOOKUP( $A133, Aop!$A$2:$P$453, 4, 0)</f>
        <v>165</v>
      </c>
      <c r="I133" s="55">
        <f t="shared" si="24"/>
        <v>2026</v>
      </c>
      <c r="J133" s="55" t="str">
        <f t="shared" ca="1" si="20"/>
        <v/>
      </c>
      <c r="K133" s="55"/>
      <c r="L133" s="55" t="str">
        <f ca="1">IF( VLOOKUP( $H133, INDIRECT( "Lookup_" &amp; $B133), IF( LEFT( $B133, 2) = "BS", R$2, R$1), 0) = "", "", VLOOKUP( $H133, INDIRECT( "Lookup_" &amp; $B133), IF( $B133 = "BSa", R$2, R$1), 0))</f>
        <v/>
      </c>
      <c r="M133" s="55">
        <f t="shared" ca="1" si="27"/>
        <v>13628</v>
      </c>
      <c r="N133" s="55">
        <f t="shared" ca="1" si="21"/>
        <v>13628</v>
      </c>
    </row>
    <row r="134" spans="1:14" x14ac:dyDescent="0.3">
      <c r="A134" s="105">
        <v>133</v>
      </c>
      <c r="B134" s="105" t="str">
        <f>VLOOKUP( $A134, Aop!$A$2:$P$453, 2, 0)</f>
        <v>BSp</v>
      </c>
      <c r="C134" s="105">
        <v>26</v>
      </c>
      <c r="D134" s="55" t="str">
        <f t="shared" si="22"/>
        <v>01040103</v>
      </c>
      <c r="E134" s="55" t="str">
        <f t="shared" si="23"/>
        <v>4400849160004</v>
      </c>
      <c r="F134" s="55" t="b">
        <f t="shared" si="25"/>
        <v>0</v>
      </c>
      <c r="G134" s="139">
        <f t="shared" si="26"/>
        <v>46203</v>
      </c>
      <c r="H134" s="105">
        <f>VLOOKUP( $A134, Aop!$A$2:$P$453, 4, 0)</f>
        <v>166</v>
      </c>
      <c r="I134" s="55">
        <f t="shared" si="24"/>
        <v>2026</v>
      </c>
      <c r="J134" s="55" t="str">
        <f t="shared" ca="1" si="20"/>
        <v/>
      </c>
      <c r="K134" s="55"/>
      <c r="L134" s="55" t="str">
        <f ca="1">IF( VLOOKUP( $H134, INDIRECT( "Lookup_" &amp; $B134), IF( LEFT( $B134, 2) = "BS", R$2, R$1), 0) = "", "", VLOOKUP( $H134, INDIRECT( "Lookup_" &amp; $B134), IF( $B134 = "BSa", R$2, R$1), 0))</f>
        <v/>
      </c>
      <c r="M134" s="55">
        <f t="shared" ca="1" si="27"/>
        <v>78694</v>
      </c>
      <c r="N134" s="55">
        <f t="shared" ca="1" si="21"/>
        <v>78694</v>
      </c>
    </row>
    <row r="135" spans="1:14" x14ac:dyDescent="0.3">
      <c r="A135" s="105">
        <v>134</v>
      </c>
      <c r="B135" s="105" t="str">
        <f>VLOOKUP( $A135, Aop!$A$2:$P$453, 2, 0)</f>
        <v>BSp</v>
      </c>
      <c r="C135" s="105">
        <v>26</v>
      </c>
      <c r="D135" s="55" t="str">
        <f t="shared" si="22"/>
        <v>01040103</v>
      </c>
      <c r="E135" s="55" t="str">
        <f t="shared" si="23"/>
        <v>4400849160004</v>
      </c>
      <c r="F135" s="55" t="b">
        <f t="shared" si="25"/>
        <v>0</v>
      </c>
      <c r="G135" s="139">
        <f t="shared" si="26"/>
        <v>46203</v>
      </c>
      <c r="H135" s="105">
        <f>VLOOKUP( $A135, Aop!$A$2:$P$453, 4, 0)</f>
        <v>167</v>
      </c>
      <c r="I135" s="55">
        <f t="shared" si="24"/>
        <v>2026</v>
      </c>
      <c r="J135" s="55" t="str">
        <f t="shared" ref="J135:J138" ca="1" si="28">IF( VLOOKUP( $H135, INDIRECT( "Lookup_" &amp; $B135), IF( LEFT( $B135, 2) = "BS", P$2, P$1), 0) = "", "", VLOOKUP( $H135, INDIRECT( "Lookup_" &amp; $B135), IF( $B135 = "BSp", P$2, P$1), 0))</f>
        <v/>
      </c>
      <c r="K135" s="55"/>
      <c r="L135" s="55" t="str">
        <f ca="1">IF( VLOOKUP( $H135, INDIRECT( "Lookup_" &amp; $B135), IF( LEFT( $B135, 2) = "BS", R$2, R$1), 0) = "", "", VLOOKUP( $H135, INDIRECT( "Lookup_" &amp; $B135), IF( $B135 = "BSa", R$2, R$1), 0))</f>
        <v/>
      </c>
      <c r="M135" s="55">
        <f t="shared" ca="1" si="27"/>
        <v>126813</v>
      </c>
      <c r="N135" s="55">
        <f t="shared" ca="1" si="21"/>
        <v>126813</v>
      </c>
    </row>
    <row r="136" spans="1:14" x14ac:dyDescent="0.3">
      <c r="A136" s="105">
        <v>136</v>
      </c>
      <c r="B136" s="105" t="str">
        <f>VLOOKUP( $A136, Aop!$A$2:$P$453, 2, 0)</f>
        <v>BSp</v>
      </c>
      <c r="C136" s="105">
        <v>26</v>
      </c>
      <c r="D136" s="55" t="str">
        <f t="shared" si="22"/>
        <v>01040103</v>
      </c>
      <c r="E136" s="55" t="str">
        <f t="shared" si="23"/>
        <v>4400849160004</v>
      </c>
      <c r="F136" s="55" t="b">
        <f t="shared" si="25"/>
        <v>0</v>
      </c>
      <c r="G136" s="139">
        <f t="shared" si="26"/>
        <v>46203</v>
      </c>
      <c r="H136" s="105">
        <f>VLOOKUP( $A136, Aop!$A$2:$P$453, 4, 0)</f>
        <v>0</v>
      </c>
      <c r="I136" s="55">
        <f t="shared" si="24"/>
        <v>2026</v>
      </c>
      <c r="J136" s="55" t="str">
        <f t="shared" ca="1" si="28"/>
        <v/>
      </c>
      <c r="K136" s="55"/>
      <c r="L136" s="55"/>
      <c r="M136" s="55" t="str">
        <f t="shared" ca="1" si="27"/>
        <v/>
      </c>
      <c r="N136" s="55" t="str">
        <f t="shared" ca="1" si="21"/>
        <v/>
      </c>
    </row>
    <row r="137" spans="1:14" x14ac:dyDescent="0.3">
      <c r="A137" s="105">
        <v>137</v>
      </c>
      <c r="B137" s="105" t="str">
        <f>VLOOKUP( $A137, Aop!$A$2:$P$453, 2, 0)</f>
        <v>BSp</v>
      </c>
      <c r="C137" s="105">
        <v>26</v>
      </c>
      <c r="D137" s="55" t="str">
        <f t="shared" si="22"/>
        <v>01040103</v>
      </c>
      <c r="E137" s="55" t="str">
        <f t="shared" si="23"/>
        <v>4400849160004</v>
      </c>
      <c r="F137" s="55" t="b">
        <f t="shared" si="25"/>
        <v>0</v>
      </c>
      <c r="G137" s="139">
        <f t="shared" si="26"/>
        <v>46203</v>
      </c>
      <c r="H137" s="105">
        <f>VLOOKUP( $A137, Aop!$A$2:$P$453, 4, 0)</f>
        <v>169</v>
      </c>
      <c r="I137" s="55">
        <f t="shared" si="24"/>
        <v>2026</v>
      </c>
      <c r="J137" s="55" t="str">
        <f t="shared" ca="1" si="28"/>
        <v/>
      </c>
      <c r="K137" s="55"/>
      <c r="L137" s="55"/>
      <c r="M137" s="55">
        <f t="shared" ca="1" si="27"/>
        <v>27923165</v>
      </c>
      <c r="N137" s="55">
        <f t="shared" ca="1" si="21"/>
        <v>27923165</v>
      </c>
    </row>
    <row r="138" spans="1:14" x14ac:dyDescent="0.3">
      <c r="A138" s="105">
        <v>138</v>
      </c>
      <c r="B138" s="105" t="str">
        <f>VLOOKUP( $A138, Aop!$A$2:$P$453, 2, 0)</f>
        <v>BSp</v>
      </c>
      <c r="C138" s="105">
        <v>27</v>
      </c>
      <c r="D138" s="55" t="str">
        <f t="shared" si="22"/>
        <v>01040103</v>
      </c>
      <c r="E138" s="55" t="str">
        <f t="shared" si="23"/>
        <v>4400849160004</v>
      </c>
      <c r="F138" s="55" t="b">
        <f t="shared" si="25"/>
        <v>0</v>
      </c>
      <c r="G138" s="139">
        <f t="shared" si="26"/>
        <v>46203</v>
      </c>
      <c r="H138" s="105">
        <f>VLOOKUP( $A138, Aop!$A$2:$P$453, 4, 0)</f>
        <v>170</v>
      </c>
      <c r="I138" s="55">
        <f t="shared" si="24"/>
        <v>2026</v>
      </c>
      <c r="J138" s="55" t="str">
        <f t="shared" ca="1" si="28"/>
        <v/>
      </c>
      <c r="K138" s="55"/>
      <c r="L138" s="55"/>
      <c r="M138" s="55" t="str">
        <f t="shared" ref="M138:M197" ca="1" si="29">IF( VLOOKUP( $H138, INDIRECT( "Lookup_" &amp; $B138), IF( LEFT( $B138, 2) = "BS", S$2, S$1), 0) = "", "", VLOOKUP( $H138, INDIRECT( "Lookup_" &amp; $B138), IF( LEFT( $B138, 2) = "BS", S$2, S$1), 0))</f>
        <v/>
      </c>
      <c r="N138" s="55" t="str">
        <f t="shared" ca="1" si="21"/>
        <v/>
      </c>
    </row>
    <row r="139" spans="1:14" x14ac:dyDescent="0.3">
      <c r="A139" s="105">
        <v>139</v>
      </c>
      <c r="B139" s="105" t="str">
        <f>VLOOKUP( $A139, Aop!$A$2:$P$453, 2, 0)</f>
        <v>BUa</v>
      </c>
      <c r="C139" s="55">
        <v>27</v>
      </c>
      <c r="D139" s="55" t="str">
        <f t="shared" si="22"/>
        <v>01040103</v>
      </c>
      <c r="E139" s="55" t="str">
        <f t="shared" si="23"/>
        <v>4400849160004</v>
      </c>
      <c r="F139" s="55" t="b">
        <f t="shared" si="25"/>
        <v>0</v>
      </c>
      <c r="G139" s="139">
        <f t="shared" si="26"/>
        <v>46203</v>
      </c>
      <c r="H139" s="105">
        <f>VLOOKUP( $A139, Aop!$A$2:$P$453, 4, 0)</f>
        <v>201</v>
      </c>
      <c r="I139" s="55">
        <f t="shared" si="24"/>
        <v>2026</v>
      </c>
      <c r="J139" s="55">
        <f ca="1">IF( VLOOKUP( $H139, INDIRECT( "Lookup_" &amp; $B139), IF( LEFT( $B139, 2) = "BS", R$2, R$1), 0) = "", "", VLOOKUP( $H139, INDIRECT( "Lookup_" &amp; $B139), IF( $B139 = "BSp", R$2, R$1), 0))</f>
        <v>14</v>
      </c>
      <c r="K139" s="55"/>
      <c r="L139" s="55"/>
      <c r="M139" s="55">
        <f t="shared" ca="1" si="29"/>
        <v>9857362</v>
      </c>
      <c r="N139" s="55">
        <f t="shared" ca="1" si="21"/>
        <v>9857362</v>
      </c>
    </row>
    <row r="140" spans="1:14" x14ac:dyDescent="0.3">
      <c r="A140" s="105">
        <v>140</v>
      </c>
      <c r="B140" s="105" t="str">
        <f>VLOOKUP( $A140, Aop!$A$2:$P$453, 2, 0)</f>
        <v>BUa</v>
      </c>
      <c r="C140" s="55">
        <v>27</v>
      </c>
      <c r="D140" s="55" t="str">
        <f t="shared" si="22"/>
        <v>01040103</v>
      </c>
      <c r="E140" s="55" t="str">
        <f t="shared" si="23"/>
        <v>4400849160004</v>
      </c>
      <c r="F140" s="55" t="b">
        <f t="shared" si="25"/>
        <v>0</v>
      </c>
      <c r="G140" s="139">
        <f t="shared" si="26"/>
        <v>46203</v>
      </c>
      <c r="H140" s="105">
        <f>VLOOKUP( $A140, Aop!$A$2:$P$453, 4, 0)</f>
        <v>202</v>
      </c>
      <c r="I140" s="55">
        <f t="shared" si="24"/>
        <v>2026</v>
      </c>
      <c r="J140" s="55" t="str">
        <f t="shared" ref="J140:J203" ca="1" si="30">IF( VLOOKUP( $H140, INDIRECT( "Lookup_" &amp; $B140), IF( LEFT( $B140, 2) = "BS", R$2, R$1), 0) = "", "", VLOOKUP( $H140, INDIRECT( "Lookup_" &amp; $B140), IF( $B140 = "BSp", R$2, R$1), 0))</f>
        <v/>
      </c>
      <c r="K140" s="55"/>
      <c r="L140" s="55"/>
      <c r="M140" s="55">
        <f t="shared" ca="1" si="29"/>
        <v>114212</v>
      </c>
      <c r="N140" s="55">
        <f t="shared" ca="1" si="21"/>
        <v>114212</v>
      </c>
    </row>
    <row r="141" spans="1:14" x14ac:dyDescent="0.3">
      <c r="A141" s="105">
        <v>141</v>
      </c>
      <c r="B141" s="105" t="str">
        <f>VLOOKUP( $A141, Aop!$A$2:$P$453, 2, 0)</f>
        <v>BUa</v>
      </c>
      <c r="C141" s="55">
        <v>27</v>
      </c>
      <c r="D141" s="55" t="str">
        <f t="shared" si="22"/>
        <v>01040103</v>
      </c>
      <c r="E141" s="55" t="str">
        <f t="shared" si="23"/>
        <v>4400849160004</v>
      </c>
      <c r="F141" s="55" t="b">
        <f t="shared" si="25"/>
        <v>0</v>
      </c>
      <c r="G141" s="139">
        <f t="shared" si="26"/>
        <v>46203</v>
      </c>
      <c r="H141" s="105">
        <f>VLOOKUP( $A141, Aop!$A$2:$P$453, 4, 0)</f>
        <v>203</v>
      </c>
      <c r="I141" s="55">
        <f t="shared" si="24"/>
        <v>2026</v>
      </c>
      <c r="J141" s="55" t="str">
        <f t="shared" ca="1" si="30"/>
        <v/>
      </c>
      <c r="K141" s="55"/>
      <c r="L141" s="55"/>
      <c r="M141" s="55" t="str">
        <f t="shared" ca="1" si="29"/>
        <v/>
      </c>
      <c r="N141" s="55" t="str">
        <f t="shared" ca="1" si="21"/>
        <v/>
      </c>
    </row>
    <row r="142" spans="1:14" x14ac:dyDescent="0.3">
      <c r="A142" s="105">
        <v>142</v>
      </c>
      <c r="B142" s="105" t="str">
        <f>VLOOKUP( $A142, Aop!$A$2:$P$453, 2, 0)</f>
        <v>BUa</v>
      </c>
      <c r="C142" s="55">
        <v>27</v>
      </c>
      <c r="D142" s="55" t="str">
        <f t="shared" si="22"/>
        <v>01040103</v>
      </c>
      <c r="E142" s="55" t="str">
        <f t="shared" si="23"/>
        <v>4400849160004</v>
      </c>
      <c r="F142" s="55" t="b">
        <f t="shared" si="25"/>
        <v>0</v>
      </c>
      <c r="G142" s="139">
        <f t="shared" si="26"/>
        <v>46203</v>
      </c>
      <c r="H142" s="105">
        <f>VLOOKUP( $A142, Aop!$A$2:$P$453, 4, 0)</f>
        <v>204</v>
      </c>
      <c r="I142" s="55">
        <f t="shared" si="24"/>
        <v>2026</v>
      </c>
      <c r="J142" s="55" t="str">
        <f t="shared" ca="1" si="30"/>
        <v/>
      </c>
      <c r="K142" s="55"/>
      <c r="L142" s="55"/>
      <c r="M142" s="55">
        <f t="shared" ca="1" si="29"/>
        <v>114212</v>
      </c>
      <c r="N142" s="55">
        <f t="shared" ca="1" si="21"/>
        <v>114212</v>
      </c>
    </row>
    <row r="143" spans="1:14" x14ac:dyDescent="0.3">
      <c r="A143" s="105">
        <v>143</v>
      </c>
      <c r="B143" s="105" t="str">
        <f>VLOOKUP( $A143, Aop!$A$2:$P$453, 2, 0)</f>
        <v>BUa</v>
      </c>
      <c r="C143" s="55">
        <v>27</v>
      </c>
      <c r="D143" s="55" t="str">
        <f t="shared" si="22"/>
        <v>01040103</v>
      </c>
      <c r="E143" s="55" t="str">
        <f t="shared" si="23"/>
        <v>4400849160004</v>
      </c>
      <c r="F143" s="55" t="b">
        <f t="shared" si="25"/>
        <v>0</v>
      </c>
      <c r="G143" s="139">
        <f t="shared" si="26"/>
        <v>46203</v>
      </c>
      <c r="H143" s="105">
        <f>VLOOKUP( $A143, Aop!$A$2:$P$453, 4, 0)</f>
        <v>205</v>
      </c>
      <c r="I143" s="55">
        <f t="shared" si="24"/>
        <v>2026</v>
      </c>
      <c r="J143" s="55" t="str">
        <f t="shared" ca="1" si="30"/>
        <v/>
      </c>
      <c r="K143" s="55"/>
      <c r="L143" s="55"/>
      <c r="M143" s="55" t="str">
        <f t="shared" ca="1" si="29"/>
        <v/>
      </c>
      <c r="N143" s="55" t="str">
        <f t="shared" ca="1" si="21"/>
        <v/>
      </c>
    </row>
    <row r="144" spans="1:14" x14ac:dyDescent="0.3">
      <c r="A144" s="105">
        <v>144</v>
      </c>
      <c r="B144" s="105" t="str">
        <f>VLOOKUP( $A144, Aop!$A$2:$P$453, 2, 0)</f>
        <v>BUa</v>
      </c>
      <c r="C144" s="55">
        <v>27</v>
      </c>
      <c r="D144" s="55" t="str">
        <f t="shared" si="22"/>
        <v>01040103</v>
      </c>
      <c r="E144" s="55" t="str">
        <f t="shared" si="23"/>
        <v>4400849160004</v>
      </c>
      <c r="F144" s="55" t="b">
        <f t="shared" si="25"/>
        <v>0</v>
      </c>
      <c r="G144" s="139">
        <f t="shared" si="26"/>
        <v>46203</v>
      </c>
      <c r="H144" s="105">
        <f>VLOOKUP( $A144, Aop!$A$2:$P$453, 4, 0)</f>
        <v>206</v>
      </c>
      <c r="I144" s="55">
        <f t="shared" si="24"/>
        <v>2026</v>
      </c>
      <c r="J144" s="55" t="str">
        <f t="shared" ca="1" si="30"/>
        <v/>
      </c>
      <c r="K144" s="55"/>
      <c r="L144" s="55"/>
      <c r="M144" s="55">
        <f t="shared" ca="1" si="29"/>
        <v>0</v>
      </c>
      <c r="N144" s="55">
        <f t="shared" ca="1" si="21"/>
        <v>0</v>
      </c>
    </row>
    <row r="145" spans="1:14" x14ac:dyDescent="0.3">
      <c r="A145" s="105">
        <v>145</v>
      </c>
      <c r="B145" s="105" t="str">
        <f>VLOOKUP( $A145, Aop!$A$2:$P$453, 2, 0)</f>
        <v>BUa</v>
      </c>
      <c r="C145" s="55">
        <v>27</v>
      </c>
      <c r="D145" s="55" t="str">
        <f t="shared" si="22"/>
        <v>01040103</v>
      </c>
      <c r="E145" s="55" t="str">
        <f t="shared" si="23"/>
        <v>4400849160004</v>
      </c>
      <c r="F145" s="55" t="b">
        <f t="shared" si="25"/>
        <v>0</v>
      </c>
      <c r="G145" s="139">
        <f t="shared" si="26"/>
        <v>46203</v>
      </c>
      <c r="H145" s="105">
        <f>VLOOKUP( $A145, Aop!$A$2:$P$453, 4, 0)</f>
        <v>207</v>
      </c>
      <c r="I145" s="55">
        <f t="shared" si="24"/>
        <v>2026</v>
      </c>
      <c r="J145" s="55" t="str">
        <f t="shared" ca="1" si="30"/>
        <v/>
      </c>
      <c r="K145" s="55"/>
      <c r="L145" s="55"/>
      <c r="M145" s="55" t="str">
        <f t="shared" ca="1" si="29"/>
        <v/>
      </c>
      <c r="N145" s="55" t="str">
        <f t="shared" ca="1" si="21"/>
        <v/>
      </c>
    </row>
    <row r="146" spans="1:14" x14ac:dyDescent="0.3">
      <c r="A146" s="105">
        <v>146</v>
      </c>
      <c r="B146" s="105" t="str">
        <f>VLOOKUP( $A146, Aop!$A$2:$P$453, 2, 0)</f>
        <v>BUa</v>
      </c>
      <c r="C146" s="55">
        <v>27</v>
      </c>
      <c r="D146" s="55" t="str">
        <f t="shared" si="22"/>
        <v>01040103</v>
      </c>
      <c r="E146" s="55" t="str">
        <f t="shared" si="23"/>
        <v>4400849160004</v>
      </c>
      <c r="F146" s="55" t="b">
        <f t="shared" si="25"/>
        <v>0</v>
      </c>
      <c r="G146" s="139">
        <f t="shared" si="26"/>
        <v>46203</v>
      </c>
      <c r="H146" s="105">
        <f>VLOOKUP( $A146, Aop!$A$2:$P$453, 4, 0)</f>
        <v>208</v>
      </c>
      <c r="I146" s="55">
        <f t="shared" si="24"/>
        <v>2026</v>
      </c>
      <c r="J146" s="55" t="str">
        <f t="shared" ca="1" si="30"/>
        <v/>
      </c>
      <c r="K146" s="55"/>
      <c r="L146" s="55"/>
      <c r="M146" s="55" t="str">
        <f t="shared" ca="1" si="29"/>
        <v/>
      </c>
      <c r="N146" s="55" t="str">
        <f t="shared" ca="1" si="21"/>
        <v/>
      </c>
    </row>
    <row r="147" spans="1:14" x14ac:dyDescent="0.3">
      <c r="A147" s="105">
        <v>147</v>
      </c>
      <c r="B147" s="105" t="str">
        <f>VLOOKUP( $A147, Aop!$A$2:$P$453, 2, 0)</f>
        <v>BUa</v>
      </c>
      <c r="C147" s="55">
        <v>27</v>
      </c>
      <c r="D147" s="55" t="str">
        <f t="shared" si="22"/>
        <v>01040103</v>
      </c>
      <c r="E147" s="55" t="str">
        <f t="shared" si="23"/>
        <v>4400849160004</v>
      </c>
      <c r="F147" s="55" t="b">
        <f t="shared" si="25"/>
        <v>0</v>
      </c>
      <c r="G147" s="139">
        <f t="shared" si="26"/>
        <v>46203</v>
      </c>
      <c r="H147" s="105">
        <f>VLOOKUP( $A147, Aop!$A$2:$P$453, 4, 0)</f>
        <v>209</v>
      </c>
      <c r="I147" s="55">
        <f t="shared" si="24"/>
        <v>2026</v>
      </c>
      <c r="J147" s="55" t="str">
        <f t="shared" ca="1" si="30"/>
        <v/>
      </c>
      <c r="K147" s="55"/>
      <c r="L147" s="55"/>
      <c r="M147" s="55" t="str">
        <f t="shared" ca="1" si="29"/>
        <v/>
      </c>
      <c r="N147" s="55" t="str">
        <f t="shared" ca="1" si="21"/>
        <v/>
      </c>
    </row>
    <row r="148" spans="1:14" x14ac:dyDescent="0.3">
      <c r="A148" s="105">
        <v>148</v>
      </c>
      <c r="B148" s="105" t="str">
        <f>VLOOKUP( $A148, Aop!$A$2:$P$453, 2, 0)</f>
        <v>BUa</v>
      </c>
      <c r="C148" s="55">
        <v>27</v>
      </c>
      <c r="D148" s="55" t="str">
        <f t="shared" si="22"/>
        <v>01040103</v>
      </c>
      <c r="E148" s="55" t="str">
        <f t="shared" si="23"/>
        <v>4400849160004</v>
      </c>
      <c r="F148" s="55" t="b">
        <f t="shared" si="25"/>
        <v>0</v>
      </c>
      <c r="G148" s="139">
        <f t="shared" si="26"/>
        <v>46203</v>
      </c>
      <c r="H148" s="105">
        <f>VLOOKUP( $A148, Aop!$A$2:$P$453, 4, 0)</f>
        <v>210</v>
      </c>
      <c r="I148" s="55">
        <f t="shared" si="24"/>
        <v>2026</v>
      </c>
      <c r="J148" s="55" t="str">
        <f t="shared" ca="1" si="30"/>
        <v/>
      </c>
      <c r="K148" s="55"/>
      <c r="L148" s="55"/>
      <c r="M148" s="55">
        <f t="shared" ca="1" si="29"/>
        <v>9672221</v>
      </c>
      <c r="N148" s="55">
        <f t="shared" ca="1" si="21"/>
        <v>9672221</v>
      </c>
    </row>
    <row r="149" spans="1:14" x14ac:dyDescent="0.3">
      <c r="A149" s="105">
        <v>149</v>
      </c>
      <c r="B149" s="105" t="str">
        <f>VLOOKUP( $A149, Aop!$A$2:$P$453, 2, 0)</f>
        <v>BUa</v>
      </c>
      <c r="C149" s="55">
        <v>27</v>
      </c>
      <c r="D149" s="55" t="str">
        <f t="shared" si="22"/>
        <v>01040103</v>
      </c>
      <c r="E149" s="55" t="str">
        <f t="shared" si="23"/>
        <v>4400849160004</v>
      </c>
      <c r="F149" s="55" t="b">
        <f t="shared" si="25"/>
        <v>0</v>
      </c>
      <c r="G149" s="139">
        <f t="shared" si="26"/>
        <v>46203</v>
      </c>
      <c r="H149" s="105">
        <f>VLOOKUP( $A149, Aop!$A$2:$P$453, 4, 0)</f>
        <v>211</v>
      </c>
      <c r="I149" s="55">
        <f t="shared" si="24"/>
        <v>2026</v>
      </c>
      <c r="J149" s="55" t="str">
        <f t="shared" ca="1" si="30"/>
        <v/>
      </c>
      <c r="K149" s="55"/>
      <c r="L149" s="55"/>
      <c r="M149" s="55">
        <f t="shared" ca="1" si="29"/>
        <v>2344462</v>
      </c>
      <c r="N149" s="55">
        <f t="shared" ca="1" si="21"/>
        <v>2344462</v>
      </c>
    </row>
    <row r="150" spans="1:14" x14ac:dyDescent="0.3">
      <c r="A150" s="105">
        <v>150</v>
      </c>
      <c r="B150" s="105" t="str">
        <f>VLOOKUP( $A150, Aop!$A$2:$P$453, 2, 0)</f>
        <v>BUa</v>
      </c>
      <c r="C150" s="55">
        <v>27</v>
      </c>
      <c r="D150" s="55" t="str">
        <f t="shared" si="22"/>
        <v>01040103</v>
      </c>
      <c r="E150" s="55" t="str">
        <f t="shared" si="23"/>
        <v>4400849160004</v>
      </c>
      <c r="F150" s="55" t="b">
        <f t="shared" si="25"/>
        <v>0</v>
      </c>
      <c r="G150" s="139">
        <f t="shared" si="26"/>
        <v>46203</v>
      </c>
      <c r="H150" s="105">
        <f>VLOOKUP( $A150, Aop!$A$2:$P$453, 4, 0)</f>
        <v>212</v>
      </c>
      <c r="I150" s="55">
        <f t="shared" si="24"/>
        <v>2026</v>
      </c>
      <c r="J150" s="55" t="str">
        <f t="shared" ca="1" si="30"/>
        <v/>
      </c>
      <c r="K150" s="55"/>
      <c r="L150" s="55"/>
      <c r="M150" s="55">
        <f t="shared" ca="1" si="29"/>
        <v>7327759</v>
      </c>
      <c r="N150" s="55">
        <f t="shared" ca="1" si="21"/>
        <v>7327759</v>
      </c>
    </row>
    <row r="151" spans="1:14" x14ac:dyDescent="0.3">
      <c r="A151" s="105">
        <v>151</v>
      </c>
      <c r="B151" s="105" t="str">
        <f>VLOOKUP( $A151, Aop!$A$2:$P$453, 2, 0)</f>
        <v>BUa</v>
      </c>
      <c r="C151" s="55">
        <v>27</v>
      </c>
      <c r="D151" s="55" t="str">
        <f t="shared" si="22"/>
        <v>01040103</v>
      </c>
      <c r="E151" s="55" t="str">
        <f t="shared" si="23"/>
        <v>4400849160004</v>
      </c>
      <c r="F151" s="55" t="b">
        <f t="shared" si="25"/>
        <v>0</v>
      </c>
      <c r="G151" s="139">
        <f t="shared" si="26"/>
        <v>46203</v>
      </c>
      <c r="H151" s="105">
        <f>VLOOKUP( $A151, Aop!$A$2:$P$453, 4, 0)</f>
        <v>213</v>
      </c>
      <c r="I151" s="55">
        <f t="shared" si="24"/>
        <v>2026</v>
      </c>
      <c r="J151" s="55" t="str">
        <f t="shared" ca="1" si="30"/>
        <v/>
      </c>
      <c r="K151" s="55"/>
      <c r="L151" s="55"/>
      <c r="M151" s="55" t="str">
        <f t="shared" ca="1" si="29"/>
        <v/>
      </c>
      <c r="N151" s="55" t="str">
        <f t="shared" ca="1" si="21"/>
        <v/>
      </c>
    </row>
    <row r="152" spans="1:14" x14ac:dyDescent="0.3">
      <c r="A152" s="105">
        <v>152</v>
      </c>
      <c r="B152" s="105" t="str">
        <f>VLOOKUP( $A152, Aop!$A$2:$P$453, 2, 0)</f>
        <v>BUa</v>
      </c>
      <c r="C152" s="55">
        <v>27</v>
      </c>
      <c r="D152" s="55" t="str">
        <f t="shared" si="22"/>
        <v>01040103</v>
      </c>
      <c r="E152" s="55" t="str">
        <f t="shared" si="23"/>
        <v>4400849160004</v>
      </c>
      <c r="F152" s="55" t="b">
        <f t="shared" si="25"/>
        <v>0</v>
      </c>
      <c r="G152" s="139">
        <f t="shared" si="26"/>
        <v>46203</v>
      </c>
      <c r="H152" s="105">
        <f>VLOOKUP( $A152, Aop!$A$2:$P$453, 4, 0)</f>
        <v>214</v>
      </c>
      <c r="I152" s="55">
        <f t="shared" si="24"/>
        <v>2026</v>
      </c>
      <c r="J152" s="55" t="str">
        <f t="shared" ca="1" si="30"/>
        <v/>
      </c>
      <c r="K152" s="55"/>
      <c r="L152" s="55"/>
      <c r="M152" s="55" t="str">
        <f t="shared" ca="1" si="29"/>
        <v/>
      </c>
      <c r="N152" s="55" t="str">
        <f t="shared" ca="1" si="21"/>
        <v/>
      </c>
    </row>
    <row r="153" spans="1:14" x14ac:dyDescent="0.3">
      <c r="A153" s="105">
        <v>153</v>
      </c>
      <c r="B153" s="105" t="str">
        <f>VLOOKUP( $A153, Aop!$A$2:$P$453, 2, 0)</f>
        <v>BUa</v>
      </c>
      <c r="C153" s="55">
        <v>27</v>
      </c>
      <c r="D153" s="55" t="str">
        <f t="shared" si="22"/>
        <v>01040103</v>
      </c>
      <c r="E153" s="55" t="str">
        <f t="shared" si="23"/>
        <v>4400849160004</v>
      </c>
      <c r="F153" s="55" t="b">
        <f t="shared" si="25"/>
        <v>0</v>
      </c>
      <c r="G153" s="139">
        <f t="shared" si="26"/>
        <v>46203</v>
      </c>
      <c r="H153" s="105">
        <f>VLOOKUP( $A153, Aop!$A$2:$P$453, 4, 0)</f>
        <v>215</v>
      </c>
      <c r="I153" s="55">
        <f t="shared" si="24"/>
        <v>2026</v>
      </c>
      <c r="J153" s="55" t="str">
        <f t="shared" ca="1" si="30"/>
        <v/>
      </c>
      <c r="K153" s="55"/>
      <c r="L153" s="55"/>
      <c r="M153" s="55" t="str">
        <f t="shared" ca="1" si="29"/>
        <v/>
      </c>
      <c r="N153" s="55" t="str">
        <f t="shared" ca="1" si="21"/>
        <v/>
      </c>
    </row>
    <row r="154" spans="1:14" x14ac:dyDescent="0.3">
      <c r="A154" s="105">
        <v>154</v>
      </c>
      <c r="B154" s="105" t="str">
        <f>VLOOKUP( $A154, Aop!$A$2:$P$453, 2, 0)</f>
        <v>BUa</v>
      </c>
      <c r="C154" s="55">
        <v>27</v>
      </c>
      <c r="D154" s="55" t="str">
        <f t="shared" si="22"/>
        <v>01040103</v>
      </c>
      <c r="E154" s="55" t="str">
        <f t="shared" si="23"/>
        <v>4400849160004</v>
      </c>
      <c r="F154" s="55" t="b">
        <f t="shared" si="25"/>
        <v>0</v>
      </c>
      <c r="G154" s="139">
        <f t="shared" si="26"/>
        <v>46203</v>
      </c>
      <c r="H154" s="105">
        <f>VLOOKUP( $A154, Aop!$A$2:$P$453, 4, 0)</f>
        <v>216</v>
      </c>
      <c r="I154" s="55">
        <f t="shared" si="24"/>
        <v>2026</v>
      </c>
      <c r="J154" s="55" t="str">
        <f t="shared" ca="1" si="30"/>
        <v/>
      </c>
      <c r="K154" s="55"/>
      <c r="L154" s="55"/>
      <c r="M154" s="55" t="str">
        <f t="shared" ca="1" si="29"/>
        <v/>
      </c>
      <c r="N154" s="55" t="str">
        <f t="shared" ca="1" si="21"/>
        <v/>
      </c>
    </row>
    <row r="155" spans="1:14" x14ac:dyDescent="0.3">
      <c r="A155" s="105">
        <v>155</v>
      </c>
      <c r="B155" s="105" t="str">
        <f>VLOOKUP( $A155, Aop!$A$2:$P$453, 2, 0)</f>
        <v>BUa</v>
      </c>
      <c r="C155" s="55">
        <v>27</v>
      </c>
      <c r="D155" s="55" t="str">
        <f t="shared" si="22"/>
        <v>01040103</v>
      </c>
      <c r="E155" s="55" t="str">
        <f t="shared" si="23"/>
        <v>4400849160004</v>
      </c>
      <c r="F155" s="55" t="b">
        <f t="shared" si="25"/>
        <v>0</v>
      </c>
      <c r="G155" s="139">
        <f t="shared" si="26"/>
        <v>46203</v>
      </c>
      <c r="H155" s="105">
        <f>VLOOKUP( $A155, Aop!$A$2:$P$453, 4, 0)</f>
        <v>217</v>
      </c>
      <c r="I155" s="55">
        <f t="shared" si="24"/>
        <v>2026</v>
      </c>
      <c r="J155" s="55" t="str">
        <f t="shared" ca="1" si="30"/>
        <v/>
      </c>
      <c r="K155" s="55"/>
      <c r="L155" s="55"/>
      <c r="M155" s="55" t="str">
        <f t="shared" ca="1" si="29"/>
        <v/>
      </c>
      <c r="N155" s="55" t="str">
        <f t="shared" ca="1" si="21"/>
        <v/>
      </c>
    </row>
    <row r="156" spans="1:14" x14ac:dyDescent="0.3">
      <c r="A156" s="105">
        <v>156</v>
      </c>
      <c r="B156" s="105" t="str">
        <f>VLOOKUP( $A156, Aop!$A$2:$P$453, 2, 0)</f>
        <v>BUa</v>
      </c>
      <c r="C156" s="55">
        <v>27</v>
      </c>
      <c r="D156" s="55" t="str">
        <f t="shared" si="22"/>
        <v>01040103</v>
      </c>
      <c r="E156" s="55" t="str">
        <f t="shared" si="23"/>
        <v>4400849160004</v>
      </c>
      <c r="F156" s="55" t="b">
        <f t="shared" si="25"/>
        <v>0</v>
      </c>
      <c r="G156" s="139">
        <f t="shared" si="26"/>
        <v>46203</v>
      </c>
      <c r="H156" s="105">
        <f>VLOOKUP( $A156, Aop!$A$2:$P$453, 4, 0)</f>
        <v>218</v>
      </c>
      <c r="I156" s="55">
        <f t="shared" si="24"/>
        <v>2026</v>
      </c>
      <c r="J156" s="55">
        <f t="shared" ca="1" si="30"/>
        <v>15</v>
      </c>
      <c r="K156" s="55"/>
      <c r="L156" s="55"/>
      <c r="M156" s="55">
        <f t="shared" ca="1" si="29"/>
        <v>70929</v>
      </c>
      <c r="N156" s="55">
        <f t="shared" ca="1" si="21"/>
        <v>70929</v>
      </c>
    </row>
    <row r="157" spans="1:14" x14ac:dyDescent="0.3">
      <c r="A157" s="105">
        <v>157</v>
      </c>
      <c r="B157" s="105" t="str">
        <f>VLOOKUP( $A157, Aop!$A$2:$P$453, 2, 0)</f>
        <v>BUa</v>
      </c>
      <c r="C157" s="55">
        <v>27</v>
      </c>
      <c r="D157" s="55" t="str">
        <f t="shared" si="22"/>
        <v>01040103</v>
      </c>
      <c r="E157" s="55" t="str">
        <f t="shared" si="23"/>
        <v>4400849160004</v>
      </c>
      <c r="F157" s="55" t="b">
        <f t="shared" si="25"/>
        <v>0</v>
      </c>
      <c r="G157" s="139">
        <f t="shared" si="26"/>
        <v>46203</v>
      </c>
      <c r="H157" s="105">
        <f>VLOOKUP( $A157, Aop!$A$2:$P$453, 4, 0)</f>
        <v>219</v>
      </c>
      <c r="I157" s="55">
        <f t="shared" si="24"/>
        <v>2026</v>
      </c>
      <c r="J157" s="55">
        <f t="shared" ca="1" si="30"/>
        <v>16</v>
      </c>
      <c r="K157" s="55"/>
      <c r="L157" s="55"/>
      <c r="M157" s="55">
        <f t="shared" ca="1" si="29"/>
        <v>8004001</v>
      </c>
      <c r="N157" s="55">
        <f t="shared" ca="1" si="21"/>
        <v>8004001</v>
      </c>
    </row>
    <row r="158" spans="1:14" x14ac:dyDescent="0.3">
      <c r="A158" s="105">
        <v>158</v>
      </c>
      <c r="B158" s="105" t="str">
        <f>VLOOKUP( $A158, Aop!$A$2:$P$453, 2, 0)</f>
        <v>BUa</v>
      </c>
      <c r="C158" s="55">
        <v>27</v>
      </c>
      <c r="D158" s="55" t="str">
        <f t="shared" si="22"/>
        <v>01040103</v>
      </c>
      <c r="E158" s="55" t="str">
        <f t="shared" si="23"/>
        <v>4400849160004</v>
      </c>
      <c r="F158" s="55" t="b">
        <f t="shared" si="25"/>
        <v>0</v>
      </c>
      <c r="G158" s="139">
        <f t="shared" si="26"/>
        <v>46203</v>
      </c>
      <c r="H158" s="105">
        <f>VLOOKUP( $A158, Aop!$A$2:$P$453, 4, 0)</f>
        <v>220</v>
      </c>
      <c r="I158" s="55">
        <f t="shared" si="24"/>
        <v>2026</v>
      </c>
      <c r="J158" s="55">
        <f t="shared" ca="1" si="30"/>
        <v>16</v>
      </c>
      <c r="K158" s="55"/>
      <c r="L158" s="55"/>
      <c r="M158" s="55">
        <f t="shared" ca="1" si="29"/>
        <v>94338</v>
      </c>
      <c r="N158" s="55">
        <f t="shared" ca="1" si="21"/>
        <v>94338</v>
      </c>
    </row>
    <row r="159" spans="1:14" x14ac:dyDescent="0.3">
      <c r="A159" s="105">
        <v>159</v>
      </c>
      <c r="B159" s="55" t="str">
        <f>VLOOKUP( $A159, Aop!$A$2:$P$453, 2, 0)</f>
        <v>BUa</v>
      </c>
      <c r="C159" s="55">
        <v>27</v>
      </c>
      <c r="D159" s="55" t="str">
        <f>Podatak_MB</f>
        <v>01040103</v>
      </c>
      <c r="E159" s="55" t="str">
        <f>Podatak_JIB</f>
        <v>4400849160004</v>
      </c>
      <c r="F159" s="55" t="b">
        <f>Konsolidovan_izvjestaj</f>
        <v>0</v>
      </c>
      <c r="G159" s="139">
        <f>Datum_Broj</f>
        <v>46203</v>
      </c>
      <c r="H159" s="55">
        <f>VLOOKUP( $A159, Aop!$A$2:$P$453, 4, 0)</f>
        <v>221</v>
      </c>
      <c r="I159" s="55">
        <f>Godina</f>
        <v>2026</v>
      </c>
      <c r="J159" s="55">
        <f t="shared" ca="1" si="30"/>
        <v>16</v>
      </c>
      <c r="K159" s="55"/>
      <c r="L159" s="55"/>
      <c r="M159" s="55">
        <f t="shared" ca="1" si="29"/>
        <v>381884</v>
      </c>
      <c r="N159" s="55">
        <f t="shared" ca="1" si="21"/>
        <v>381884</v>
      </c>
    </row>
    <row r="160" spans="1:14" x14ac:dyDescent="0.3">
      <c r="A160" s="105">
        <v>160</v>
      </c>
      <c r="B160" s="105" t="str">
        <f>VLOOKUP( $A160, Aop!$A$2:$P$453, 2, 0)</f>
        <v>BUa</v>
      </c>
      <c r="C160" s="55">
        <v>27</v>
      </c>
      <c r="D160" s="55" t="str">
        <f t="shared" si="22"/>
        <v>01040103</v>
      </c>
      <c r="E160" s="55" t="str">
        <f t="shared" si="23"/>
        <v>4400849160004</v>
      </c>
      <c r="F160" s="55" t="b">
        <f t="shared" si="25"/>
        <v>0</v>
      </c>
      <c r="G160" s="139">
        <f t="shared" si="26"/>
        <v>46203</v>
      </c>
      <c r="H160" s="105">
        <f>VLOOKUP( $A160, Aop!$A$2:$P$453, 4, 0)</f>
        <v>222</v>
      </c>
      <c r="I160" s="55">
        <f t="shared" si="24"/>
        <v>2026</v>
      </c>
      <c r="J160" s="55">
        <f t="shared" ca="1" si="30"/>
        <v>16</v>
      </c>
      <c r="K160" s="55"/>
      <c r="L160" s="55"/>
      <c r="M160" s="55">
        <f t="shared" ca="1" si="29"/>
        <v>674443</v>
      </c>
      <c r="N160" s="55">
        <f t="shared" ca="1" si="21"/>
        <v>674443</v>
      </c>
    </row>
    <row r="161" spans="1:14" x14ac:dyDescent="0.3">
      <c r="A161" s="105">
        <v>161</v>
      </c>
      <c r="B161" s="105" t="str">
        <f>VLOOKUP( $A161, Aop!$A$2:$P$453, 2, 0)</f>
        <v>BUa</v>
      </c>
      <c r="C161" s="55">
        <v>27</v>
      </c>
      <c r="D161" s="55" t="str">
        <f t="shared" si="22"/>
        <v>01040103</v>
      </c>
      <c r="E161" s="55" t="str">
        <f t="shared" si="23"/>
        <v>4400849160004</v>
      </c>
      <c r="F161" s="55" t="b">
        <f t="shared" si="25"/>
        <v>0</v>
      </c>
      <c r="G161" s="139">
        <f t="shared" si="26"/>
        <v>46203</v>
      </c>
      <c r="H161" s="105">
        <f>VLOOKUP( $A161, Aop!$A$2:$P$453, 4, 0)</f>
        <v>223</v>
      </c>
      <c r="I161" s="55">
        <f t="shared" si="24"/>
        <v>2026</v>
      </c>
      <c r="J161" s="55">
        <f t="shared" ca="1" si="30"/>
        <v>17</v>
      </c>
      <c r="K161" s="55"/>
      <c r="L161" s="55"/>
      <c r="M161" s="55">
        <f t="shared" ca="1" si="29"/>
        <v>3170777</v>
      </c>
      <c r="N161" s="55">
        <f t="shared" ca="1" si="21"/>
        <v>3170777</v>
      </c>
    </row>
    <row r="162" spans="1:14" x14ac:dyDescent="0.3">
      <c r="A162" s="105">
        <v>162</v>
      </c>
      <c r="B162" s="105" t="str">
        <f>VLOOKUP( $A162, Aop!$A$2:$P$453, 2, 0)</f>
        <v>BUa</v>
      </c>
      <c r="C162" s="55">
        <v>27</v>
      </c>
      <c r="D162" s="55" t="str">
        <f t="shared" si="22"/>
        <v>01040103</v>
      </c>
      <c r="E162" s="55" t="str">
        <f t="shared" si="23"/>
        <v>4400849160004</v>
      </c>
      <c r="F162" s="55" t="b">
        <f t="shared" si="25"/>
        <v>0</v>
      </c>
      <c r="G162" s="139">
        <f t="shared" si="26"/>
        <v>46203</v>
      </c>
      <c r="H162" s="105">
        <f>VLOOKUP( $A162, Aop!$A$2:$P$453, 4, 0)</f>
        <v>224</v>
      </c>
      <c r="I162" s="55">
        <f t="shared" si="24"/>
        <v>2026</v>
      </c>
      <c r="J162" s="55">
        <f t="shared" ca="1" si="30"/>
        <v>17</v>
      </c>
      <c r="K162" s="55"/>
      <c r="L162" s="55"/>
      <c r="M162" s="55">
        <f t="shared" ca="1" si="29"/>
        <v>2707144</v>
      </c>
      <c r="N162" s="55">
        <f t="shared" ca="1" si="21"/>
        <v>2707144</v>
      </c>
    </row>
    <row r="163" spans="1:14" x14ac:dyDescent="0.3">
      <c r="A163" s="105">
        <v>163</v>
      </c>
      <c r="B163" s="105" t="str">
        <f>VLOOKUP( $A163, Aop!$A$2:$P$453, 2, 0)</f>
        <v>BUa</v>
      </c>
      <c r="C163" s="55">
        <v>27</v>
      </c>
      <c r="D163" s="55" t="str">
        <f t="shared" si="22"/>
        <v>01040103</v>
      </c>
      <c r="E163" s="55" t="str">
        <f t="shared" si="23"/>
        <v>4400849160004</v>
      </c>
      <c r="F163" s="55" t="b">
        <f t="shared" si="25"/>
        <v>0</v>
      </c>
      <c r="G163" s="139">
        <f t="shared" si="26"/>
        <v>46203</v>
      </c>
      <c r="H163" s="105">
        <f>VLOOKUP( $A163, Aop!$A$2:$P$453, 4, 0)</f>
        <v>225</v>
      </c>
      <c r="I163" s="55">
        <f t="shared" si="24"/>
        <v>2026</v>
      </c>
      <c r="J163" s="55">
        <f t="shared" ca="1" si="30"/>
        <v>18</v>
      </c>
      <c r="K163" s="55"/>
      <c r="L163" s="55"/>
      <c r="M163" s="55">
        <f t="shared" ca="1" si="29"/>
        <v>463633</v>
      </c>
      <c r="N163" s="55">
        <f t="shared" ca="1" si="21"/>
        <v>463633</v>
      </c>
    </row>
    <row r="164" spans="1:14" x14ac:dyDescent="0.3">
      <c r="A164" s="105">
        <v>164</v>
      </c>
      <c r="B164" s="105" t="str">
        <f>VLOOKUP( $A164, Aop!$A$2:$P$453, 2, 0)</f>
        <v>BUa</v>
      </c>
      <c r="C164" s="55">
        <v>27</v>
      </c>
      <c r="D164" s="55" t="str">
        <f t="shared" si="22"/>
        <v>01040103</v>
      </c>
      <c r="E164" s="55" t="str">
        <f t="shared" si="23"/>
        <v>4400849160004</v>
      </c>
      <c r="F164" s="55" t="b">
        <f t="shared" si="25"/>
        <v>0</v>
      </c>
      <c r="G164" s="139">
        <f t="shared" si="26"/>
        <v>46203</v>
      </c>
      <c r="H164" s="105">
        <f>VLOOKUP( $A164, Aop!$A$2:$P$453, 4, 0)</f>
        <v>226</v>
      </c>
      <c r="I164" s="55">
        <f t="shared" si="24"/>
        <v>2026</v>
      </c>
      <c r="J164" s="55">
        <f t="shared" ca="1" si="30"/>
        <v>19</v>
      </c>
      <c r="K164" s="55"/>
      <c r="L164" s="55"/>
      <c r="M164" s="55">
        <f t="shared" ca="1" si="29"/>
        <v>2606047</v>
      </c>
      <c r="N164" s="55">
        <f t="shared" ca="1" si="21"/>
        <v>2606047</v>
      </c>
    </row>
    <row r="165" spans="1:14" x14ac:dyDescent="0.3">
      <c r="A165" s="105">
        <v>165</v>
      </c>
      <c r="B165" s="105" t="str">
        <f>VLOOKUP( $A165, Aop!$A$2:$P$453, 2, 0)</f>
        <v>BUa</v>
      </c>
      <c r="C165" s="55">
        <v>27</v>
      </c>
      <c r="D165" s="55" t="str">
        <f t="shared" si="22"/>
        <v>01040103</v>
      </c>
      <c r="E165" s="55" t="str">
        <f t="shared" si="23"/>
        <v>4400849160004</v>
      </c>
      <c r="F165" s="55" t="b">
        <f t="shared" si="25"/>
        <v>0</v>
      </c>
      <c r="G165" s="139">
        <f t="shared" si="26"/>
        <v>46203</v>
      </c>
      <c r="H165" s="105">
        <f>VLOOKUP( $A165, Aop!$A$2:$P$453, 4, 0)</f>
        <v>227</v>
      </c>
      <c r="I165" s="55">
        <f t="shared" si="24"/>
        <v>2026</v>
      </c>
      <c r="J165" s="55">
        <f t="shared" ca="1" si="30"/>
        <v>20</v>
      </c>
      <c r="K165" s="55"/>
      <c r="L165" s="55"/>
      <c r="M165" s="55">
        <f t="shared" ca="1" si="29"/>
        <v>727250</v>
      </c>
      <c r="N165" s="55">
        <f t="shared" ca="1" si="21"/>
        <v>727250</v>
      </c>
    </row>
    <row r="166" spans="1:14" x14ac:dyDescent="0.3">
      <c r="A166" s="105">
        <v>167</v>
      </c>
      <c r="B166" s="105" t="str">
        <f>VLOOKUP( $A166, Aop!$A$2:$P$453, 2, 0)</f>
        <v>BUa</v>
      </c>
      <c r="C166" s="55">
        <v>27</v>
      </c>
      <c r="D166" s="55" t="str">
        <f t="shared" si="22"/>
        <v>01040103</v>
      </c>
      <c r="E166" s="55" t="str">
        <f t="shared" si="23"/>
        <v>4400849160004</v>
      </c>
      <c r="F166" s="55" t="b">
        <f t="shared" si="25"/>
        <v>0</v>
      </c>
      <c r="G166" s="139">
        <f t="shared" si="26"/>
        <v>46203</v>
      </c>
      <c r="H166" s="105">
        <f>VLOOKUP( $A166, Aop!$A$2:$P$453, 4, 0)</f>
        <v>229</v>
      </c>
      <c r="I166" s="55">
        <f t="shared" si="24"/>
        <v>2026</v>
      </c>
      <c r="J166" s="55" t="str">
        <f t="shared" ca="1" si="30"/>
        <v/>
      </c>
      <c r="K166" s="55"/>
      <c r="L166" s="55"/>
      <c r="M166" s="55">
        <f t="shared" ca="1" si="29"/>
        <v>727250</v>
      </c>
      <c r="N166" s="55">
        <f t="shared" ca="1" si="21"/>
        <v>727250</v>
      </c>
    </row>
    <row r="167" spans="1:14" x14ac:dyDescent="0.3">
      <c r="A167" s="105">
        <v>168</v>
      </c>
      <c r="B167" s="105" t="str">
        <f>VLOOKUP( $A167, Aop!$A$2:$P$453, 2, 0)</f>
        <v>BUa</v>
      </c>
      <c r="C167" s="55">
        <v>27</v>
      </c>
      <c r="D167" s="55" t="str">
        <f t="shared" si="22"/>
        <v>01040103</v>
      </c>
      <c r="E167" s="55" t="str">
        <f t="shared" si="23"/>
        <v>4400849160004</v>
      </c>
      <c r="F167" s="55" t="b">
        <f t="shared" si="25"/>
        <v>0</v>
      </c>
      <c r="G167" s="139">
        <f t="shared" si="26"/>
        <v>46203</v>
      </c>
      <c r="H167" s="105">
        <f>VLOOKUP( $A167, Aop!$A$2:$P$453, 4, 0)</f>
        <v>230</v>
      </c>
      <c r="I167" s="55">
        <f t="shared" si="24"/>
        <v>2026</v>
      </c>
      <c r="J167" s="55" t="str">
        <f t="shared" ca="1" si="30"/>
        <v/>
      </c>
      <c r="K167" s="55"/>
      <c r="L167" s="55"/>
      <c r="M167" s="55" t="str">
        <f t="shared" ca="1" si="29"/>
        <v/>
      </c>
      <c r="N167" s="55" t="str">
        <f t="shared" ca="1" si="21"/>
        <v/>
      </c>
    </row>
    <row r="168" spans="1:14" x14ac:dyDescent="0.3">
      <c r="A168" s="105">
        <v>169</v>
      </c>
      <c r="B168" s="105" t="str">
        <f>VLOOKUP( $A168, Aop!$A$2:$P$453, 2, 0)</f>
        <v>BUa</v>
      </c>
      <c r="C168" s="55">
        <v>27</v>
      </c>
      <c r="D168" s="55" t="str">
        <f t="shared" si="22"/>
        <v>01040103</v>
      </c>
      <c r="E168" s="55" t="str">
        <f t="shared" si="23"/>
        <v>4400849160004</v>
      </c>
      <c r="F168" s="55" t="b">
        <f t="shared" si="25"/>
        <v>0</v>
      </c>
      <c r="G168" s="139">
        <f t="shared" si="26"/>
        <v>46203</v>
      </c>
      <c r="H168" s="105">
        <f>VLOOKUP( $A168, Aop!$A$2:$P$453, 4, 0)</f>
        <v>231</v>
      </c>
      <c r="I168" s="55">
        <f t="shared" si="24"/>
        <v>2026</v>
      </c>
      <c r="J168" s="55" t="str">
        <f t="shared" ca="1" si="30"/>
        <v/>
      </c>
      <c r="K168" s="55"/>
      <c r="L168" s="55"/>
      <c r="M168" s="55" t="str">
        <f t="shared" ca="1" si="29"/>
        <v/>
      </c>
      <c r="N168" s="55" t="str">
        <f t="shared" ca="1" si="21"/>
        <v/>
      </c>
    </row>
    <row r="169" spans="1:14" x14ac:dyDescent="0.3">
      <c r="A169" s="105">
        <v>170</v>
      </c>
      <c r="B169" s="105" t="str">
        <f>VLOOKUP( $A169, Aop!$A$2:$P$453, 2, 0)</f>
        <v>BUa</v>
      </c>
      <c r="C169" s="55">
        <v>27</v>
      </c>
      <c r="D169" s="55" t="str">
        <f t="shared" si="22"/>
        <v>01040103</v>
      </c>
      <c r="E169" s="55" t="str">
        <f t="shared" si="23"/>
        <v>4400849160004</v>
      </c>
      <c r="F169" s="55" t="b">
        <f t="shared" si="25"/>
        <v>0</v>
      </c>
      <c r="G169" s="139">
        <f t="shared" si="26"/>
        <v>46203</v>
      </c>
      <c r="H169" s="105">
        <f>VLOOKUP( $A169, Aop!$A$2:$P$453, 4, 0)</f>
        <v>232</v>
      </c>
      <c r="I169" s="55">
        <f t="shared" si="24"/>
        <v>2026</v>
      </c>
      <c r="J169" s="55" t="str">
        <f t="shared" ca="1" si="30"/>
        <v/>
      </c>
      <c r="K169" s="55"/>
      <c r="L169" s="55"/>
      <c r="M169" s="55" t="str">
        <f t="shared" ca="1" si="29"/>
        <v/>
      </c>
      <c r="N169" s="55" t="str">
        <f t="shared" ca="1" si="21"/>
        <v/>
      </c>
    </row>
    <row r="170" spans="1:14" x14ac:dyDescent="0.3">
      <c r="A170" s="105">
        <v>171</v>
      </c>
      <c r="B170" s="105" t="str">
        <f>VLOOKUP( $A170, Aop!$A$2:$P$453, 2, 0)</f>
        <v>BUa</v>
      </c>
      <c r="C170" s="55">
        <v>27</v>
      </c>
      <c r="D170" s="55" t="str">
        <f t="shared" si="22"/>
        <v>01040103</v>
      </c>
      <c r="E170" s="55" t="str">
        <f t="shared" si="23"/>
        <v>4400849160004</v>
      </c>
      <c r="F170" s="55" t="b">
        <f t="shared" si="25"/>
        <v>0</v>
      </c>
      <c r="G170" s="139">
        <f t="shared" si="26"/>
        <v>46203</v>
      </c>
      <c r="H170" s="105">
        <f>VLOOKUP( $A170, Aop!$A$2:$P$453, 4, 0)</f>
        <v>233</v>
      </c>
      <c r="I170" s="55">
        <f t="shared" si="24"/>
        <v>2026</v>
      </c>
      <c r="J170" s="55" t="str">
        <f t="shared" ca="1" si="30"/>
        <v/>
      </c>
      <c r="K170" s="55"/>
      <c r="L170" s="55"/>
      <c r="M170" s="55" t="str">
        <f t="shared" ca="1" si="29"/>
        <v/>
      </c>
      <c r="N170" s="55" t="str">
        <f t="shared" ca="1" si="21"/>
        <v/>
      </c>
    </row>
    <row r="171" spans="1:14" x14ac:dyDescent="0.3">
      <c r="A171" s="105">
        <v>172</v>
      </c>
      <c r="B171" s="105" t="str">
        <f>VLOOKUP( $A171, Aop!$A$2:$P$453, 2, 0)</f>
        <v>BUa</v>
      </c>
      <c r="C171" s="55">
        <v>27</v>
      </c>
      <c r="D171" s="55" t="str">
        <f t="shared" si="22"/>
        <v>01040103</v>
      </c>
      <c r="E171" s="55" t="str">
        <f t="shared" si="23"/>
        <v>4400849160004</v>
      </c>
      <c r="F171" s="55" t="b">
        <f t="shared" si="25"/>
        <v>0</v>
      </c>
      <c r="G171" s="139">
        <f t="shared" si="26"/>
        <v>46203</v>
      </c>
      <c r="H171" s="105">
        <f>VLOOKUP( $A171, Aop!$A$2:$P$453, 4, 0)</f>
        <v>234</v>
      </c>
      <c r="I171" s="55">
        <f t="shared" si="24"/>
        <v>2026</v>
      </c>
      <c r="J171" s="55">
        <f t="shared" ca="1" si="30"/>
        <v>21</v>
      </c>
      <c r="K171" s="55"/>
      <c r="L171" s="55"/>
      <c r="M171" s="55">
        <f t="shared" ca="1" si="29"/>
        <v>307345</v>
      </c>
      <c r="N171" s="55">
        <f t="shared" ca="1" si="21"/>
        <v>307345</v>
      </c>
    </row>
    <row r="172" spans="1:14" x14ac:dyDescent="0.3">
      <c r="A172" s="105">
        <v>173</v>
      </c>
      <c r="B172" s="105" t="str">
        <f>VLOOKUP( $A172, Aop!$A$2:$P$453, 2, 0)</f>
        <v>BUa</v>
      </c>
      <c r="C172" s="55">
        <v>27</v>
      </c>
      <c r="D172" s="55" t="str">
        <f t="shared" si="22"/>
        <v>01040103</v>
      </c>
      <c r="E172" s="55" t="str">
        <f t="shared" si="23"/>
        <v>4400849160004</v>
      </c>
      <c r="F172" s="55" t="b">
        <f t="shared" si="25"/>
        <v>0</v>
      </c>
      <c r="G172" s="139">
        <f t="shared" si="26"/>
        <v>46203</v>
      </c>
      <c r="H172" s="105">
        <f>VLOOKUP( $A172, Aop!$A$2:$P$453, 4, 0)</f>
        <v>235</v>
      </c>
      <c r="I172" s="55">
        <f t="shared" si="24"/>
        <v>2026</v>
      </c>
      <c r="J172" s="55">
        <f t="shared" ca="1" si="30"/>
        <v>22</v>
      </c>
      <c r="K172" s="55"/>
      <c r="L172" s="55"/>
      <c r="M172" s="55">
        <f t="shared" ca="1" si="29"/>
        <v>37446</v>
      </c>
      <c r="N172" s="55">
        <f t="shared" ca="1" si="21"/>
        <v>37446</v>
      </c>
    </row>
    <row r="173" spans="1:14" x14ac:dyDescent="0.3">
      <c r="A173" s="105">
        <v>174</v>
      </c>
      <c r="B173" s="55" t="str">
        <f>VLOOKUP( $A173, Aop!$A$2:$P$453, 2, 0)</f>
        <v>BUa</v>
      </c>
      <c r="C173" s="55">
        <v>27</v>
      </c>
      <c r="D173" s="55" t="str">
        <f>Podatak_MB</f>
        <v>01040103</v>
      </c>
      <c r="E173" s="55" t="str">
        <f>Podatak_JIB</f>
        <v>4400849160004</v>
      </c>
      <c r="F173" s="55" t="b">
        <f>Konsolidovan_izvjestaj</f>
        <v>0</v>
      </c>
      <c r="G173" s="139">
        <f>Datum_Broj</f>
        <v>46203</v>
      </c>
      <c r="H173" s="55">
        <f>VLOOKUP( $A173, Aop!$A$2:$P$453, 4, 0)</f>
        <v>236</v>
      </c>
      <c r="I173" s="55">
        <f>Godina</f>
        <v>2026</v>
      </c>
      <c r="J173" s="55">
        <f t="shared" ca="1" si="30"/>
        <v>23</v>
      </c>
      <c r="K173" s="55"/>
      <c r="L173" s="55"/>
      <c r="M173" s="55">
        <f t="shared" ca="1" si="29"/>
        <v>4471</v>
      </c>
      <c r="N173" s="55">
        <f t="shared" ca="1" si="21"/>
        <v>4471</v>
      </c>
    </row>
    <row r="174" spans="1:14" x14ac:dyDescent="0.3">
      <c r="A174" s="105">
        <v>175</v>
      </c>
      <c r="B174" s="105" t="str">
        <f>VLOOKUP( $A174, Aop!$A$2:$P$453, 2, 0)</f>
        <v>BUa</v>
      </c>
      <c r="C174" s="55">
        <v>27</v>
      </c>
      <c r="D174" s="55" t="str">
        <f t="shared" si="22"/>
        <v>01040103</v>
      </c>
      <c r="E174" s="55" t="str">
        <f t="shared" si="23"/>
        <v>4400849160004</v>
      </c>
      <c r="F174" s="55" t="b">
        <f t="shared" si="25"/>
        <v>0</v>
      </c>
      <c r="G174" s="139">
        <f t="shared" si="26"/>
        <v>46203</v>
      </c>
      <c r="H174" s="105">
        <f>VLOOKUP( $A174, Aop!$A$2:$P$453, 4, 0)</f>
        <v>237</v>
      </c>
      <c r="I174" s="55">
        <f t="shared" si="24"/>
        <v>2026</v>
      </c>
      <c r="J174" s="55" t="str">
        <f t="shared" ca="1" si="30"/>
        <v/>
      </c>
      <c r="K174" s="55"/>
      <c r="L174" s="55"/>
      <c r="M174" s="55">
        <f t="shared" ca="1" si="29"/>
        <v>1853361</v>
      </c>
      <c r="N174" s="55">
        <f t="shared" ca="1" si="21"/>
        <v>1853361</v>
      </c>
    </row>
    <row r="175" spans="1:14" x14ac:dyDescent="0.3">
      <c r="A175" s="105">
        <v>176</v>
      </c>
      <c r="B175" s="105" t="str">
        <f>VLOOKUP( $A175, Aop!$A$2:$P$453, 2, 0)</f>
        <v>BUa</v>
      </c>
      <c r="C175" s="55">
        <v>27</v>
      </c>
      <c r="D175" s="55" t="str">
        <f t="shared" si="22"/>
        <v>01040103</v>
      </c>
      <c r="E175" s="55" t="str">
        <f t="shared" si="23"/>
        <v>4400849160004</v>
      </c>
      <c r="F175" s="55" t="b">
        <f t="shared" si="25"/>
        <v>0</v>
      </c>
      <c r="G175" s="139">
        <f t="shared" si="26"/>
        <v>46203</v>
      </c>
      <c r="H175" s="105">
        <f>VLOOKUP( $A175, Aop!$A$2:$P$453, 4, 0)</f>
        <v>238</v>
      </c>
      <c r="I175" s="55">
        <f t="shared" si="24"/>
        <v>2026</v>
      </c>
      <c r="J175" s="55" t="str">
        <f t="shared" ca="1" si="30"/>
        <v/>
      </c>
      <c r="K175" s="55"/>
      <c r="L175" s="55"/>
      <c r="M175" s="55">
        <f t="shared" ca="1" si="29"/>
        <v>0</v>
      </c>
      <c r="N175" s="55">
        <f t="shared" ca="1" si="21"/>
        <v>0</v>
      </c>
    </row>
    <row r="176" spans="1:14" x14ac:dyDescent="0.3">
      <c r="A176" s="105">
        <v>177</v>
      </c>
      <c r="B176" s="105" t="str">
        <f>VLOOKUP( $A176, Aop!$A$2:$P$453, 2, 0)</f>
        <v>BUa</v>
      </c>
      <c r="C176" s="55">
        <v>27</v>
      </c>
      <c r="D176" s="55" t="str">
        <f t="shared" si="22"/>
        <v>01040103</v>
      </c>
      <c r="E176" s="55" t="str">
        <f t="shared" si="23"/>
        <v>4400849160004</v>
      </c>
      <c r="F176" s="55" t="b">
        <f t="shared" si="25"/>
        <v>0</v>
      </c>
      <c r="G176" s="139">
        <f t="shared" si="26"/>
        <v>46203</v>
      </c>
      <c r="H176" s="105">
        <f>VLOOKUP( $A176, Aop!$A$2:$P$453, 4, 0)</f>
        <v>239</v>
      </c>
      <c r="I176" s="55">
        <f t="shared" si="24"/>
        <v>2026</v>
      </c>
      <c r="J176" s="55">
        <f t="shared" ca="1" si="30"/>
        <v>24</v>
      </c>
      <c r="K176" s="55"/>
      <c r="L176" s="55"/>
      <c r="M176" s="55">
        <f t="shared" ca="1" si="29"/>
        <v>3623</v>
      </c>
      <c r="N176" s="55">
        <f t="shared" ca="1" si="21"/>
        <v>3623</v>
      </c>
    </row>
    <row r="177" spans="1:14" x14ac:dyDescent="0.3">
      <c r="A177" s="105">
        <v>178</v>
      </c>
      <c r="B177" s="105" t="str">
        <f>VLOOKUP( $A177, Aop!$A$2:$P$453, 2, 0)</f>
        <v>BUa</v>
      </c>
      <c r="C177" s="55">
        <v>27</v>
      </c>
      <c r="D177" s="55" t="str">
        <f t="shared" si="22"/>
        <v>01040103</v>
      </c>
      <c r="E177" s="55" t="str">
        <f t="shared" si="23"/>
        <v>4400849160004</v>
      </c>
      <c r="F177" s="55" t="b">
        <f t="shared" si="25"/>
        <v>0</v>
      </c>
      <c r="G177" s="139">
        <f t="shared" si="26"/>
        <v>46203</v>
      </c>
      <c r="H177" s="105">
        <f>VLOOKUP( $A177, Aop!$A$2:$P$453, 4, 0)</f>
        <v>240</v>
      </c>
      <c r="I177" s="55">
        <f t="shared" si="24"/>
        <v>2026</v>
      </c>
      <c r="J177" s="55" t="str">
        <f t="shared" ca="1" si="30"/>
        <v/>
      </c>
      <c r="K177" s="55"/>
      <c r="L177" s="55"/>
      <c r="M177" s="55">
        <f t="shared" ca="1" si="29"/>
        <v>3623</v>
      </c>
      <c r="N177" s="55">
        <f t="shared" ca="1" si="21"/>
        <v>3623</v>
      </c>
    </row>
    <row r="178" spans="1:14" x14ac:dyDescent="0.3">
      <c r="A178" s="105">
        <v>179</v>
      </c>
      <c r="B178" s="105" t="str">
        <f>VLOOKUP( $A178, Aop!$A$2:$P$453, 2, 0)</f>
        <v>BUa</v>
      </c>
      <c r="C178" s="55">
        <v>27</v>
      </c>
      <c r="D178" s="55" t="str">
        <f t="shared" si="22"/>
        <v>01040103</v>
      </c>
      <c r="E178" s="55" t="str">
        <f t="shared" si="23"/>
        <v>4400849160004</v>
      </c>
      <c r="F178" s="55" t="b">
        <f t="shared" si="25"/>
        <v>0</v>
      </c>
      <c r="G178" s="139">
        <f t="shared" si="26"/>
        <v>46203</v>
      </c>
      <c r="H178" s="105">
        <f>VLOOKUP( $A178, Aop!$A$2:$P$453, 4, 0)</f>
        <v>241</v>
      </c>
      <c r="I178" s="55">
        <f t="shared" si="24"/>
        <v>2026</v>
      </c>
      <c r="J178" s="55" t="str">
        <f t="shared" ca="1" si="30"/>
        <v/>
      </c>
      <c r="K178" s="55"/>
      <c r="L178" s="55"/>
      <c r="M178" s="55" t="str">
        <f t="shared" ca="1" si="29"/>
        <v/>
      </c>
      <c r="N178" s="55" t="str">
        <f t="shared" ca="1" si="21"/>
        <v/>
      </c>
    </row>
    <row r="179" spans="1:14" x14ac:dyDescent="0.3">
      <c r="A179" s="105">
        <v>180</v>
      </c>
      <c r="B179" s="105" t="str">
        <f>VLOOKUP( $A179, Aop!$A$2:$P$453, 2, 0)</f>
        <v>BUa</v>
      </c>
      <c r="C179" s="55">
        <v>27</v>
      </c>
      <c r="D179" s="55" t="str">
        <f t="shared" si="22"/>
        <v>01040103</v>
      </c>
      <c r="E179" s="55" t="str">
        <f t="shared" si="23"/>
        <v>4400849160004</v>
      </c>
      <c r="F179" s="55" t="b">
        <f t="shared" si="25"/>
        <v>0</v>
      </c>
      <c r="G179" s="139">
        <f t="shared" si="26"/>
        <v>46203</v>
      </c>
      <c r="H179" s="105">
        <f>VLOOKUP( $A179, Aop!$A$2:$P$453, 4, 0)</f>
        <v>242</v>
      </c>
      <c r="I179" s="55">
        <f t="shared" si="24"/>
        <v>2026</v>
      </c>
      <c r="J179" s="55" t="str">
        <f t="shared" ca="1" si="30"/>
        <v/>
      </c>
      <c r="K179" s="55"/>
      <c r="L179" s="55"/>
      <c r="M179" s="55" t="str">
        <f t="shared" ca="1" si="29"/>
        <v/>
      </c>
      <c r="N179" s="55" t="str">
        <f t="shared" ca="1" si="21"/>
        <v/>
      </c>
    </row>
    <row r="180" spans="1:14" x14ac:dyDescent="0.3">
      <c r="A180" s="105">
        <v>181</v>
      </c>
      <c r="B180" s="105" t="str">
        <f>VLOOKUP( $A180, Aop!$A$2:$P$453, 2, 0)</f>
        <v>BUa</v>
      </c>
      <c r="C180" s="55">
        <v>27</v>
      </c>
      <c r="D180" s="55" t="str">
        <f t="shared" si="22"/>
        <v>01040103</v>
      </c>
      <c r="E180" s="55" t="str">
        <f t="shared" si="23"/>
        <v>4400849160004</v>
      </c>
      <c r="F180" s="55" t="b">
        <f t="shared" si="25"/>
        <v>0</v>
      </c>
      <c r="G180" s="139">
        <f t="shared" si="26"/>
        <v>46203</v>
      </c>
      <c r="H180" s="105">
        <f>VLOOKUP( $A180, Aop!$A$2:$P$453, 4, 0)</f>
        <v>243</v>
      </c>
      <c r="I180" s="55">
        <f t="shared" si="24"/>
        <v>2026</v>
      </c>
      <c r="J180" s="55" t="str">
        <f t="shared" ca="1" si="30"/>
        <v/>
      </c>
      <c r="K180" s="55"/>
      <c r="L180" s="55"/>
      <c r="M180" s="55" t="str">
        <f t="shared" ca="1" si="29"/>
        <v/>
      </c>
      <c r="N180" s="55" t="str">
        <f t="shared" ca="1" si="21"/>
        <v/>
      </c>
    </row>
    <row r="181" spans="1:14" x14ac:dyDescent="0.3">
      <c r="A181" s="105">
        <v>183</v>
      </c>
      <c r="B181" s="105" t="str">
        <f>VLOOKUP( $A181, Aop!$A$2:$P$453, 2, 0)</f>
        <v>BUa</v>
      </c>
      <c r="C181" s="55">
        <v>27</v>
      </c>
      <c r="D181" s="55" t="str">
        <f t="shared" si="22"/>
        <v>01040103</v>
      </c>
      <c r="E181" s="55" t="str">
        <f t="shared" si="23"/>
        <v>4400849160004</v>
      </c>
      <c r="F181" s="55" t="b">
        <f t="shared" si="25"/>
        <v>0</v>
      </c>
      <c r="G181" s="139">
        <f t="shared" si="26"/>
        <v>46203</v>
      </c>
      <c r="H181" s="105">
        <f>VLOOKUP( $A181, Aop!$A$2:$P$453, 4, 0)</f>
        <v>245</v>
      </c>
      <c r="I181" s="55">
        <f t="shared" si="24"/>
        <v>2026</v>
      </c>
      <c r="J181" s="55" t="str">
        <f t="shared" ca="1" si="30"/>
        <v/>
      </c>
      <c r="K181" s="55"/>
      <c r="L181" s="55"/>
      <c r="M181" s="55">
        <f t="shared" ca="1" si="29"/>
        <v>21511</v>
      </c>
      <c r="N181" s="55">
        <f t="shared" ca="1" si="21"/>
        <v>21511</v>
      </c>
    </row>
    <row r="182" spans="1:14" x14ac:dyDescent="0.3">
      <c r="A182" s="105">
        <v>184</v>
      </c>
      <c r="B182" s="105" t="str">
        <f>VLOOKUP( $A182, Aop!$A$2:$P$453, 2, 0)</f>
        <v>BUa</v>
      </c>
      <c r="C182" s="55">
        <v>27</v>
      </c>
      <c r="D182" s="55" t="str">
        <f t="shared" si="22"/>
        <v>01040103</v>
      </c>
      <c r="E182" s="55" t="str">
        <f t="shared" si="23"/>
        <v>4400849160004</v>
      </c>
      <c r="F182" s="55" t="b">
        <f t="shared" si="25"/>
        <v>0</v>
      </c>
      <c r="G182" s="139">
        <f t="shared" si="26"/>
        <v>46203</v>
      </c>
      <c r="H182" s="105">
        <f>VLOOKUP( $A182, Aop!$A$2:$P$453, 4, 0)</f>
        <v>246</v>
      </c>
      <c r="I182" s="55">
        <f t="shared" si="24"/>
        <v>2026</v>
      </c>
      <c r="J182" s="55" t="str">
        <f t="shared" ca="1" si="30"/>
        <v/>
      </c>
      <c r="K182" s="55"/>
      <c r="L182" s="55"/>
      <c r="M182" s="55" t="str">
        <f t="shared" ca="1" si="29"/>
        <v/>
      </c>
      <c r="N182" s="55" t="str">
        <f t="shared" ca="1" si="21"/>
        <v/>
      </c>
    </row>
    <row r="183" spans="1:14" x14ac:dyDescent="0.3">
      <c r="A183" s="105">
        <v>185</v>
      </c>
      <c r="B183" s="105" t="str">
        <f>VLOOKUP( $A183, Aop!$A$2:$P$453, 2, 0)</f>
        <v>BUa</v>
      </c>
      <c r="C183" s="55">
        <v>27</v>
      </c>
      <c r="D183" s="55" t="str">
        <f t="shared" si="22"/>
        <v>01040103</v>
      </c>
      <c r="E183" s="55" t="str">
        <f t="shared" si="23"/>
        <v>4400849160004</v>
      </c>
      <c r="F183" s="55" t="b">
        <f t="shared" si="25"/>
        <v>0</v>
      </c>
      <c r="G183" s="139">
        <f t="shared" si="26"/>
        <v>46203</v>
      </c>
      <c r="H183" s="105">
        <f>VLOOKUP( $A183, Aop!$A$2:$P$453, 4, 0)</f>
        <v>247</v>
      </c>
      <c r="I183" s="55">
        <f t="shared" si="24"/>
        <v>2026</v>
      </c>
      <c r="J183" s="55" t="str">
        <f t="shared" ca="1" si="30"/>
        <v/>
      </c>
      <c r="K183" s="55"/>
      <c r="L183" s="55"/>
      <c r="M183" s="55" t="str">
        <f t="shared" ca="1" si="29"/>
        <v/>
      </c>
      <c r="N183" s="55" t="str">
        <f t="shared" ca="1" si="21"/>
        <v/>
      </c>
    </row>
    <row r="184" spans="1:14" x14ac:dyDescent="0.3">
      <c r="A184" s="105">
        <v>186</v>
      </c>
      <c r="B184" s="105" t="str">
        <f>VLOOKUP( $A184, Aop!$A$2:$P$453, 2, 0)</f>
        <v>BUa</v>
      </c>
      <c r="C184" s="55">
        <v>27</v>
      </c>
      <c r="D184" s="55" t="str">
        <f t="shared" si="22"/>
        <v>01040103</v>
      </c>
      <c r="E184" s="55" t="str">
        <f t="shared" si="23"/>
        <v>4400849160004</v>
      </c>
      <c r="F184" s="55" t="b">
        <f t="shared" si="25"/>
        <v>0</v>
      </c>
      <c r="G184" s="139">
        <f t="shared" si="26"/>
        <v>46203</v>
      </c>
      <c r="H184" s="105">
        <f>VLOOKUP( $A184, Aop!$A$2:$P$453, 4, 0)</f>
        <v>248</v>
      </c>
      <c r="I184" s="55">
        <f t="shared" si="24"/>
        <v>2026</v>
      </c>
      <c r="J184" s="55" t="str">
        <f t="shared" ca="1" si="30"/>
        <v/>
      </c>
      <c r="K184" s="55"/>
      <c r="L184" s="55"/>
      <c r="M184" s="55" t="str">
        <f t="shared" ca="1" si="29"/>
        <v/>
      </c>
      <c r="N184" s="55" t="str">
        <f t="shared" ca="1" si="21"/>
        <v/>
      </c>
    </row>
    <row r="185" spans="1:14" x14ac:dyDescent="0.3">
      <c r="A185" s="105">
        <v>187</v>
      </c>
      <c r="B185" s="105" t="str">
        <f>VLOOKUP( $A185, Aop!$A$2:$P$453, 2, 0)</f>
        <v>BUa</v>
      </c>
      <c r="C185" s="55">
        <v>27</v>
      </c>
      <c r="D185" s="55" t="str">
        <f t="shared" si="22"/>
        <v>01040103</v>
      </c>
      <c r="E185" s="55" t="str">
        <f t="shared" si="23"/>
        <v>4400849160004</v>
      </c>
      <c r="F185" s="55" t="b">
        <f t="shared" si="25"/>
        <v>0</v>
      </c>
      <c r="G185" s="139">
        <f t="shared" si="26"/>
        <v>46203</v>
      </c>
      <c r="H185" s="105">
        <f>VLOOKUP( $A185, Aop!$A$2:$P$453, 4, 0)</f>
        <v>249</v>
      </c>
      <c r="I185" s="55">
        <f t="shared" si="24"/>
        <v>2026</v>
      </c>
      <c r="J185" s="55" t="str">
        <f t="shared" ca="1" si="30"/>
        <v/>
      </c>
      <c r="K185" s="55"/>
      <c r="L185" s="55"/>
      <c r="M185" s="55">
        <f t="shared" ca="1" si="29"/>
        <v>1835473</v>
      </c>
      <c r="N185" s="55">
        <f t="shared" ca="1" si="21"/>
        <v>1835473</v>
      </c>
    </row>
    <row r="186" spans="1:14" x14ac:dyDescent="0.3">
      <c r="A186" s="105">
        <v>188</v>
      </c>
      <c r="B186" s="105" t="str">
        <f>VLOOKUP( $A186, Aop!$A$2:$P$453, 2, 0)</f>
        <v>BUa</v>
      </c>
      <c r="C186" s="55">
        <v>27</v>
      </c>
      <c r="D186" s="55" t="str">
        <f t="shared" si="22"/>
        <v>01040103</v>
      </c>
      <c r="E186" s="55" t="str">
        <f t="shared" si="23"/>
        <v>4400849160004</v>
      </c>
      <c r="F186" s="55" t="b">
        <f t="shared" si="25"/>
        <v>0</v>
      </c>
      <c r="G186" s="139">
        <f t="shared" si="26"/>
        <v>46203</v>
      </c>
      <c r="H186" s="105">
        <f>VLOOKUP( $A186, Aop!$A$2:$P$453, 4, 0)</f>
        <v>250</v>
      </c>
      <c r="I186" s="55">
        <f t="shared" si="24"/>
        <v>2026</v>
      </c>
      <c r="J186" s="55" t="str">
        <f t="shared" ca="1" si="30"/>
        <v/>
      </c>
      <c r="K186" s="55"/>
      <c r="L186" s="55"/>
      <c r="M186" s="55">
        <f t="shared" ca="1" si="29"/>
        <v>0</v>
      </c>
      <c r="N186" s="55">
        <f t="shared" ca="1" si="21"/>
        <v>0</v>
      </c>
    </row>
    <row r="187" spans="1:14" x14ac:dyDescent="0.3">
      <c r="A187" s="105">
        <v>189</v>
      </c>
      <c r="B187" s="105" t="str">
        <f>VLOOKUP( $A187, Aop!$A$2:$P$453, 2, 0)</f>
        <v>BUa</v>
      </c>
      <c r="C187" s="55">
        <v>27</v>
      </c>
      <c r="D187" s="55" t="str">
        <f t="shared" si="22"/>
        <v>01040103</v>
      </c>
      <c r="E187" s="55" t="str">
        <f t="shared" si="23"/>
        <v>4400849160004</v>
      </c>
      <c r="F187" s="55" t="b">
        <f t="shared" si="25"/>
        <v>0</v>
      </c>
      <c r="G187" s="139">
        <f t="shared" si="26"/>
        <v>46203</v>
      </c>
      <c r="H187" s="105">
        <f>VLOOKUP( $A187, Aop!$A$2:$P$453, 4, 0)</f>
        <v>251</v>
      </c>
      <c r="I187" s="55">
        <f t="shared" si="24"/>
        <v>2026</v>
      </c>
      <c r="J187" s="55">
        <f t="shared" ca="1" si="30"/>
        <v>26</v>
      </c>
      <c r="K187" s="55"/>
      <c r="L187" s="55"/>
      <c r="M187" s="55">
        <f t="shared" ca="1" si="29"/>
        <v>548568</v>
      </c>
      <c r="N187" s="55">
        <f t="shared" ca="1" si="21"/>
        <v>548568</v>
      </c>
    </row>
    <row r="188" spans="1:14" x14ac:dyDescent="0.3">
      <c r="A188" s="105">
        <v>190</v>
      </c>
      <c r="B188" s="105" t="str">
        <f>VLOOKUP( $A188, Aop!$A$2:$P$453, 2, 0)</f>
        <v>BUa</v>
      </c>
      <c r="C188" s="55">
        <v>27</v>
      </c>
      <c r="D188" s="55" t="str">
        <f t="shared" si="22"/>
        <v>01040103</v>
      </c>
      <c r="E188" s="55" t="str">
        <f t="shared" si="23"/>
        <v>4400849160004</v>
      </c>
      <c r="F188" s="55" t="b">
        <f t="shared" si="25"/>
        <v>0</v>
      </c>
      <c r="G188" s="139">
        <f t="shared" si="26"/>
        <v>46203</v>
      </c>
      <c r="H188" s="105">
        <f>VLOOKUP( $A188, Aop!$A$2:$P$453, 4, 0)</f>
        <v>252</v>
      </c>
      <c r="I188" s="55">
        <f t="shared" si="24"/>
        <v>2026</v>
      </c>
      <c r="J188" s="55" t="str">
        <f t="shared" ca="1" si="30"/>
        <v/>
      </c>
      <c r="K188" s="55"/>
      <c r="L188" s="55"/>
      <c r="M188" s="55">
        <f t="shared" ca="1" si="29"/>
        <v>313</v>
      </c>
      <c r="N188" s="55">
        <f t="shared" ca="1" si="21"/>
        <v>313</v>
      </c>
    </row>
    <row r="189" spans="1:14" x14ac:dyDescent="0.3">
      <c r="A189" s="105">
        <v>191</v>
      </c>
      <c r="B189" s="105" t="str">
        <f>VLOOKUP( $A189, Aop!$A$2:$P$453, 2, 0)</f>
        <v>BUa</v>
      </c>
      <c r="C189" s="55">
        <v>27</v>
      </c>
      <c r="D189" s="55" t="str">
        <f t="shared" si="22"/>
        <v>01040103</v>
      </c>
      <c r="E189" s="55" t="str">
        <f t="shared" si="23"/>
        <v>4400849160004</v>
      </c>
      <c r="F189" s="55" t="b">
        <f t="shared" si="25"/>
        <v>0</v>
      </c>
      <c r="G189" s="139">
        <f t="shared" si="26"/>
        <v>46203</v>
      </c>
      <c r="H189" s="105">
        <f>VLOOKUP( $A189, Aop!$A$2:$P$453, 4, 0)</f>
        <v>253</v>
      </c>
      <c r="I189" s="55">
        <f t="shared" si="24"/>
        <v>2026</v>
      </c>
      <c r="J189" s="55" t="str">
        <f t="shared" ca="1" si="30"/>
        <v/>
      </c>
      <c r="K189" s="55"/>
      <c r="L189" s="55"/>
      <c r="M189" s="55" t="str">
        <f t="shared" ca="1" si="29"/>
        <v/>
      </c>
      <c r="N189" s="55" t="str">
        <f t="shared" ca="1" si="21"/>
        <v/>
      </c>
    </row>
    <row r="190" spans="1:14" x14ac:dyDescent="0.3">
      <c r="A190" s="105">
        <v>192</v>
      </c>
      <c r="B190" s="105" t="str">
        <f>VLOOKUP( $A190, Aop!$A$2:$P$453, 2, 0)</f>
        <v>BUa</v>
      </c>
      <c r="C190" s="55">
        <v>27</v>
      </c>
      <c r="D190" s="55" t="str">
        <f t="shared" si="22"/>
        <v>01040103</v>
      </c>
      <c r="E190" s="55" t="str">
        <f t="shared" si="23"/>
        <v>4400849160004</v>
      </c>
      <c r="F190" s="55" t="b">
        <f t="shared" si="25"/>
        <v>0</v>
      </c>
      <c r="G190" s="139">
        <f t="shared" si="26"/>
        <v>46203</v>
      </c>
      <c r="H190" s="105">
        <f>VLOOKUP( $A190, Aop!$A$2:$P$453, 4, 0)</f>
        <v>254</v>
      </c>
      <c r="I190" s="55">
        <f t="shared" si="24"/>
        <v>2026</v>
      </c>
      <c r="J190" s="55" t="str">
        <f t="shared" ca="1" si="30"/>
        <v/>
      </c>
      <c r="K190" s="55"/>
      <c r="L190" s="55"/>
      <c r="M190" s="55" t="str">
        <f t="shared" ca="1" si="29"/>
        <v/>
      </c>
      <c r="N190" s="55" t="str">
        <f t="shared" ca="1" si="21"/>
        <v/>
      </c>
    </row>
    <row r="191" spans="1:14" x14ac:dyDescent="0.3">
      <c r="A191" s="105">
        <v>193</v>
      </c>
      <c r="B191" s="105" t="str">
        <f>VLOOKUP( $A191, Aop!$A$2:$P$453, 2, 0)</f>
        <v>BUa</v>
      </c>
      <c r="C191" s="55">
        <v>27</v>
      </c>
      <c r="D191" s="55" t="str">
        <f t="shared" ref="D191:D252" si="31">Podatak_MB</f>
        <v>01040103</v>
      </c>
      <c r="E191" s="55" t="str">
        <f t="shared" ref="E191:E252" si="32">Podatak_JIB</f>
        <v>4400849160004</v>
      </c>
      <c r="F191" s="55" t="b">
        <f t="shared" si="25"/>
        <v>0</v>
      </c>
      <c r="G191" s="139">
        <f t="shared" si="26"/>
        <v>46203</v>
      </c>
      <c r="H191" s="105">
        <f>VLOOKUP( $A191, Aop!$A$2:$P$453, 4, 0)</f>
        <v>255</v>
      </c>
      <c r="I191" s="55">
        <f t="shared" ref="I191:I252" si="33">Godina</f>
        <v>2026</v>
      </c>
      <c r="J191" s="55" t="str">
        <f t="shared" ca="1" si="30"/>
        <v/>
      </c>
      <c r="K191" s="55"/>
      <c r="L191" s="55"/>
      <c r="M191" s="55" t="str">
        <f t="shared" ca="1" si="29"/>
        <v/>
      </c>
      <c r="N191" s="55" t="str">
        <f t="shared" ca="1" si="21"/>
        <v/>
      </c>
    </row>
    <row r="192" spans="1:14" x14ac:dyDescent="0.3">
      <c r="A192" s="105">
        <v>194</v>
      </c>
      <c r="B192" s="105" t="str">
        <f>VLOOKUP( $A192, Aop!$A$2:$P$453, 2, 0)</f>
        <v>BUa</v>
      </c>
      <c r="C192" s="55">
        <v>27</v>
      </c>
      <c r="D192" s="55" t="str">
        <f t="shared" si="31"/>
        <v>01040103</v>
      </c>
      <c r="E192" s="55" t="str">
        <f t="shared" si="32"/>
        <v>4400849160004</v>
      </c>
      <c r="F192" s="55" t="b">
        <f t="shared" ref="F192:F253" si="34">Konsolidovan_izvjestaj</f>
        <v>0</v>
      </c>
      <c r="G192" s="139">
        <f t="shared" ref="G192:G253" si="35">Datum_Broj</f>
        <v>46203</v>
      </c>
      <c r="H192" s="105">
        <f>VLOOKUP( $A192, Aop!$A$2:$P$453, 4, 0)</f>
        <v>256</v>
      </c>
      <c r="I192" s="55">
        <f t="shared" si="33"/>
        <v>2026</v>
      </c>
      <c r="J192" s="55" t="str">
        <f t="shared" ca="1" si="30"/>
        <v/>
      </c>
      <c r="K192" s="55"/>
      <c r="L192" s="55"/>
      <c r="M192" s="55" t="str">
        <f t="shared" ca="1" si="29"/>
        <v/>
      </c>
      <c r="N192" s="55" t="str">
        <f t="shared" ca="1" si="21"/>
        <v/>
      </c>
    </row>
    <row r="193" spans="1:14" x14ac:dyDescent="0.3">
      <c r="A193" s="105">
        <v>195</v>
      </c>
      <c r="B193" s="105" t="str">
        <f>VLOOKUP( $A193, Aop!$A$2:$P$453, 2, 0)</f>
        <v>BUa</v>
      </c>
      <c r="C193" s="55">
        <v>27</v>
      </c>
      <c r="D193" s="55" t="str">
        <f t="shared" si="31"/>
        <v>01040103</v>
      </c>
      <c r="E193" s="55" t="str">
        <f t="shared" si="32"/>
        <v>4400849160004</v>
      </c>
      <c r="F193" s="55" t="b">
        <f t="shared" si="34"/>
        <v>0</v>
      </c>
      <c r="G193" s="139">
        <f t="shared" si="35"/>
        <v>46203</v>
      </c>
      <c r="H193" s="105">
        <f>VLOOKUP( $A193, Aop!$A$2:$P$453, 4, 0)</f>
        <v>257</v>
      </c>
      <c r="I193" s="55">
        <f t="shared" si="33"/>
        <v>2026</v>
      </c>
      <c r="J193" s="55" t="str">
        <f t="shared" ca="1" si="30"/>
        <v/>
      </c>
      <c r="K193" s="55"/>
      <c r="L193" s="55"/>
      <c r="M193" s="55" t="str">
        <f t="shared" ca="1" si="29"/>
        <v/>
      </c>
      <c r="N193" s="55" t="str">
        <f t="shared" ca="1" si="21"/>
        <v/>
      </c>
    </row>
    <row r="194" spans="1:14" x14ac:dyDescent="0.3">
      <c r="A194" s="105">
        <v>196</v>
      </c>
      <c r="B194" s="105" t="str">
        <f>VLOOKUP( $A194, Aop!$A$2:$P$453, 2, 0)</f>
        <v>BUa</v>
      </c>
      <c r="C194" s="55">
        <v>27</v>
      </c>
      <c r="D194" s="55" t="str">
        <f t="shared" si="31"/>
        <v>01040103</v>
      </c>
      <c r="E194" s="55" t="str">
        <f t="shared" si="32"/>
        <v>4400849160004</v>
      </c>
      <c r="F194" s="55" t="b">
        <f t="shared" si="34"/>
        <v>0</v>
      </c>
      <c r="G194" s="139">
        <f t="shared" si="35"/>
        <v>46203</v>
      </c>
      <c r="H194" s="105">
        <f>VLOOKUP( $A194, Aop!$A$2:$P$453, 4, 0)</f>
        <v>258</v>
      </c>
      <c r="I194" s="55">
        <f t="shared" si="33"/>
        <v>2026</v>
      </c>
      <c r="J194" s="55" t="str">
        <f t="shared" ca="1" si="30"/>
        <v/>
      </c>
      <c r="K194" s="55"/>
      <c r="L194" s="55"/>
      <c r="M194" s="55" t="str">
        <f t="shared" ca="1" si="29"/>
        <v/>
      </c>
      <c r="N194" s="55" t="str">
        <f t="shared" ref="N194:N257" ca="1" si="36">IF( VLOOKUP( $H194, INDIRECT( "Lookup_" &amp; $B194), IF( LEFT( $B194, 2) = "BS", S$2, S$1), 0) = "", "", VLOOKUP( $H194, INDIRECT( "Lookup_" &amp; $B194), IF( LEFT( $B194, 2) = "BS", S$2, S$1), 0))</f>
        <v/>
      </c>
    </row>
    <row r="195" spans="1:14" x14ac:dyDescent="0.3">
      <c r="A195" s="105">
        <v>197</v>
      </c>
      <c r="B195" s="105" t="str">
        <f>VLOOKUP( $A195, Aop!$A$2:$P$453, 2, 0)</f>
        <v>BUa</v>
      </c>
      <c r="C195" s="55">
        <v>27</v>
      </c>
      <c r="D195" s="55" t="str">
        <f t="shared" si="31"/>
        <v>01040103</v>
      </c>
      <c r="E195" s="55" t="str">
        <f t="shared" si="32"/>
        <v>4400849160004</v>
      </c>
      <c r="F195" s="55" t="b">
        <f t="shared" si="34"/>
        <v>0</v>
      </c>
      <c r="G195" s="139">
        <f t="shared" si="35"/>
        <v>46203</v>
      </c>
      <c r="H195" s="105">
        <f>VLOOKUP( $A195, Aop!$A$2:$P$453, 4, 0)</f>
        <v>259</v>
      </c>
      <c r="I195" s="55">
        <f t="shared" si="33"/>
        <v>2026</v>
      </c>
      <c r="J195" s="55" t="str">
        <f t="shared" ca="1" si="30"/>
        <v/>
      </c>
      <c r="K195" s="55"/>
      <c r="L195" s="55"/>
      <c r="M195" s="55">
        <f t="shared" ca="1" si="29"/>
        <v>548255</v>
      </c>
      <c r="N195" s="55">
        <f t="shared" ca="1" si="36"/>
        <v>548255</v>
      </c>
    </row>
    <row r="196" spans="1:14" x14ac:dyDescent="0.3">
      <c r="A196" s="105">
        <v>198</v>
      </c>
      <c r="B196" s="55" t="str">
        <f>VLOOKUP( $A196, Aop!$A$2:$P$453, 2, 0)</f>
        <v>BUa</v>
      </c>
      <c r="C196" s="55">
        <v>27</v>
      </c>
      <c r="D196" s="55" t="str">
        <f>Podatak_MB</f>
        <v>01040103</v>
      </c>
      <c r="E196" s="55" t="str">
        <f>Podatak_JIB</f>
        <v>4400849160004</v>
      </c>
      <c r="F196" s="55" t="b">
        <f>Konsolidovan_izvjestaj</f>
        <v>0</v>
      </c>
      <c r="G196" s="139">
        <f>Datum_Broj</f>
        <v>46203</v>
      </c>
      <c r="H196" s="55">
        <f>VLOOKUP( $A196, Aop!$A$2:$P$453, 4, 0)</f>
        <v>260</v>
      </c>
      <c r="I196" s="55">
        <f>Godina</f>
        <v>2026</v>
      </c>
      <c r="J196" s="55" t="str">
        <f t="shared" ca="1" si="30"/>
        <v/>
      </c>
      <c r="K196" s="55"/>
      <c r="L196" s="55"/>
      <c r="M196" s="55" t="str">
        <f t="shared" ca="1" si="29"/>
        <v/>
      </c>
      <c r="N196" s="55" t="str">
        <f t="shared" ca="1" si="36"/>
        <v/>
      </c>
    </row>
    <row r="197" spans="1:14" x14ac:dyDescent="0.3">
      <c r="A197" s="105">
        <v>199</v>
      </c>
      <c r="B197" s="105" t="str">
        <f>VLOOKUP( $A197, Aop!$A$2:$P$453, 2, 0)</f>
        <v>BUa</v>
      </c>
      <c r="C197" s="55">
        <v>27</v>
      </c>
      <c r="D197" s="55" t="str">
        <f t="shared" si="31"/>
        <v>01040103</v>
      </c>
      <c r="E197" s="55" t="str">
        <f t="shared" si="32"/>
        <v>4400849160004</v>
      </c>
      <c r="F197" s="55" t="b">
        <f t="shared" si="34"/>
        <v>0</v>
      </c>
      <c r="G197" s="139">
        <f t="shared" si="35"/>
        <v>46203</v>
      </c>
      <c r="H197" s="105">
        <f>VLOOKUP( $A197, Aop!$A$2:$P$453, 4, 0)</f>
        <v>261</v>
      </c>
      <c r="I197" s="55">
        <f t="shared" si="33"/>
        <v>2026</v>
      </c>
      <c r="J197" s="55">
        <f t="shared" ca="1" si="30"/>
        <v>27</v>
      </c>
      <c r="K197" s="55"/>
      <c r="L197" s="55"/>
      <c r="M197" s="55">
        <f t="shared" ca="1" si="29"/>
        <v>229129</v>
      </c>
      <c r="N197" s="55">
        <f t="shared" ca="1" si="36"/>
        <v>229129</v>
      </c>
    </row>
    <row r="198" spans="1:14" x14ac:dyDescent="0.3">
      <c r="A198" s="105">
        <v>200</v>
      </c>
      <c r="B198" s="105" t="str">
        <f>VLOOKUP( $A198, Aop!$A$2:$P$453, 2, 0)</f>
        <v>BUa</v>
      </c>
      <c r="C198" s="55">
        <v>27</v>
      </c>
      <c r="D198" s="55" t="str">
        <f t="shared" si="31"/>
        <v>01040103</v>
      </c>
      <c r="E198" s="55" t="str">
        <f t="shared" si="32"/>
        <v>4400849160004</v>
      </c>
      <c r="F198" s="55" t="b">
        <f t="shared" si="34"/>
        <v>0</v>
      </c>
      <c r="G198" s="139">
        <f t="shared" si="35"/>
        <v>46203</v>
      </c>
      <c r="H198" s="105">
        <f>VLOOKUP( $A198, Aop!$A$2:$P$453, 4, 0)</f>
        <v>262</v>
      </c>
      <c r="I198" s="55">
        <f t="shared" si="33"/>
        <v>2026</v>
      </c>
      <c r="J198" s="55" t="str">
        <f t="shared" ca="1" si="30"/>
        <v/>
      </c>
      <c r="K198" s="55"/>
      <c r="L198" s="55"/>
      <c r="M198" s="55" t="str">
        <f t="shared" ref="M198:M261" ca="1" si="37">IF( VLOOKUP( $H198, INDIRECT( "Lookup_" &amp; $B198), IF( LEFT( $B198, 2) = "BS", S$2, S$1), 0) = "", "", VLOOKUP( $H198, INDIRECT( "Lookup_" &amp; $B198), IF( LEFT( $B198, 2) = "BS", S$2, S$1), 0))</f>
        <v/>
      </c>
      <c r="N198" s="55" t="str">
        <f t="shared" ca="1" si="36"/>
        <v/>
      </c>
    </row>
    <row r="199" spans="1:14" x14ac:dyDescent="0.3">
      <c r="A199" s="105">
        <v>201</v>
      </c>
      <c r="B199" s="105" t="str">
        <f>VLOOKUP( $A199, Aop!$A$2:$P$453, 2, 0)</f>
        <v>BUa</v>
      </c>
      <c r="C199" s="55">
        <v>27</v>
      </c>
      <c r="D199" s="55" t="str">
        <f t="shared" si="31"/>
        <v>01040103</v>
      </c>
      <c r="E199" s="55" t="str">
        <f t="shared" si="32"/>
        <v>4400849160004</v>
      </c>
      <c r="F199" s="55" t="b">
        <f t="shared" si="34"/>
        <v>0</v>
      </c>
      <c r="G199" s="139">
        <f t="shared" si="35"/>
        <v>46203</v>
      </c>
      <c r="H199" s="105">
        <f>VLOOKUP( $A199, Aop!$A$2:$P$453, 4, 0)</f>
        <v>263</v>
      </c>
      <c r="I199" s="55">
        <f t="shared" si="33"/>
        <v>2026</v>
      </c>
      <c r="J199" s="55" t="str">
        <f t="shared" ca="1" si="30"/>
        <v/>
      </c>
      <c r="K199" s="55"/>
      <c r="L199" s="55"/>
      <c r="M199" s="55" t="str">
        <f t="shared" ca="1" si="37"/>
        <v/>
      </c>
      <c r="N199" s="55" t="str">
        <f t="shared" ca="1" si="36"/>
        <v/>
      </c>
    </row>
    <row r="200" spans="1:14" x14ac:dyDescent="0.3">
      <c r="A200" s="105">
        <v>202</v>
      </c>
      <c r="B200" s="105" t="str">
        <f>VLOOKUP( $A200, Aop!$A$2:$P$453, 2, 0)</f>
        <v>BUa</v>
      </c>
      <c r="C200" s="55">
        <v>27</v>
      </c>
      <c r="D200" s="55" t="str">
        <f t="shared" si="31"/>
        <v>01040103</v>
      </c>
      <c r="E200" s="55" t="str">
        <f t="shared" si="32"/>
        <v>4400849160004</v>
      </c>
      <c r="F200" s="55" t="b">
        <f t="shared" si="34"/>
        <v>0</v>
      </c>
      <c r="G200" s="139">
        <f t="shared" si="35"/>
        <v>46203</v>
      </c>
      <c r="H200" s="105">
        <f>VLOOKUP( $A200, Aop!$A$2:$P$453, 4, 0)</f>
        <v>264</v>
      </c>
      <c r="I200" s="55">
        <f t="shared" si="33"/>
        <v>2026</v>
      </c>
      <c r="J200" s="55" t="str">
        <f t="shared" ca="1" si="30"/>
        <v/>
      </c>
      <c r="K200" s="55"/>
      <c r="L200" s="55"/>
      <c r="M200" s="55" t="str">
        <f t="shared" ca="1" si="37"/>
        <v/>
      </c>
      <c r="N200" s="55" t="str">
        <f t="shared" ca="1" si="36"/>
        <v/>
      </c>
    </row>
    <row r="201" spans="1:14" x14ac:dyDescent="0.3">
      <c r="A201" s="105">
        <v>203</v>
      </c>
      <c r="B201" s="105" t="str">
        <f>VLOOKUP( $A201, Aop!$A$2:$P$453, 2, 0)</f>
        <v>BUa</v>
      </c>
      <c r="C201" s="55">
        <v>27</v>
      </c>
      <c r="D201" s="55" t="str">
        <f t="shared" si="31"/>
        <v>01040103</v>
      </c>
      <c r="E201" s="55" t="str">
        <f t="shared" si="32"/>
        <v>4400849160004</v>
      </c>
      <c r="F201" s="55" t="b">
        <f t="shared" si="34"/>
        <v>0</v>
      </c>
      <c r="G201" s="139">
        <f t="shared" si="35"/>
        <v>46203</v>
      </c>
      <c r="H201" s="105">
        <f>VLOOKUP( $A201, Aop!$A$2:$P$453, 4, 0)</f>
        <v>265</v>
      </c>
      <c r="I201" s="55">
        <f t="shared" si="33"/>
        <v>2026</v>
      </c>
      <c r="J201" s="55" t="str">
        <f t="shared" ca="1" si="30"/>
        <v/>
      </c>
      <c r="K201" s="55"/>
      <c r="L201" s="55"/>
      <c r="M201" s="55" t="str">
        <f t="shared" ca="1" si="37"/>
        <v/>
      </c>
      <c r="N201" s="55" t="str">
        <f t="shared" ca="1" si="36"/>
        <v/>
      </c>
    </row>
    <row r="202" spans="1:14" x14ac:dyDescent="0.3">
      <c r="A202" s="105">
        <v>204</v>
      </c>
      <c r="B202" s="105" t="str">
        <f>VLOOKUP( $A202, Aop!$A$2:$P$453, 2, 0)</f>
        <v>BUa</v>
      </c>
      <c r="C202" s="55">
        <v>27</v>
      </c>
      <c r="D202" s="55" t="str">
        <f t="shared" si="31"/>
        <v>01040103</v>
      </c>
      <c r="E202" s="55" t="str">
        <f t="shared" si="32"/>
        <v>4400849160004</v>
      </c>
      <c r="F202" s="55" t="b">
        <f t="shared" si="34"/>
        <v>0</v>
      </c>
      <c r="G202" s="139">
        <f t="shared" si="35"/>
        <v>46203</v>
      </c>
      <c r="H202" s="105">
        <f>VLOOKUP( $A202, Aop!$A$2:$P$453, 4, 0)</f>
        <v>266</v>
      </c>
      <c r="I202" s="55">
        <f t="shared" si="33"/>
        <v>2026</v>
      </c>
      <c r="J202" s="55" t="str">
        <f t="shared" ca="1" si="30"/>
        <v/>
      </c>
      <c r="K202" s="55"/>
      <c r="L202" s="55"/>
      <c r="M202" s="55" t="str">
        <f t="shared" ca="1" si="37"/>
        <v/>
      </c>
      <c r="N202" s="55" t="str">
        <f t="shared" ca="1" si="36"/>
        <v/>
      </c>
    </row>
    <row r="203" spans="1:14" x14ac:dyDescent="0.3">
      <c r="A203" s="105">
        <v>205</v>
      </c>
      <c r="B203" s="105" t="str">
        <f>VLOOKUP( $A203, Aop!$A$2:$P$453, 2, 0)</f>
        <v>BUa</v>
      </c>
      <c r="C203" s="55">
        <v>27</v>
      </c>
      <c r="D203" s="55" t="str">
        <f t="shared" si="31"/>
        <v>01040103</v>
      </c>
      <c r="E203" s="55" t="str">
        <f t="shared" si="32"/>
        <v>4400849160004</v>
      </c>
      <c r="F203" s="55" t="b">
        <f t="shared" si="34"/>
        <v>0</v>
      </c>
      <c r="G203" s="139">
        <f t="shared" si="35"/>
        <v>46203</v>
      </c>
      <c r="H203" s="105">
        <f>VLOOKUP( $A203, Aop!$A$2:$P$453, 4, 0)</f>
        <v>267</v>
      </c>
      <c r="I203" s="55">
        <f t="shared" si="33"/>
        <v>2026</v>
      </c>
      <c r="J203" s="55" t="str">
        <f t="shared" ca="1" si="30"/>
        <v/>
      </c>
      <c r="K203" s="55"/>
      <c r="L203" s="55"/>
      <c r="M203" s="55" t="str">
        <f t="shared" ca="1" si="37"/>
        <v/>
      </c>
      <c r="N203" s="55" t="str">
        <f t="shared" ca="1" si="36"/>
        <v/>
      </c>
    </row>
    <row r="204" spans="1:14" x14ac:dyDescent="0.3">
      <c r="A204" s="105">
        <v>206</v>
      </c>
      <c r="B204" s="105" t="str">
        <f>VLOOKUP( $A204, Aop!$A$2:$P$453, 2, 0)</f>
        <v>BUa</v>
      </c>
      <c r="C204" s="55">
        <v>27</v>
      </c>
      <c r="D204" s="55" t="str">
        <f t="shared" si="31"/>
        <v>01040103</v>
      </c>
      <c r="E204" s="55" t="str">
        <f t="shared" si="32"/>
        <v>4400849160004</v>
      </c>
      <c r="F204" s="55" t="b">
        <f t="shared" si="34"/>
        <v>0</v>
      </c>
      <c r="G204" s="139">
        <f t="shared" si="35"/>
        <v>46203</v>
      </c>
      <c r="H204" s="105">
        <f>VLOOKUP( $A204, Aop!$A$2:$P$453, 4, 0)</f>
        <v>268</v>
      </c>
      <c r="I204" s="55">
        <f t="shared" si="33"/>
        <v>2026</v>
      </c>
      <c r="J204" s="55" t="str">
        <f t="shared" ref="J204:J267" ca="1" si="38">IF( VLOOKUP( $H204, INDIRECT( "Lookup_" &amp; $B204), IF( LEFT( $B204, 2) = "BS", R$2, R$1), 0) = "", "", VLOOKUP( $H204, INDIRECT( "Lookup_" &amp; $B204), IF( $B204 = "BSp", R$2, R$1), 0))</f>
        <v/>
      </c>
      <c r="K204" s="55"/>
      <c r="L204" s="55"/>
      <c r="M204" s="55" t="str">
        <f t="shared" ca="1" si="37"/>
        <v/>
      </c>
      <c r="N204" s="55" t="str">
        <f t="shared" ca="1" si="36"/>
        <v/>
      </c>
    </row>
    <row r="205" spans="1:14" x14ac:dyDescent="0.3">
      <c r="A205" s="105">
        <v>208</v>
      </c>
      <c r="B205" s="105" t="str">
        <f>VLOOKUP( $A205, Aop!$A$2:$P$453, 2, 0)</f>
        <v>BUa</v>
      </c>
      <c r="C205" s="55">
        <v>27</v>
      </c>
      <c r="D205" s="55" t="str">
        <f t="shared" si="31"/>
        <v>01040103</v>
      </c>
      <c r="E205" s="55" t="str">
        <f t="shared" si="32"/>
        <v>4400849160004</v>
      </c>
      <c r="F205" s="55" t="b">
        <f t="shared" si="34"/>
        <v>0</v>
      </c>
      <c r="G205" s="139">
        <f t="shared" si="35"/>
        <v>46203</v>
      </c>
      <c r="H205" s="105">
        <f>VLOOKUP( $A205, Aop!$A$2:$P$453, 4, 0)</f>
        <v>270</v>
      </c>
      <c r="I205" s="55">
        <f t="shared" si="33"/>
        <v>2026</v>
      </c>
      <c r="J205" s="55" t="str">
        <f t="shared" ca="1" si="38"/>
        <v/>
      </c>
      <c r="K205" s="55"/>
      <c r="L205" s="55"/>
      <c r="M205" s="55">
        <f t="shared" ca="1" si="37"/>
        <v>229129</v>
      </c>
      <c r="N205" s="55">
        <f t="shared" ca="1" si="36"/>
        <v>229129</v>
      </c>
    </row>
    <row r="206" spans="1:14" x14ac:dyDescent="0.3">
      <c r="A206" s="105">
        <v>209</v>
      </c>
      <c r="B206" s="105" t="str">
        <f>VLOOKUP( $A206, Aop!$A$2:$P$453, 2, 0)</f>
        <v>BUa</v>
      </c>
      <c r="C206" s="55">
        <v>27</v>
      </c>
      <c r="D206" s="55" t="str">
        <f t="shared" si="31"/>
        <v>01040103</v>
      </c>
      <c r="E206" s="55" t="str">
        <f t="shared" si="32"/>
        <v>4400849160004</v>
      </c>
      <c r="F206" s="55" t="b">
        <f t="shared" si="34"/>
        <v>0</v>
      </c>
      <c r="G206" s="139">
        <f t="shared" si="35"/>
        <v>46203</v>
      </c>
      <c r="H206" s="105">
        <f>VLOOKUP( $A206, Aop!$A$2:$P$453, 4, 0)</f>
        <v>271</v>
      </c>
      <c r="I206" s="55">
        <f t="shared" si="33"/>
        <v>2026</v>
      </c>
      <c r="J206" s="55" t="str">
        <f t="shared" ca="1" si="38"/>
        <v/>
      </c>
      <c r="K206" s="55"/>
      <c r="L206" s="55"/>
      <c r="M206" s="55">
        <f t="shared" ca="1" si="37"/>
        <v>319439</v>
      </c>
      <c r="N206" s="55">
        <f t="shared" ca="1" si="36"/>
        <v>319439</v>
      </c>
    </row>
    <row r="207" spans="1:14" x14ac:dyDescent="0.3">
      <c r="A207" s="105">
        <v>210</v>
      </c>
      <c r="B207" s="105" t="str">
        <f>VLOOKUP( $A207, Aop!$A$2:$P$453, 2, 0)</f>
        <v>BUa</v>
      </c>
      <c r="C207" s="55">
        <v>27</v>
      </c>
      <c r="D207" s="55" t="str">
        <f t="shared" si="31"/>
        <v>01040103</v>
      </c>
      <c r="E207" s="55" t="str">
        <f t="shared" si="32"/>
        <v>4400849160004</v>
      </c>
      <c r="F207" s="55" t="b">
        <f t="shared" si="34"/>
        <v>0</v>
      </c>
      <c r="G207" s="139">
        <f t="shared" si="35"/>
        <v>46203</v>
      </c>
      <c r="H207" s="105">
        <f>VLOOKUP( $A207, Aop!$A$2:$P$453, 4, 0)</f>
        <v>272</v>
      </c>
      <c r="I207" s="55">
        <f t="shared" si="33"/>
        <v>2026</v>
      </c>
      <c r="J207" s="55" t="str">
        <f t="shared" ca="1" si="38"/>
        <v/>
      </c>
      <c r="K207" s="55"/>
      <c r="L207" s="55"/>
      <c r="M207" s="55">
        <f t="shared" ca="1" si="37"/>
        <v>0</v>
      </c>
      <c r="N207" s="55">
        <f t="shared" ca="1" si="36"/>
        <v>0</v>
      </c>
    </row>
    <row r="208" spans="1:14" x14ac:dyDescent="0.3">
      <c r="A208" s="105">
        <v>211</v>
      </c>
      <c r="B208" s="105" t="str">
        <f>VLOOKUP( $A208, Aop!$A$2:$P$453, 2, 0)</f>
        <v>BUa</v>
      </c>
      <c r="C208" s="55">
        <v>27</v>
      </c>
      <c r="D208" s="55" t="str">
        <f t="shared" si="31"/>
        <v>01040103</v>
      </c>
      <c r="E208" s="55" t="str">
        <f t="shared" si="32"/>
        <v>4400849160004</v>
      </c>
      <c r="F208" s="55" t="b">
        <f t="shared" si="34"/>
        <v>0</v>
      </c>
      <c r="G208" s="139">
        <f t="shared" si="35"/>
        <v>46203</v>
      </c>
      <c r="H208" s="105">
        <f>VLOOKUP( $A208, Aop!$A$2:$P$453, 4, 0)</f>
        <v>273</v>
      </c>
      <c r="I208" s="55">
        <f t="shared" si="33"/>
        <v>2026</v>
      </c>
      <c r="J208" s="55" t="str">
        <f t="shared" ca="1" si="38"/>
        <v/>
      </c>
      <c r="K208" s="55"/>
      <c r="L208" s="55"/>
      <c r="M208" s="55">
        <f t="shared" ca="1" si="37"/>
        <v>0</v>
      </c>
      <c r="N208" s="55">
        <f t="shared" ca="1" si="36"/>
        <v>0</v>
      </c>
    </row>
    <row r="209" spans="1:14" x14ac:dyDescent="0.3">
      <c r="A209" s="105">
        <v>212</v>
      </c>
      <c r="B209" s="105" t="str">
        <f>VLOOKUP( $A209, Aop!$A$2:$P$453, 2, 0)</f>
        <v>BUa</v>
      </c>
      <c r="C209" s="55">
        <v>27</v>
      </c>
      <c r="D209" s="55" t="str">
        <f t="shared" si="31"/>
        <v>01040103</v>
      </c>
      <c r="E209" s="55" t="str">
        <f t="shared" si="32"/>
        <v>4400849160004</v>
      </c>
      <c r="F209" s="55" t="b">
        <f t="shared" si="34"/>
        <v>0</v>
      </c>
      <c r="G209" s="139">
        <f t="shared" si="35"/>
        <v>46203</v>
      </c>
      <c r="H209" s="105">
        <f>VLOOKUP( $A209, Aop!$A$2:$P$453, 4, 0)</f>
        <v>274</v>
      </c>
      <c r="I209" s="55">
        <f t="shared" si="33"/>
        <v>2026</v>
      </c>
      <c r="J209" s="55" t="str">
        <f t="shared" ca="1" si="38"/>
        <v/>
      </c>
      <c r="K209" s="55"/>
      <c r="L209" s="55"/>
      <c r="M209" s="55">
        <f t="shared" ca="1" si="37"/>
        <v>0</v>
      </c>
      <c r="N209" s="55">
        <f t="shared" ca="1" si="36"/>
        <v>0</v>
      </c>
    </row>
    <row r="210" spans="1:14" x14ac:dyDescent="0.3">
      <c r="A210" s="105">
        <v>213</v>
      </c>
      <c r="B210" s="105" t="str">
        <f>VLOOKUP( $A210, Aop!$A$2:$P$453, 2, 0)</f>
        <v>BUa</v>
      </c>
      <c r="C210" s="55">
        <v>27</v>
      </c>
      <c r="D210" s="55" t="str">
        <f t="shared" si="31"/>
        <v>01040103</v>
      </c>
      <c r="E210" s="55" t="str">
        <f t="shared" si="32"/>
        <v>4400849160004</v>
      </c>
      <c r="F210" s="55" t="b">
        <f t="shared" si="34"/>
        <v>0</v>
      </c>
      <c r="G210" s="139">
        <f t="shared" si="35"/>
        <v>46203</v>
      </c>
      <c r="H210" s="105">
        <f>VLOOKUP( $A210, Aop!$A$2:$P$453, 4, 0)</f>
        <v>275</v>
      </c>
      <c r="I210" s="55">
        <f t="shared" si="33"/>
        <v>2026</v>
      </c>
      <c r="J210" s="55" t="str">
        <f t="shared" ca="1" si="38"/>
        <v/>
      </c>
      <c r="K210" s="55"/>
      <c r="L210" s="55"/>
      <c r="M210" s="55" t="str">
        <f t="shared" ca="1" si="37"/>
        <v/>
      </c>
      <c r="N210" s="55" t="str">
        <f t="shared" ca="1" si="36"/>
        <v/>
      </c>
    </row>
    <row r="211" spans="1:14" x14ac:dyDescent="0.3">
      <c r="A211" s="105">
        <v>214</v>
      </c>
      <c r="B211" s="105" t="str">
        <f>VLOOKUP( $A211, Aop!$A$2:$P$453, 2, 0)</f>
        <v>BUa</v>
      </c>
      <c r="C211" s="55">
        <v>27</v>
      </c>
      <c r="D211" s="55" t="str">
        <f t="shared" si="31"/>
        <v>01040103</v>
      </c>
      <c r="E211" s="55" t="str">
        <f t="shared" si="32"/>
        <v>4400849160004</v>
      </c>
      <c r="F211" s="55" t="b">
        <f t="shared" si="34"/>
        <v>0</v>
      </c>
      <c r="G211" s="139">
        <f t="shared" si="35"/>
        <v>46203</v>
      </c>
      <c r="H211" s="105">
        <f>VLOOKUP( $A211, Aop!$A$2:$P$453, 4, 0)</f>
        <v>276</v>
      </c>
      <c r="I211" s="55">
        <f t="shared" si="33"/>
        <v>2026</v>
      </c>
      <c r="J211" s="55" t="str">
        <f t="shared" ca="1" si="38"/>
        <v/>
      </c>
      <c r="K211" s="55"/>
      <c r="L211" s="55"/>
      <c r="M211" s="55" t="str">
        <f t="shared" ca="1" si="37"/>
        <v/>
      </c>
      <c r="N211" s="55" t="str">
        <f t="shared" ca="1" si="36"/>
        <v/>
      </c>
    </row>
    <row r="212" spans="1:14" x14ac:dyDescent="0.3">
      <c r="A212" s="105">
        <v>215</v>
      </c>
      <c r="B212" s="105" t="str">
        <f>VLOOKUP( $A212, Aop!$A$2:$P$453, 2, 0)</f>
        <v>BUa</v>
      </c>
      <c r="C212" s="55">
        <v>27</v>
      </c>
      <c r="D212" s="55" t="str">
        <f t="shared" si="31"/>
        <v>01040103</v>
      </c>
      <c r="E212" s="55" t="str">
        <f t="shared" si="32"/>
        <v>4400849160004</v>
      </c>
      <c r="F212" s="55" t="b">
        <f t="shared" si="34"/>
        <v>0</v>
      </c>
      <c r="G212" s="139">
        <f t="shared" si="35"/>
        <v>46203</v>
      </c>
      <c r="H212" s="105">
        <f>VLOOKUP( $A212, Aop!$A$2:$P$453, 4, 0)</f>
        <v>277</v>
      </c>
      <c r="I212" s="55">
        <f t="shared" si="33"/>
        <v>2026</v>
      </c>
      <c r="J212" s="55" t="str">
        <f t="shared" ca="1" si="38"/>
        <v/>
      </c>
      <c r="K212" s="55"/>
      <c r="L212" s="55"/>
      <c r="M212" s="55" t="str">
        <f t="shared" ca="1" si="37"/>
        <v/>
      </c>
      <c r="N212" s="55" t="str">
        <f t="shared" ca="1" si="36"/>
        <v/>
      </c>
    </row>
    <row r="213" spans="1:14" x14ac:dyDescent="0.3">
      <c r="A213" s="105">
        <v>216</v>
      </c>
      <c r="B213" s="105" t="str">
        <f>VLOOKUP( $A213, Aop!$A$2:$P$453, 2, 0)</f>
        <v>BUa</v>
      </c>
      <c r="C213" s="55">
        <v>27</v>
      </c>
      <c r="D213" s="55" t="str">
        <f t="shared" si="31"/>
        <v>01040103</v>
      </c>
      <c r="E213" s="55" t="str">
        <f t="shared" si="32"/>
        <v>4400849160004</v>
      </c>
      <c r="F213" s="55" t="b">
        <f t="shared" si="34"/>
        <v>0</v>
      </c>
      <c r="G213" s="139">
        <f t="shared" si="35"/>
        <v>46203</v>
      </c>
      <c r="H213" s="105">
        <f>VLOOKUP( $A213, Aop!$A$2:$P$453, 4, 0)</f>
        <v>278</v>
      </c>
      <c r="I213" s="55">
        <f t="shared" si="33"/>
        <v>2026</v>
      </c>
      <c r="J213" s="55" t="str">
        <f t="shared" ca="1" si="38"/>
        <v/>
      </c>
      <c r="K213" s="55"/>
      <c r="L213" s="55"/>
      <c r="M213" s="55" t="str">
        <f t="shared" ca="1" si="37"/>
        <v/>
      </c>
      <c r="N213" s="55" t="str">
        <f t="shared" ca="1" si="36"/>
        <v/>
      </c>
    </row>
    <row r="214" spans="1:14" x14ac:dyDescent="0.3">
      <c r="A214" s="105">
        <v>217</v>
      </c>
      <c r="B214" s="105" t="str">
        <f>VLOOKUP( $A214, Aop!$A$2:$P$453, 2, 0)</f>
        <v>BUa</v>
      </c>
      <c r="C214" s="55">
        <v>27</v>
      </c>
      <c r="D214" s="55" t="str">
        <f t="shared" si="31"/>
        <v>01040103</v>
      </c>
      <c r="E214" s="55" t="str">
        <f t="shared" si="32"/>
        <v>4400849160004</v>
      </c>
      <c r="F214" s="55" t="b">
        <f t="shared" si="34"/>
        <v>0</v>
      </c>
      <c r="G214" s="139">
        <f t="shared" si="35"/>
        <v>46203</v>
      </c>
      <c r="H214" s="105">
        <f>VLOOKUP( $A214, Aop!$A$2:$P$453, 4, 0)</f>
        <v>279</v>
      </c>
      <c r="I214" s="55">
        <f t="shared" si="33"/>
        <v>2026</v>
      </c>
      <c r="J214" s="55" t="str">
        <f t="shared" ca="1" si="38"/>
        <v/>
      </c>
      <c r="K214" s="55"/>
      <c r="L214" s="55"/>
      <c r="M214" s="55" t="str">
        <f t="shared" ca="1" si="37"/>
        <v/>
      </c>
      <c r="N214" s="55" t="str">
        <f t="shared" ca="1" si="36"/>
        <v/>
      </c>
    </row>
    <row r="215" spans="1:14" x14ac:dyDescent="0.3">
      <c r="A215" s="105">
        <v>218</v>
      </c>
      <c r="B215" s="105" t="str">
        <f>VLOOKUP( $A215, Aop!$A$2:$P$453, 2, 0)</f>
        <v>BUa</v>
      </c>
      <c r="C215" s="55">
        <v>27</v>
      </c>
      <c r="D215" s="55" t="str">
        <f t="shared" si="31"/>
        <v>01040103</v>
      </c>
      <c r="E215" s="55" t="str">
        <f t="shared" si="32"/>
        <v>4400849160004</v>
      </c>
      <c r="F215" s="55" t="b">
        <f t="shared" si="34"/>
        <v>0</v>
      </c>
      <c r="G215" s="139">
        <f t="shared" si="35"/>
        <v>46203</v>
      </c>
      <c r="H215" s="105">
        <f>VLOOKUP( $A215, Aop!$A$2:$P$453, 4, 0)</f>
        <v>280</v>
      </c>
      <c r="I215" s="55">
        <f t="shared" si="33"/>
        <v>2026</v>
      </c>
      <c r="J215" s="55" t="str">
        <f t="shared" ca="1" si="38"/>
        <v/>
      </c>
      <c r="K215" s="55"/>
      <c r="L215" s="55"/>
      <c r="M215" s="55" t="str">
        <f t="shared" ca="1" si="37"/>
        <v/>
      </c>
      <c r="N215" s="55" t="str">
        <f t="shared" ca="1" si="36"/>
        <v/>
      </c>
    </row>
    <row r="216" spans="1:14" x14ac:dyDescent="0.3">
      <c r="A216" s="105">
        <v>219</v>
      </c>
      <c r="B216" s="105" t="str">
        <f>VLOOKUP( $A216, Aop!$A$2:$P$453, 2, 0)</f>
        <v>BUa</v>
      </c>
      <c r="C216" s="55">
        <v>27</v>
      </c>
      <c r="D216" s="55" t="str">
        <f t="shared" si="31"/>
        <v>01040103</v>
      </c>
      <c r="E216" s="55" t="str">
        <f t="shared" si="32"/>
        <v>4400849160004</v>
      </c>
      <c r="F216" s="55" t="b">
        <f t="shared" si="34"/>
        <v>0</v>
      </c>
      <c r="G216" s="139">
        <f t="shared" si="35"/>
        <v>46203</v>
      </c>
      <c r="H216" s="105">
        <f>VLOOKUP( $A216, Aop!$A$2:$P$453, 4, 0)</f>
        <v>281</v>
      </c>
      <c r="I216" s="55">
        <f t="shared" si="33"/>
        <v>2026</v>
      </c>
      <c r="J216" s="55" t="str">
        <f t="shared" ca="1" si="38"/>
        <v/>
      </c>
      <c r="K216" s="55"/>
      <c r="L216" s="55"/>
      <c r="M216" s="55">
        <f t="shared" ca="1" si="37"/>
        <v>0</v>
      </c>
      <c r="N216" s="55">
        <f t="shared" ca="1" si="36"/>
        <v>0</v>
      </c>
    </row>
    <row r="217" spans="1:14" x14ac:dyDescent="0.3">
      <c r="A217" s="105">
        <v>220</v>
      </c>
      <c r="B217" s="105" t="str">
        <f>VLOOKUP( $A217, Aop!$A$2:$P$453, 2, 0)</f>
        <v>BUa</v>
      </c>
      <c r="C217" s="55">
        <v>27</v>
      </c>
      <c r="D217" s="55" t="str">
        <f t="shared" si="31"/>
        <v>01040103</v>
      </c>
      <c r="E217" s="55" t="str">
        <f t="shared" si="32"/>
        <v>4400849160004</v>
      </c>
      <c r="F217" s="55" t="b">
        <f t="shared" si="34"/>
        <v>0</v>
      </c>
      <c r="G217" s="139">
        <f t="shared" si="35"/>
        <v>46203</v>
      </c>
      <c r="H217" s="105">
        <f>VLOOKUP( $A217, Aop!$A$2:$P$453, 4, 0)</f>
        <v>282</v>
      </c>
      <c r="I217" s="55">
        <f t="shared" si="33"/>
        <v>2026</v>
      </c>
      <c r="J217" s="55" t="str">
        <f t="shared" ca="1" si="38"/>
        <v/>
      </c>
      <c r="K217" s="55"/>
      <c r="L217" s="55"/>
      <c r="M217" s="55" t="str">
        <f t="shared" ca="1" si="37"/>
        <v/>
      </c>
      <c r="N217" s="55" t="str">
        <f t="shared" ca="1" si="36"/>
        <v/>
      </c>
    </row>
    <row r="218" spans="1:14" x14ac:dyDescent="0.3">
      <c r="A218" s="105">
        <v>221</v>
      </c>
      <c r="B218" s="55" t="str">
        <f>VLOOKUP( $A218, Aop!$A$2:$P$453, 2, 0)</f>
        <v>BUa</v>
      </c>
      <c r="C218" s="55">
        <v>27</v>
      </c>
      <c r="D218" s="55" t="str">
        <f>Podatak_MB</f>
        <v>01040103</v>
      </c>
      <c r="E218" s="55" t="str">
        <f>Podatak_JIB</f>
        <v>4400849160004</v>
      </c>
      <c r="F218" s="55" t="b">
        <f>Konsolidovan_izvjestaj</f>
        <v>0</v>
      </c>
      <c r="G218" s="139">
        <f>Datum_Broj</f>
        <v>46203</v>
      </c>
      <c r="H218" s="55">
        <f>VLOOKUP( $A218, Aop!$A$2:$P$453, 4, 0)</f>
        <v>283</v>
      </c>
      <c r="I218" s="55">
        <f>Godina</f>
        <v>2026</v>
      </c>
      <c r="J218" s="55" t="str">
        <f t="shared" ca="1" si="38"/>
        <v/>
      </c>
      <c r="K218" s="55"/>
      <c r="L218" s="55"/>
      <c r="M218" s="55" t="str">
        <f t="shared" ca="1" si="37"/>
        <v/>
      </c>
      <c r="N218" s="55" t="str">
        <f t="shared" ca="1" si="36"/>
        <v/>
      </c>
    </row>
    <row r="219" spans="1:14" x14ac:dyDescent="0.3">
      <c r="A219" s="105">
        <v>222</v>
      </c>
      <c r="B219" s="105" t="str">
        <f>VLOOKUP( $A219, Aop!$A$2:$P$453, 2, 0)</f>
        <v>BUa</v>
      </c>
      <c r="C219" s="55">
        <v>27</v>
      </c>
      <c r="D219" s="55" t="str">
        <f t="shared" si="31"/>
        <v>01040103</v>
      </c>
      <c r="E219" s="55" t="str">
        <f t="shared" si="32"/>
        <v>4400849160004</v>
      </c>
      <c r="F219" s="55" t="b">
        <f t="shared" si="34"/>
        <v>0</v>
      </c>
      <c r="G219" s="139">
        <f t="shared" si="35"/>
        <v>46203</v>
      </c>
      <c r="H219" s="105">
        <f>VLOOKUP( $A219, Aop!$A$2:$P$453, 4, 0)</f>
        <v>284</v>
      </c>
      <c r="I219" s="55">
        <f t="shared" si="33"/>
        <v>2026</v>
      </c>
      <c r="J219" s="55" t="str">
        <f t="shared" ca="1" si="38"/>
        <v/>
      </c>
      <c r="K219" s="55"/>
      <c r="L219" s="55"/>
      <c r="M219" s="55" t="str">
        <f t="shared" ca="1" si="37"/>
        <v/>
      </c>
      <c r="N219" s="55" t="str">
        <f t="shared" ca="1" si="36"/>
        <v/>
      </c>
    </row>
    <row r="220" spans="1:14" x14ac:dyDescent="0.3">
      <c r="A220" s="105">
        <v>223</v>
      </c>
      <c r="B220" s="105" t="str">
        <f>VLOOKUP( $A220, Aop!$A$2:$P$453, 2, 0)</f>
        <v>BUa</v>
      </c>
      <c r="C220" s="55">
        <v>27</v>
      </c>
      <c r="D220" s="55" t="str">
        <f t="shared" si="31"/>
        <v>01040103</v>
      </c>
      <c r="E220" s="55" t="str">
        <f t="shared" si="32"/>
        <v>4400849160004</v>
      </c>
      <c r="F220" s="55" t="b">
        <f t="shared" si="34"/>
        <v>0</v>
      </c>
      <c r="G220" s="139">
        <f t="shared" si="35"/>
        <v>46203</v>
      </c>
      <c r="H220" s="105">
        <f>VLOOKUP( $A220, Aop!$A$2:$P$453, 4, 0)</f>
        <v>285</v>
      </c>
      <c r="I220" s="55">
        <f t="shared" si="33"/>
        <v>2026</v>
      </c>
      <c r="J220" s="55" t="str">
        <f t="shared" ca="1" si="38"/>
        <v/>
      </c>
      <c r="K220" s="55"/>
      <c r="L220" s="55"/>
      <c r="M220" s="55" t="str">
        <f t="shared" ca="1" si="37"/>
        <v/>
      </c>
      <c r="N220" s="55" t="str">
        <f t="shared" ca="1" si="36"/>
        <v/>
      </c>
    </row>
    <row r="221" spans="1:14" x14ac:dyDescent="0.3">
      <c r="A221" s="105">
        <v>224</v>
      </c>
      <c r="B221" s="55" t="str">
        <f>VLOOKUP( $A221, Aop!$A$2:$P$453, 2, 0)</f>
        <v>BUa</v>
      </c>
      <c r="C221" s="55">
        <v>27</v>
      </c>
      <c r="D221" s="55" t="str">
        <f>Podatak_MB</f>
        <v>01040103</v>
      </c>
      <c r="E221" s="55" t="str">
        <f>Podatak_JIB</f>
        <v>4400849160004</v>
      </c>
      <c r="F221" s="55" t="b">
        <f>Konsolidovan_izvjestaj</f>
        <v>0</v>
      </c>
      <c r="G221" s="139">
        <f>Datum_Broj</f>
        <v>46203</v>
      </c>
      <c r="H221" s="55">
        <f>VLOOKUP( $A221, Aop!$A$2:$P$453, 4, 0)</f>
        <v>286</v>
      </c>
      <c r="I221" s="55">
        <f>Godina</f>
        <v>2026</v>
      </c>
      <c r="J221" s="55" t="str">
        <f t="shared" ca="1" si="38"/>
        <v/>
      </c>
      <c r="K221" s="55"/>
      <c r="L221" s="55"/>
      <c r="M221" s="55">
        <f t="shared" ca="1" si="37"/>
        <v>907596</v>
      </c>
      <c r="N221" s="55">
        <f t="shared" ca="1" si="36"/>
        <v>907596</v>
      </c>
    </row>
    <row r="222" spans="1:14" x14ac:dyDescent="0.3">
      <c r="A222" s="105">
        <v>225</v>
      </c>
      <c r="B222" s="105" t="str">
        <f>VLOOKUP( $A222, Aop!$A$2:$P$453, 2, 0)</f>
        <v>BUa</v>
      </c>
      <c r="C222" s="55">
        <v>27</v>
      </c>
      <c r="D222" s="55" t="str">
        <f t="shared" si="31"/>
        <v>01040103</v>
      </c>
      <c r="E222" s="55" t="str">
        <f t="shared" si="32"/>
        <v>4400849160004</v>
      </c>
      <c r="F222" s="55" t="b">
        <f t="shared" si="34"/>
        <v>0</v>
      </c>
      <c r="G222" s="139">
        <f t="shared" si="35"/>
        <v>46203</v>
      </c>
      <c r="H222" s="105">
        <f>VLOOKUP( $A222, Aop!$A$2:$P$453, 4, 0)</f>
        <v>287</v>
      </c>
      <c r="I222" s="55">
        <f t="shared" si="33"/>
        <v>2026</v>
      </c>
      <c r="J222" s="55" t="str">
        <f t="shared" ca="1" si="38"/>
        <v/>
      </c>
      <c r="K222" s="55"/>
      <c r="L222" s="55"/>
      <c r="M222" s="55">
        <f t="shared" ca="1" si="37"/>
        <v>0</v>
      </c>
      <c r="N222" s="55">
        <f t="shared" ca="1" si="36"/>
        <v>0</v>
      </c>
    </row>
    <row r="223" spans="1:14" x14ac:dyDescent="0.3">
      <c r="A223" s="105">
        <v>226</v>
      </c>
      <c r="B223" s="105" t="str">
        <f>VLOOKUP( $A223, Aop!$A$2:$P$453, 2, 0)</f>
        <v>BUa</v>
      </c>
      <c r="C223" s="55">
        <v>27</v>
      </c>
      <c r="D223" s="55" t="str">
        <f t="shared" si="31"/>
        <v>01040103</v>
      </c>
      <c r="E223" s="55" t="str">
        <f t="shared" si="32"/>
        <v>4400849160004</v>
      </c>
      <c r="F223" s="55" t="b">
        <f t="shared" si="34"/>
        <v>0</v>
      </c>
      <c r="G223" s="139">
        <f t="shared" si="35"/>
        <v>46203</v>
      </c>
      <c r="H223" s="105">
        <f>VLOOKUP( $A223, Aop!$A$2:$P$453, 4, 0)</f>
        <v>288</v>
      </c>
      <c r="I223" s="55">
        <f t="shared" si="33"/>
        <v>2026</v>
      </c>
      <c r="J223" s="55" t="str">
        <f t="shared" ca="1" si="38"/>
        <v/>
      </c>
      <c r="K223" s="55"/>
      <c r="L223" s="55"/>
      <c r="M223" s="55" t="str">
        <f t="shared" ca="1" si="37"/>
        <v/>
      </c>
      <c r="N223" s="55" t="str">
        <f t="shared" ca="1" si="36"/>
        <v/>
      </c>
    </row>
    <row r="224" spans="1:14" x14ac:dyDescent="0.3">
      <c r="A224" s="105">
        <v>227</v>
      </c>
      <c r="B224" s="55" t="str">
        <f>VLOOKUP( $A224, Aop!$A$2:$P$453, 2, 0)</f>
        <v>BUa</v>
      </c>
      <c r="C224" s="55">
        <v>27</v>
      </c>
      <c r="D224" s="55" t="str">
        <f>Podatak_MB</f>
        <v>01040103</v>
      </c>
      <c r="E224" s="55" t="str">
        <f>Podatak_JIB</f>
        <v>4400849160004</v>
      </c>
      <c r="F224" s="55" t="b">
        <f>Konsolidovan_izvjestaj</f>
        <v>0</v>
      </c>
      <c r="G224" s="139">
        <f>Datum_Broj</f>
        <v>46203</v>
      </c>
      <c r="H224" s="55">
        <f>VLOOKUP( $A224, Aop!$A$2:$P$453, 4, 0)</f>
        <v>289</v>
      </c>
      <c r="I224" s="55">
        <f>Godina</f>
        <v>2026</v>
      </c>
      <c r="J224" s="55" t="str">
        <f t="shared" ca="1" si="38"/>
        <v/>
      </c>
      <c r="K224" s="55"/>
      <c r="L224" s="55"/>
      <c r="M224" s="55" t="str">
        <f t="shared" ca="1" si="37"/>
        <v/>
      </c>
      <c r="N224" s="55" t="str">
        <f t="shared" ca="1" si="36"/>
        <v/>
      </c>
    </row>
    <row r="225" spans="1:14" x14ac:dyDescent="0.3">
      <c r="A225" s="105">
        <v>228</v>
      </c>
      <c r="B225" s="105" t="str">
        <f>VLOOKUP( $A225, Aop!$A$2:$P$453, 2, 0)</f>
        <v>BUa</v>
      </c>
      <c r="C225" s="55">
        <v>27</v>
      </c>
      <c r="D225" s="55" t="str">
        <f t="shared" si="31"/>
        <v>01040103</v>
      </c>
      <c r="E225" s="55" t="str">
        <f t="shared" si="32"/>
        <v>4400849160004</v>
      </c>
      <c r="F225" s="55" t="b">
        <f t="shared" si="34"/>
        <v>0</v>
      </c>
      <c r="G225" s="139">
        <f t="shared" si="35"/>
        <v>46203</v>
      </c>
      <c r="H225" s="105">
        <f>VLOOKUP( $A225, Aop!$A$2:$P$453, 4, 0)</f>
        <v>290</v>
      </c>
      <c r="I225" s="55">
        <f t="shared" si="33"/>
        <v>2026</v>
      </c>
      <c r="J225" s="55" t="str">
        <f t="shared" ca="1" si="38"/>
        <v/>
      </c>
      <c r="K225" s="55"/>
      <c r="L225" s="55"/>
      <c r="M225" s="55" t="str">
        <f t="shared" ca="1" si="37"/>
        <v/>
      </c>
      <c r="N225" s="55" t="str">
        <f t="shared" ca="1" si="36"/>
        <v/>
      </c>
    </row>
    <row r="226" spans="1:14" x14ac:dyDescent="0.3">
      <c r="A226" s="105">
        <v>229</v>
      </c>
      <c r="B226" s="105" t="str">
        <f>VLOOKUP( $A226, Aop!$A$2:$P$453, 2, 0)</f>
        <v>BUa</v>
      </c>
      <c r="C226" s="55">
        <v>27</v>
      </c>
      <c r="D226" s="55" t="str">
        <f t="shared" si="31"/>
        <v>01040103</v>
      </c>
      <c r="E226" s="55" t="str">
        <f t="shared" si="32"/>
        <v>4400849160004</v>
      </c>
      <c r="F226" s="55" t="b">
        <f t="shared" si="34"/>
        <v>0</v>
      </c>
      <c r="G226" s="139">
        <f t="shared" si="35"/>
        <v>46203</v>
      </c>
      <c r="H226" s="105">
        <f>VLOOKUP( $A226, Aop!$A$2:$P$453, 4, 0)</f>
        <v>291</v>
      </c>
      <c r="I226" s="55">
        <f t="shared" si="33"/>
        <v>2026</v>
      </c>
      <c r="J226" s="55" t="str">
        <f t="shared" ca="1" si="38"/>
        <v/>
      </c>
      <c r="K226" s="55"/>
      <c r="L226" s="55"/>
      <c r="M226" s="55" t="str">
        <f t="shared" ca="1" si="37"/>
        <v/>
      </c>
      <c r="N226" s="55" t="str">
        <f t="shared" ca="1" si="36"/>
        <v/>
      </c>
    </row>
    <row r="227" spans="1:14" x14ac:dyDescent="0.3">
      <c r="A227" s="105">
        <v>230</v>
      </c>
      <c r="B227" s="105" t="str">
        <f>VLOOKUP( $A227, Aop!$A$2:$P$453, 2, 0)</f>
        <v>BUa</v>
      </c>
      <c r="C227" s="55">
        <v>27</v>
      </c>
      <c r="D227" s="55" t="str">
        <f t="shared" si="31"/>
        <v>01040103</v>
      </c>
      <c r="E227" s="55" t="str">
        <f t="shared" si="32"/>
        <v>4400849160004</v>
      </c>
      <c r="F227" s="55" t="b">
        <f t="shared" si="34"/>
        <v>0</v>
      </c>
      <c r="G227" s="139">
        <f t="shared" si="35"/>
        <v>46203</v>
      </c>
      <c r="H227" s="105">
        <f>VLOOKUP( $A227, Aop!$A$2:$P$453, 4, 0)</f>
        <v>292</v>
      </c>
      <c r="I227" s="55">
        <f t="shared" si="33"/>
        <v>2026</v>
      </c>
      <c r="J227" s="55" t="str">
        <f t="shared" ca="1" si="38"/>
        <v/>
      </c>
      <c r="K227" s="55"/>
      <c r="L227" s="55"/>
      <c r="M227" s="55" t="str">
        <f t="shared" ca="1" si="37"/>
        <v/>
      </c>
      <c r="N227" s="55" t="str">
        <f t="shared" ca="1" si="36"/>
        <v/>
      </c>
    </row>
    <row r="228" spans="1:14" x14ac:dyDescent="0.3">
      <c r="A228" s="105">
        <v>231</v>
      </c>
      <c r="B228" s="105" t="str">
        <f>VLOOKUP( $A228, Aop!$A$2:$P$453, 2, 0)</f>
        <v>BUa</v>
      </c>
      <c r="C228" s="55">
        <v>27</v>
      </c>
      <c r="D228" s="55" t="str">
        <f t="shared" si="31"/>
        <v>01040103</v>
      </c>
      <c r="E228" s="55" t="str">
        <f t="shared" si="32"/>
        <v>4400849160004</v>
      </c>
      <c r="F228" s="55" t="b">
        <f t="shared" si="34"/>
        <v>0</v>
      </c>
      <c r="G228" s="139">
        <f t="shared" si="35"/>
        <v>46203</v>
      </c>
      <c r="H228" s="105">
        <f>VLOOKUP( $A228, Aop!$A$2:$P$453, 4, 0)</f>
        <v>293</v>
      </c>
      <c r="I228" s="55">
        <f t="shared" si="33"/>
        <v>2026</v>
      </c>
      <c r="J228" s="55" t="str">
        <f t="shared" ca="1" si="38"/>
        <v/>
      </c>
      <c r="K228" s="55"/>
      <c r="L228" s="55"/>
      <c r="M228" s="55" t="str">
        <f t="shared" ca="1" si="37"/>
        <v/>
      </c>
      <c r="N228" s="55" t="str">
        <f t="shared" ca="1" si="36"/>
        <v/>
      </c>
    </row>
    <row r="229" spans="1:14" x14ac:dyDescent="0.3">
      <c r="A229" s="105">
        <v>233</v>
      </c>
      <c r="B229" s="105" t="str">
        <f>VLOOKUP( $A229, Aop!$A$2:$P$453, 2, 0)</f>
        <v>BUa</v>
      </c>
      <c r="C229" s="55">
        <v>27</v>
      </c>
      <c r="D229" s="55" t="str">
        <f t="shared" si="31"/>
        <v>01040103</v>
      </c>
      <c r="E229" s="55" t="str">
        <f t="shared" si="32"/>
        <v>4400849160004</v>
      </c>
      <c r="F229" s="55" t="b">
        <f t="shared" si="34"/>
        <v>0</v>
      </c>
      <c r="G229" s="139">
        <f t="shared" si="35"/>
        <v>46203</v>
      </c>
      <c r="H229" s="105">
        <f>VLOOKUP( $A229, Aop!$A$2:$P$453, 4, 0)</f>
        <v>295</v>
      </c>
      <c r="I229" s="55">
        <f t="shared" si="33"/>
        <v>2026</v>
      </c>
      <c r="J229" s="55" t="str">
        <f t="shared" ca="1" si="38"/>
        <v/>
      </c>
      <c r="K229" s="55"/>
      <c r="L229" s="55"/>
      <c r="M229" s="55" t="str">
        <f t="shared" ca="1" si="37"/>
        <v/>
      </c>
      <c r="N229" s="55" t="str">
        <f t="shared" ca="1" si="36"/>
        <v/>
      </c>
    </row>
    <row r="230" spans="1:14" x14ac:dyDescent="0.3">
      <c r="A230" s="105">
        <v>234</v>
      </c>
      <c r="B230" s="105" t="str">
        <f>VLOOKUP( $A230, Aop!$A$2:$P$453, 2, 0)</f>
        <v>BUa</v>
      </c>
      <c r="C230" s="55">
        <v>27</v>
      </c>
      <c r="D230" s="55" t="str">
        <f t="shared" si="31"/>
        <v>01040103</v>
      </c>
      <c r="E230" s="55" t="str">
        <f t="shared" si="32"/>
        <v>4400849160004</v>
      </c>
      <c r="F230" s="55" t="b">
        <f t="shared" si="34"/>
        <v>0</v>
      </c>
      <c r="G230" s="139">
        <f t="shared" si="35"/>
        <v>46203</v>
      </c>
      <c r="H230" s="105">
        <f>VLOOKUP( $A230, Aop!$A$2:$P$453, 4, 0)</f>
        <v>296</v>
      </c>
      <c r="I230" s="55">
        <f t="shared" si="33"/>
        <v>2026</v>
      </c>
      <c r="J230" s="55" t="str">
        <f t="shared" ca="1" si="38"/>
        <v/>
      </c>
      <c r="K230" s="55"/>
      <c r="L230" s="55"/>
      <c r="M230" s="55" t="str">
        <f t="shared" ca="1" si="37"/>
        <v/>
      </c>
      <c r="N230" s="55" t="str">
        <f t="shared" ca="1" si="36"/>
        <v/>
      </c>
    </row>
    <row r="231" spans="1:14" x14ac:dyDescent="0.3">
      <c r="A231" s="105">
        <v>236</v>
      </c>
      <c r="B231" s="105" t="str">
        <f>VLOOKUP( $A231, Aop!$A$2:$P$453, 2, 0)</f>
        <v>BUa</v>
      </c>
      <c r="C231" s="55">
        <v>27</v>
      </c>
      <c r="D231" s="55" t="str">
        <f t="shared" si="31"/>
        <v>01040103</v>
      </c>
      <c r="E231" s="55" t="str">
        <f t="shared" si="32"/>
        <v>4400849160004</v>
      </c>
      <c r="F231" s="55" t="b">
        <f t="shared" si="34"/>
        <v>0</v>
      </c>
      <c r="G231" s="139">
        <f t="shared" si="35"/>
        <v>46203</v>
      </c>
      <c r="H231" s="105">
        <f>VLOOKUP( $A231, Aop!$A$2:$P$453, 4, 0)</f>
        <v>298</v>
      </c>
      <c r="I231" s="55">
        <f t="shared" si="33"/>
        <v>2026</v>
      </c>
      <c r="J231" s="55" t="str">
        <f t="shared" ca="1" si="38"/>
        <v/>
      </c>
      <c r="K231" s="55"/>
      <c r="L231" s="55"/>
      <c r="M231" s="55" t="str">
        <f t="shared" ca="1" si="37"/>
        <v/>
      </c>
      <c r="N231" s="55" t="str">
        <f t="shared" ca="1" si="36"/>
        <v/>
      </c>
    </row>
    <row r="232" spans="1:14" x14ac:dyDescent="0.3">
      <c r="A232" s="105">
        <v>237</v>
      </c>
      <c r="B232" s="105" t="str">
        <f>VLOOKUP( $A232, Aop!$A$2:$P$453, 2, 0)</f>
        <v>BUa</v>
      </c>
      <c r="C232" s="55">
        <v>27</v>
      </c>
      <c r="D232" s="55" t="str">
        <f t="shared" si="31"/>
        <v>01040103</v>
      </c>
      <c r="E232" s="55" t="str">
        <f t="shared" si="32"/>
        <v>4400849160004</v>
      </c>
      <c r="F232" s="55" t="b">
        <f t="shared" si="34"/>
        <v>0</v>
      </c>
      <c r="G232" s="139">
        <f t="shared" si="35"/>
        <v>46203</v>
      </c>
      <c r="H232" s="105">
        <f>VLOOKUP( $A232, Aop!$A$2:$P$453, 4, 0)</f>
        <v>299</v>
      </c>
      <c r="I232" s="55">
        <f t="shared" si="33"/>
        <v>2026</v>
      </c>
      <c r="J232" s="55" t="str">
        <f t="shared" ca="1" si="38"/>
        <v/>
      </c>
      <c r="K232" s="55"/>
      <c r="L232" s="55"/>
      <c r="M232" s="55">
        <f t="shared" ca="1" si="37"/>
        <v>0</v>
      </c>
      <c r="N232" s="55">
        <f t="shared" ca="1" si="36"/>
        <v>0</v>
      </c>
    </row>
    <row r="233" spans="1:14" x14ac:dyDescent="0.3">
      <c r="A233" s="105">
        <v>238</v>
      </c>
      <c r="B233" s="105" t="str">
        <f>VLOOKUP( $A233, Aop!$A$2:$P$453, 2, 0)</f>
        <v>BUa</v>
      </c>
      <c r="C233" s="55">
        <v>27</v>
      </c>
      <c r="D233" s="55" t="str">
        <f t="shared" si="31"/>
        <v>01040103</v>
      </c>
      <c r="E233" s="55" t="str">
        <f t="shared" si="32"/>
        <v>4400849160004</v>
      </c>
      <c r="F233" s="55" t="b">
        <f t="shared" si="34"/>
        <v>0</v>
      </c>
      <c r="G233" s="139">
        <f t="shared" si="35"/>
        <v>46203</v>
      </c>
      <c r="H233" s="105">
        <f>VLOOKUP( $A233, Aop!$A$2:$P$453, 4, 0)</f>
        <v>300</v>
      </c>
      <c r="I233" s="55">
        <f t="shared" si="33"/>
        <v>2026</v>
      </c>
      <c r="J233" s="55" t="str">
        <f t="shared" ca="1" si="38"/>
        <v/>
      </c>
      <c r="K233" s="55"/>
      <c r="L233" s="55"/>
      <c r="M233" s="55">
        <f t="shared" ca="1" si="37"/>
        <v>907596</v>
      </c>
      <c r="N233" s="55">
        <f t="shared" ca="1" si="36"/>
        <v>907596</v>
      </c>
    </row>
    <row r="234" spans="1:14" x14ac:dyDescent="0.3">
      <c r="A234" s="105">
        <v>240</v>
      </c>
      <c r="B234" s="105" t="str">
        <f>VLOOKUP( $A234, Aop!$A$2:$P$453, 2, 0)</f>
        <v>BUa</v>
      </c>
      <c r="C234" s="55">
        <v>27</v>
      </c>
      <c r="D234" s="55" t="str">
        <f t="shared" si="31"/>
        <v>01040103</v>
      </c>
      <c r="E234" s="55" t="str">
        <f t="shared" si="32"/>
        <v>4400849160004</v>
      </c>
      <c r="F234" s="55" t="b">
        <f t="shared" si="34"/>
        <v>0</v>
      </c>
      <c r="G234" s="139">
        <f t="shared" si="35"/>
        <v>46203</v>
      </c>
      <c r="H234" s="105">
        <f>VLOOKUP( $A234, Aop!$A$2:$P$453, 4, 0)</f>
        <v>302</v>
      </c>
      <c r="I234" s="55">
        <f t="shared" si="33"/>
        <v>2026</v>
      </c>
      <c r="J234" s="55" t="str">
        <f t="shared" ca="1" si="38"/>
        <v/>
      </c>
      <c r="K234" s="55"/>
      <c r="L234" s="55"/>
      <c r="M234" s="55">
        <f t="shared" ca="1" si="37"/>
        <v>2606</v>
      </c>
      <c r="N234" s="55">
        <f t="shared" ca="1" si="36"/>
        <v>2606</v>
      </c>
    </row>
    <row r="235" spans="1:14" x14ac:dyDescent="0.3">
      <c r="A235" s="105">
        <v>241</v>
      </c>
      <c r="B235" s="105" t="str">
        <f>VLOOKUP( $A235, Aop!$A$2:$P$453, 2, 0)</f>
        <v>BUa</v>
      </c>
      <c r="C235" s="55">
        <v>27</v>
      </c>
      <c r="D235" s="55" t="str">
        <f t="shared" si="31"/>
        <v>01040103</v>
      </c>
      <c r="E235" s="55" t="str">
        <f t="shared" si="32"/>
        <v>4400849160004</v>
      </c>
      <c r="F235" s="55" t="b">
        <f t="shared" si="34"/>
        <v>0</v>
      </c>
      <c r="G235" s="139">
        <f t="shared" si="35"/>
        <v>46203</v>
      </c>
      <c r="H235" s="105">
        <f>VLOOKUP( $A235, Aop!$A$2:$P$453, 4, 0)</f>
        <v>303</v>
      </c>
      <c r="I235" s="55">
        <f t="shared" si="33"/>
        <v>2026</v>
      </c>
      <c r="J235" s="55" t="str">
        <f t="shared" ca="1" si="38"/>
        <v/>
      </c>
      <c r="K235" s="55"/>
      <c r="L235" s="55"/>
      <c r="M235" s="55" t="str">
        <f t="shared" ca="1" si="37"/>
        <v/>
      </c>
      <c r="N235" s="55" t="str">
        <f t="shared" ca="1" si="36"/>
        <v/>
      </c>
    </row>
    <row r="236" spans="1:14" x14ac:dyDescent="0.3">
      <c r="A236" s="105">
        <v>242</v>
      </c>
      <c r="B236" s="105" t="str">
        <f>VLOOKUP( $A236, Aop!$A$2:$P$453, 2, 0)</f>
        <v>BUa</v>
      </c>
      <c r="C236" s="55">
        <v>27</v>
      </c>
      <c r="D236" s="55" t="str">
        <f t="shared" si="31"/>
        <v>01040103</v>
      </c>
      <c r="E236" s="55" t="str">
        <f t="shared" si="32"/>
        <v>4400849160004</v>
      </c>
      <c r="F236" s="55" t="b">
        <f t="shared" si="34"/>
        <v>0</v>
      </c>
      <c r="G236" s="139">
        <f t="shared" si="35"/>
        <v>46203</v>
      </c>
      <c r="H236" s="105">
        <f>VLOOKUP( $A236, Aop!$A$2:$P$453, 4, 0)</f>
        <v>304</v>
      </c>
      <c r="I236" s="55">
        <f t="shared" si="33"/>
        <v>2026</v>
      </c>
      <c r="J236" s="55" t="str">
        <f t="shared" ca="1" si="38"/>
        <v/>
      </c>
      <c r="K236" s="55"/>
      <c r="L236" s="55"/>
      <c r="M236" s="55" t="str">
        <f t="shared" ca="1" si="37"/>
        <v/>
      </c>
      <c r="N236" s="55" t="str">
        <f t="shared" ca="1" si="36"/>
        <v/>
      </c>
    </row>
    <row r="237" spans="1:14" x14ac:dyDescent="0.3">
      <c r="A237" s="105">
        <v>243</v>
      </c>
      <c r="B237" s="105" t="str">
        <f>VLOOKUP( $A237, Aop!$A$2:$P$453, 2, 0)</f>
        <v>BUa</v>
      </c>
      <c r="C237" s="55">
        <v>27</v>
      </c>
      <c r="D237" s="55" t="str">
        <f t="shared" si="31"/>
        <v>01040103</v>
      </c>
      <c r="E237" s="55" t="str">
        <f t="shared" si="32"/>
        <v>4400849160004</v>
      </c>
      <c r="F237" s="55" t="b">
        <f t="shared" si="34"/>
        <v>0</v>
      </c>
      <c r="G237" s="139">
        <f t="shared" si="35"/>
        <v>46203</v>
      </c>
      <c r="H237" s="105">
        <f>VLOOKUP( $A237, Aop!$A$2:$P$453, 4, 0)</f>
        <v>305</v>
      </c>
      <c r="I237" s="55">
        <f t="shared" si="33"/>
        <v>2026</v>
      </c>
      <c r="J237" s="55" t="str">
        <f t="shared" ca="1" si="38"/>
        <v/>
      </c>
      <c r="K237" s="55"/>
      <c r="L237" s="55"/>
      <c r="M237" s="55">
        <f t="shared" ca="1" si="37"/>
        <v>10409553</v>
      </c>
      <c r="N237" s="55">
        <f t="shared" ca="1" si="36"/>
        <v>10409553</v>
      </c>
    </row>
    <row r="238" spans="1:14" x14ac:dyDescent="0.3">
      <c r="A238" s="105">
        <v>244</v>
      </c>
      <c r="B238" s="105" t="str">
        <f>VLOOKUP( $A238, Aop!$A$2:$P$453, 2, 0)</f>
        <v>BUa</v>
      </c>
      <c r="C238" s="55">
        <v>27</v>
      </c>
      <c r="D238" s="55" t="str">
        <f t="shared" si="31"/>
        <v>01040103</v>
      </c>
      <c r="E238" s="55" t="str">
        <f t="shared" si="32"/>
        <v>4400849160004</v>
      </c>
      <c r="F238" s="55" t="b">
        <f t="shared" si="34"/>
        <v>0</v>
      </c>
      <c r="G238" s="139">
        <f t="shared" si="35"/>
        <v>46203</v>
      </c>
      <c r="H238" s="105">
        <f>VLOOKUP( $A238, Aop!$A$2:$P$453, 4, 0)</f>
        <v>306</v>
      </c>
      <c r="I238" s="55">
        <f t="shared" si="33"/>
        <v>2026</v>
      </c>
      <c r="J238" s="55" t="str">
        <f t="shared" ca="1" si="38"/>
        <v/>
      </c>
      <c r="K238" s="55"/>
      <c r="L238" s="55"/>
      <c r="M238" s="55">
        <f t="shared" ca="1" si="37"/>
        <v>9164843</v>
      </c>
      <c r="N238" s="55">
        <f t="shared" ca="1" si="36"/>
        <v>9164843</v>
      </c>
    </row>
    <row r="239" spans="1:14" x14ac:dyDescent="0.3">
      <c r="A239" s="105">
        <v>245</v>
      </c>
      <c r="B239" s="105" t="str">
        <f>VLOOKUP( $A239, Aop!$A$2:$P$453, 2, 0)</f>
        <v>BUa</v>
      </c>
      <c r="C239" s="55">
        <v>27</v>
      </c>
      <c r="D239" s="55" t="str">
        <f t="shared" si="31"/>
        <v>01040103</v>
      </c>
      <c r="E239" s="55" t="str">
        <f t="shared" si="32"/>
        <v>4400849160004</v>
      </c>
      <c r="F239" s="55" t="b">
        <f t="shared" si="34"/>
        <v>0</v>
      </c>
      <c r="G239" s="139">
        <f t="shared" si="35"/>
        <v>46203</v>
      </c>
      <c r="H239" s="105">
        <f>VLOOKUP( $A239, Aop!$A$2:$P$453, 4, 0)</f>
        <v>307</v>
      </c>
      <c r="I239" s="55">
        <f t="shared" si="33"/>
        <v>2026</v>
      </c>
      <c r="J239" s="55" t="str">
        <f t="shared" ca="1" si="38"/>
        <v/>
      </c>
      <c r="K239" s="55"/>
      <c r="L239" s="55"/>
      <c r="M239" s="55">
        <f t="shared" ca="1" si="37"/>
        <v>1244710</v>
      </c>
      <c r="N239" s="55">
        <f t="shared" ca="1" si="36"/>
        <v>1244710</v>
      </c>
    </row>
    <row r="240" spans="1:14" x14ac:dyDescent="0.3">
      <c r="A240" s="105">
        <v>246</v>
      </c>
      <c r="B240" s="105" t="str">
        <f>VLOOKUP( $A240, Aop!$A$2:$P$453, 2, 0)</f>
        <v>BUa</v>
      </c>
      <c r="C240" s="55">
        <v>27</v>
      </c>
      <c r="D240" s="55" t="str">
        <f t="shared" si="31"/>
        <v>01040103</v>
      </c>
      <c r="E240" s="55" t="str">
        <f t="shared" si="32"/>
        <v>4400849160004</v>
      </c>
      <c r="F240" s="55" t="b">
        <f t="shared" si="34"/>
        <v>0</v>
      </c>
      <c r="G240" s="139">
        <f t="shared" si="35"/>
        <v>46203</v>
      </c>
      <c r="H240" s="105">
        <f>VLOOKUP( $A240, Aop!$A$2:$P$453, 4, 0)</f>
        <v>308</v>
      </c>
      <c r="I240" s="55">
        <f t="shared" si="33"/>
        <v>2026</v>
      </c>
      <c r="J240" s="55" t="str">
        <f t="shared" ca="1" si="38"/>
        <v/>
      </c>
      <c r="K240" s="55"/>
      <c r="L240" s="55"/>
      <c r="M240" s="55">
        <f t="shared" ca="1" si="37"/>
        <v>0</v>
      </c>
      <c r="N240" s="55">
        <f t="shared" ca="1" si="36"/>
        <v>0</v>
      </c>
    </row>
    <row r="241" spans="1:14" x14ac:dyDescent="0.3">
      <c r="A241" s="105">
        <v>247</v>
      </c>
      <c r="B241" s="105" t="str">
        <f>VLOOKUP( $A241, Aop!$A$2:$P$453, 2, 0)</f>
        <v>BUa</v>
      </c>
      <c r="C241" s="55">
        <v>27</v>
      </c>
      <c r="D241" s="55" t="str">
        <f t="shared" si="31"/>
        <v>01040103</v>
      </c>
      <c r="E241" s="55" t="str">
        <f t="shared" si="32"/>
        <v>4400849160004</v>
      </c>
      <c r="F241" s="55" t="b">
        <f t="shared" si="34"/>
        <v>0</v>
      </c>
      <c r="G241" s="139">
        <f t="shared" si="35"/>
        <v>46203</v>
      </c>
      <c r="H241" s="105">
        <f>VLOOKUP( $A241, Aop!$A$2:$P$453, 4, 0)</f>
        <v>309</v>
      </c>
      <c r="I241" s="55">
        <f t="shared" si="33"/>
        <v>2026</v>
      </c>
      <c r="J241" s="55" t="str">
        <f t="shared" ca="1" si="38"/>
        <v/>
      </c>
      <c r="K241" s="55"/>
      <c r="L241" s="55"/>
      <c r="M241" s="55">
        <f t="shared" ca="1" si="37"/>
        <v>176797</v>
      </c>
      <c r="N241" s="55">
        <f t="shared" ca="1" si="36"/>
        <v>176797</v>
      </c>
    </row>
    <row r="242" spans="1:14" x14ac:dyDescent="0.3">
      <c r="A242" s="105">
        <v>248</v>
      </c>
      <c r="B242" s="105" t="str">
        <f>VLOOKUP( $A242, Aop!$A$2:$P$453, 2, 0)</f>
        <v>BUa</v>
      </c>
      <c r="C242" s="55">
        <v>27</v>
      </c>
      <c r="D242" s="55" t="str">
        <f t="shared" si="31"/>
        <v>01040103</v>
      </c>
      <c r="E242" s="55" t="str">
        <f t="shared" si="32"/>
        <v>4400849160004</v>
      </c>
      <c r="F242" s="55" t="b">
        <f t="shared" si="34"/>
        <v>0</v>
      </c>
      <c r="G242" s="139">
        <f t="shared" si="35"/>
        <v>46203</v>
      </c>
      <c r="H242" s="105">
        <f>VLOOKUP( $A242, Aop!$A$2:$P$453, 4, 0)</f>
        <v>310</v>
      </c>
      <c r="I242" s="55">
        <f t="shared" si="33"/>
        <v>2026</v>
      </c>
      <c r="J242" s="55" t="str">
        <f t="shared" ca="1" si="38"/>
        <v/>
      </c>
      <c r="K242" s="55"/>
      <c r="L242" s="55"/>
      <c r="M242" s="55">
        <f t="shared" ca="1" si="37"/>
        <v>0</v>
      </c>
      <c r="N242" s="55">
        <f t="shared" ca="1" si="36"/>
        <v>0</v>
      </c>
    </row>
    <row r="243" spans="1:14" x14ac:dyDescent="0.3">
      <c r="A243" s="105">
        <v>249</v>
      </c>
      <c r="B243" s="105" t="str">
        <f>VLOOKUP( $A243, Aop!$A$2:$P$453, 2, 0)</f>
        <v>BUa</v>
      </c>
      <c r="C243" s="55">
        <v>27</v>
      </c>
      <c r="D243" s="55" t="str">
        <f t="shared" si="31"/>
        <v>01040103</v>
      </c>
      <c r="E243" s="55" t="str">
        <f t="shared" si="32"/>
        <v>4400849160004</v>
      </c>
      <c r="F243" s="55" t="b">
        <f t="shared" si="34"/>
        <v>0</v>
      </c>
      <c r="G243" s="139">
        <f t="shared" si="35"/>
        <v>46203</v>
      </c>
      <c r="H243" s="105">
        <f>VLOOKUP( $A243, Aop!$A$2:$P$453, 4, 0)</f>
        <v>311</v>
      </c>
      <c r="I243" s="55">
        <f t="shared" si="33"/>
        <v>2026</v>
      </c>
      <c r="J243" s="55" t="str">
        <f t="shared" ca="1" si="38"/>
        <v/>
      </c>
      <c r="K243" s="55"/>
      <c r="L243" s="55"/>
      <c r="M243" s="55" t="str">
        <f t="shared" ca="1" si="37"/>
        <v/>
      </c>
      <c r="N243" s="55" t="str">
        <f t="shared" ca="1" si="36"/>
        <v/>
      </c>
    </row>
    <row r="244" spans="1:14" x14ac:dyDescent="0.3">
      <c r="A244" s="105">
        <v>250</v>
      </c>
      <c r="B244" s="105" t="str">
        <f>VLOOKUP( $A244, Aop!$A$2:$P$453, 2, 0)</f>
        <v>BUa</v>
      </c>
      <c r="C244" s="55">
        <v>27</v>
      </c>
      <c r="D244" s="55" t="str">
        <f t="shared" si="31"/>
        <v>01040103</v>
      </c>
      <c r="E244" s="55" t="str">
        <f t="shared" si="32"/>
        <v>4400849160004</v>
      </c>
      <c r="F244" s="55" t="b">
        <f t="shared" si="34"/>
        <v>0</v>
      </c>
      <c r="G244" s="139">
        <f t="shared" si="35"/>
        <v>46203</v>
      </c>
      <c r="H244" s="105">
        <f>VLOOKUP( $A244, Aop!$A$2:$P$453, 4, 0)</f>
        <v>312</v>
      </c>
      <c r="I244" s="55">
        <f t="shared" si="33"/>
        <v>2026</v>
      </c>
      <c r="J244" s="55" t="str">
        <f t="shared" ca="1" si="38"/>
        <v/>
      </c>
      <c r="K244" s="55"/>
      <c r="L244" s="55"/>
      <c r="M244" s="55" t="str">
        <f t="shared" ca="1" si="37"/>
        <v/>
      </c>
      <c r="N244" s="55" t="str">
        <f t="shared" ca="1" si="36"/>
        <v/>
      </c>
    </row>
    <row r="245" spans="1:14" x14ac:dyDescent="0.3">
      <c r="A245" s="105">
        <v>251</v>
      </c>
      <c r="B245" s="105" t="str">
        <f>VLOOKUP( $A245, Aop!$A$2:$P$453, 2, 0)</f>
        <v>BUa</v>
      </c>
      <c r="C245" s="55">
        <v>27</v>
      </c>
      <c r="D245" s="55" t="str">
        <f t="shared" si="31"/>
        <v>01040103</v>
      </c>
      <c r="E245" s="55" t="str">
        <f t="shared" si="32"/>
        <v>4400849160004</v>
      </c>
      <c r="F245" s="55" t="b">
        <f t="shared" si="34"/>
        <v>0</v>
      </c>
      <c r="G245" s="139">
        <f t="shared" si="35"/>
        <v>46203</v>
      </c>
      <c r="H245" s="105">
        <f>VLOOKUP( $A245, Aop!$A$2:$P$453, 4, 0)</f>
        <v>313</v>
      </c>
      <c r="I245" s="55">
        <f t="shared" si="33"/>
        <v>2026</v>
      </c>
      <c r="J245" s="55" t="str">
        <f t="shared" ca="1" si="38"/>
        <v/>
      </c>
      <c r="K245" s="55"/>
      <c r="L245" s="55"/>
      <c r="M245" s="55">
        <f t="shared" ca="1" si="37"/>
        <v>0</v>
      </c>
      <c r="N245" s="55">
        <f t="shared" ca="1" si="36"/>
        <v>0</v>
      </c>
    </row>
    <row r="246" spans="1:14" x14ac:dyDescent="0.3">
      <c r="A246" s="105">
        <v>252</v>
      </c>
      <c r="B246" s="105" t="str">
        <f>VLOOKUP( $A246, Aop!$A$2:$P$453, 2, 0)</f>
        <v>BUa</v>
      </c>
      <c r="C246" s="55">
        <v>27</v>
      </c>
      <c r="D246" s="55" t="str">
        <f t="shared" si="31"/>
        <v>01040103</v>
      </c>
      <c r="E246" s="55" t="str">
        <f t="shared" si="32"/>
        <v>4400849160004</v>
      </c>
      <c r="F246" s="55" t="b">
        <f t="shared" si="34"/>
        <v>0</v>
      </c>
      <c r="G246" s="139">
        <f t="shared" si="35"/>
        <v>46203</v>
      </c>
      <c r="H246" s="105">
        <f>VLOOKUP( $A246, Aop!$A$2:$P$453, 4, 0)</f>
        <v>314</v>
      </c>
      <c r="I246" s="55">
        <f t="shared" si="33"/>
        <v>2026</v>
      </c>
      <c r="J246" s="55" t="str">
        <f t="shared" ca="1" si="38"/>
        <v/>
      </c>
      <c r="K246" s="55"/>
      <c r="L246" s="55"/>
      <c r="M246" s="55" t="str">
        <f t="shared" ca="1" si="37"/>
        <v/>
      </c>
      <c r="N246" s="55" t="str">
        <f t="shared" ca="1" si="36"/>
        <v/>
      </c>
    </row>
    <row r="247" spans="1:14" x14ac:dyDescent="0.3">
      <c r="A247" s="105">
        <v>253</v>
      </c>
      <c r="B247" s="105" t="str">
        <f>VLOOKUP( $A247, Aop!$A$2:$P$453, 2, 0)</f>
        <v>BUa</v>
      </c>
      <c r="C247" s="55">
        <v>27</v>
      </c>
      <c r="D247" s="55" t="str">
        <f t="shared" si="31"/>
        <v>01040103</v>
      </c>
      <c r="E247" s="55" t="str">
        <f t="shared" si="32"/>
        <v>4400849160004</v>
      </c>
      <c r="F247" s="55" t="b">
        <f t="shared" si="34"/>
        <v>0</v>
      </c>
      <c r="G247" s="139">
        <f t="shared" si="35"/>
        <v>46203</v>
      </c>
      <c r="H247" s="105">
        <f>VLOOKUP( $A247, Aop!$A$2:$P$453, 4, 0)</f>
        <v>315</v>
      </c>
      <c r="I247" s="55">
        <f t="shared" si="33"/>
        <v>2026</v>
      </c>
      <c r="J247" s="55" t="str">
        <f t="shared" ca="1" si="38"/>
        <v/>
      </c>
      <c r="K247" s="55"/>
      <c r="L247" s="55"/>
      <c r="M247" s="55" t="str">
        <f t="shared" ca="1" si="37"/>
        <v/>
      </c>
      <c r="N247" s="55" t="str">
        <f t="shared" ca="1" si="36"/>
        <v/>
      </c>
    </row>
    <row r="248" spans="1:14" x14ac:dyDescent="0.3">
      <c r="A248" s="105">
        <v>254</v>
      </c>
      <c r="B248" s="55" t="str">
        <f>VLOOKUP( $A248, Aop!$A$2:$P$453, 2, 0)</f>
        <v>BUa</v>
      </c>
      <c r="C248" s="55">
        <v>27</v>
      </c>
      <c r="D248" s="55" t="str">
        <f>Podatak_MB</f>
        <v>01040103</v>
      </c>
      <c r="E248" s="55" t="str">
        <f>Podatak_JIB</f>
        <v>4400849160004</v>
      </c>
      <c r="F248" s="55" t="b">
        <f>Konsolidovan_izvjestaj</f>
        <v>0</v>
      </c>
      <c r="G248" s="139">
        <f>Datum_Broj</f>
        <v>46203</v>
      </c>
      <c r="H248" s="55">
        <f>VLOOKUP( $A248, Aop!$A$2:$P$453, 4, 0)</f>
        <v>316</v>
      </c>
      <c r="I248" s="55">
        <f>Godina</f>
        <v>2026</v>
      </c>
      <c r="J248" s="55">
        <f t="shared" ca="1" si="38"/>
        <v>29</v>
      </c>
      <c r="K248" s="55"/>
      <c r="L248" s="55"/>
      <c r="M248" s="55">
        <f t="shared" ca="1" si="37"/>
        <v>1067913</v>
      </c>
      <c r="N248" s="55">
        <f t="shared" ca="1" si="36"/>
        <v>1067913</v>
      </c>
    </row>
    <row r="249" spans="1:14" x14ac:dyDescent="0.3">
      <c r="A249" s="105">
        <v>255</v>
      </c>
      <c r="B249" s="105" t="str">
        <f>VLOOKUP( $A249, Aop!$A$2:$P$453, 2, 0)</f>
        <v>BUa</v>
      </c>
      <c r="C249" s="55">
        <v>27</v>
      </c>
      <c r="D249" s="55" t="str">
        <f t="shared" si="31"/>
        <v>01040103</v>
      </c>
      <c r="E249" s="55" t="str">
        <f t="shared" si="32"/>
        <v>4400849160004</v>
      </c>
      <c r="F249" s="55" t="b">
        <f t="shared" si="34"/>
        <v>0</v>
      </c>
      <c r="G249" s="139">
        <f t="shared" si="35"/>
        <v>46203</v>
      </c>
      <c r="H249" s="105">
        <f>VLOOKUP( $A249, Aop!$A$2:$P$453, 4, 0)</f>
        <v>317</v>
      </c>
      <c r="I249" s="55">
        <f t="shared" si="33"/>
        <v>2026</v>
      </c>
      <c r="J249" s="55" t="str">
        <f t="shared" ca="1" si="38"/>
        <v/>
      </c>
      <c r="K249" s="55"/>
      <c r="L249" s="55"/>
      <c r="M249" s="55">
        <f t="shared" ca="1" si="37"/>
        <v>0</v>
      </c>
      <c r="N249" s="55">
        <f t="shared" ca="1" si="36"/>
        <v>0</v>
      </c>
    </row>
    <row r="250" spans="1:14" x14ac:dyDescent="0.3">
      <c r="A250" s="105">
        <v>256</v>
      </c>
      <c r="B250" s="105" t="str">
        <f>VLOOKUP( $A250, Aop!$A$2:$P$453, 2, 0)</f>
        <v>BUa</v>
      </c>
      <c r="C250" s="55">
        <v>27</v>
      </c>
      <c r="D250" s="55" t="str">
        <f t="shared" si="31"/>
        <v>01040103</v>
      </c>
      <c r="E250" s="55" t="str">
        <f t="shared" si="32"/>
        <v>4400849160004</v>
      </c>
      <c r="F250" s="55" t="b">
        <f t="shared" si="34"/>
        <v>0</v>
      </c>
      <c r="G250" s="139">
        <f t="shared" si="35"/>
        <v>46203</v>
      </c>
      <c r="H250" s="105">
        <f>VLOOKUP( $A250, Aop!$A$2:$P$453, 4, 0)</f>
        <v>318</v>
      </c>
      <c r="I250" s="55">
        <f t="shared" si="33"/>
        <v>2026</v>
      </c>
      <c r="J250" s="55" t="str">
        <f t="shared" ca="1" si="38"/>
        <v/>
      </c>
      <c r="K250" s="55"/>
      <c r="L250" s="55"/>
      <c r="M250" s="55" t="str">
        <f t="shared" ca="1" si="37"/>
        <v/>
      </c>
      <c r="N250" s="55" t="str">
        <f t="shared" ca="1" si="36"/>
        <v/>
      </c>
    </row>
    <row r="251" spans="1:14" x14ac:dyDescent="0.3">
      <c r="A251" s="105">
        <v>257</v>
      </c>
      <c r="B251" s="55" t="str">
        <f>VLOOKUP( $A251, Aop!$A$2:$P$453, 2, 0)</f>
        <v>BUa</v>
      </c>
      <c r="C251" s="55">
        <v>27</v>
      </c>
      <c r="D251" s="55" t="str">
        <f>Podatak_MB</f>
        <v>01040103</v>
      </c>
      <c r="E251" s="55" t="str">
        <f>Podatak_JIB</f>
        <v>4400849160004</v>
      </c>
      <c r="F251" s="55" t="b">
        <f>Konsolidovan_izvjestaj</f>
        <v>0</v>
      </c>
      <c r="G251" s="139">
        <f>Datum_Broj</f>
        <v>46203</v>
      </c>
      <c r="H251" s="55">
        <f>VLOOKUP( $A251, Aop!$A$2:$P$453, 4, 0)</f>
        <v>319</v>
      </c>
      <c r="I251" s="55">
        <f>Godina</f>
        <v>2026</v>
      </c>
      <c r="J251" s="55" t="str">
        <f t="shared" ca="1" si="38"/>
        <v/>
      </c>
      <c r="K251" s="55"/>
      <c r="L251" s="55"/>
      <c r="M251" s="55">
        <f t="shared" ca="1" si="37"/>
        <v>544940</v>
      </c>
      <c r="N251" s="55">
        <f t="shared" ca="1" si="36"/>
        <v>544940</v>
      </c>
    </row>
    <row r="252" spans="1:14" x14ac:dyDescent="0.3">
      <c r="A252" s="105">
        <v>258</v>
      </c>
      <c r="B252" s="105" t="str">
        <f>VLOOKUP( $A252, Aop!$A$2:$P$453, 2, 0)</f>
        <v>BUa</v>
      </c>
      <c r="C252" s="55">
        <v>27</v>
      </c>
      <c r="D252" s="55" t="str">
        <f t="shared" si="31"/>
        <v>01040103</v>
      </c>
      <c r="E252" s="55" t="str">
        <f t="shared" si="32"/>
        <v>4400849160004</v>
      </c>
      <c r="F252" s="55" t="b">
        <f t="shared" si="34"/>
        <v>0</v>
      </c>
      <c r="G252" s="139">
        <f t="shared" si="35"/>
        <v>46203</v>
      </c>
      <c r="H252" s="105">
        <f>VLOOKUP( $A252, Aop!$A$2:$P$453, 4, 0)</f>
        <v>320</v>
      </c>
      <c r="I252" s="55">
        <f t="shared" si="33"/>
        <v>2026</v>
      </c>
      <c r="J252" s="55" t="str">
        <f t="shared" ca="1" si="38"/>
        <v/>
      </c>
      <c r="K252" s="55"/>
      <c r="L252" s="55"/>
      <c r="M252" s="55">
        <f t="shared" ca="1" si="37"/>
        <v>522973</v>
      </c>
      <c r="N252" s="55">
        <f t="shared" ca="1" si="36"/>
        <v>522973</v>
      </c>
    </row>
    <row r="253" spans="1:14" x14ac:dyDescent="0.3">
      <c r="A253" s="105">
        <v>259</v>
      </c>
      <c r="B253" s="105" t="str">
        <f>VLOOKUP( $A253, Aop!$A$2:$P$453, 2, 0)</f>
        <v>BUa</v>
      </c>
      <c r="C253" s="55">
        <v>27</v>
      </c>
      <c r="D253" s="55" t="str">
        <f t="shared" ref="D253:D310" si="39">Podatak_MB</f>
        <v>01040103</v>
      </c>
      <c r="E253" s="55" t="str">
        <f t="shared" ref="E253:E310" si="40">Podatak_JIB</f>
        <v>4400849160004</v>
      </c>
      <c r="F253" s="55" t="b">
        <f t="shared" si="34"/>
        <v>0</v>
      </c>
      <c r="G253" s="139">
        <f t="shared" si="35"/>
        <v>46203</v>
      </c>
      <c r="H253" s="105">
        <f>VLOOKUP( $A253, Aop!$A$2:$P$453, 4, 0)</f>
        <v>321</v>
      </c>
      <c r="I253" s="55">
        <f t="shared" ref="I253:I310" si="41">Godina</f>
        <v>2026</v>
      </c>
      <c r="J253" s="55" t="str">
        <f t="shared" ca="1" si="38"/>
        <v/>
      </c>
      <c r="K253" s="55"/>
      <c r="L253" s="55"/>
      <c r="M253" s="55">
        <f t="shared" ca="1" si="37"/>
        <v>0.11119999999999999</v>
      </c>
      <c r="N253" s="55">
        <f t="shared" ca="1" si="36"/>
        <v>0.11119999999999999</v>
      </c>
    </row>
    <row r="254" spans="1:14" x14ac:dyDescent="0.3">
      <c r="A254" s="105">
        <v>260</v>
      </c>
      <c r="B254" s="105" t="str">
        <f>VLOOKUP( $A254, Aop!$A$2:$P$453, 2, 0)</f>
        <v>BUa</v>
      </c>
      <c r="C254" s="55">
        <v>27</v>
      </c>
      <c r="D254" s="55" t="str">
        <f t="shared" si="39"/>
        <v>01040103</v>
      </c>
      <c r="E254" s="55" t="str">
        <f t="shared" si="40"/>
        <v>4400849160004</v>
      </c>
      <c r="F254" s="55" t="b">
        <f t="shared" ref="F254:F311" si="42">Konsolidovan_izvjestaj</f>
        <v>0</v>
      </c>
      <c r="G254" s="139">
        <f t="shared" ref="G254:G311" si="43">Datum_Broj</f>
        <v>46203</v>
      </c>
      <c r="H254" s="105">
        <f>VLOOKUP( $A254, Aop!$A$2:$P$453, 4, 0)</f>
        <v>322</v>
      </c>
      <c r="I254" s="55">
        <f t="shared" si="41"/>
        <v>2026</v>
      </c>
      <c r="J254" s="55" t="str">
        <f t="shared" ca="1" si="38"/>
        <v/>
      </c>
      <c r="K254" s="55"/>
      <c r="L254" s="55"/>
      <c r="M254" s="55" t="str">
        <f t="shared" ca="1" si="37"/>
        <v/>
      </c>
      <c r="N254" s="55" t="str">
        <f t="shared" ca="1" si="36"/>
        <v/>
      </c>
    </row>
    <row r="255" spans="1:14" x14ac:dyDescent="0.3">
      <c r="A255" s="105">
        <v>261</v>
      </c>
      <c r="B255" s="105" t="str">
        <f>VLOOKUP( $A255, Aop!$A$2:$P$453, 2, 0)</f>
        <v>BUa</v>
      </c>
      <c r="C255" s="55">
        <v>27</v>
      </c>
      <c r="D255" s="55" t="str">
        <f t="shared" si="39"/>
        <v>01040103</v>
      </c>
      <c r="E255" s="55" t="str">
        <f t="shared" si="40"/>
        <v>4400849160004</v>
      </c>
      <c r="F255" s="55" t="b">
        <f t="shared" si="42"/>
        <v>0</v>
      </c>
      <c r="G255" s="139">
        <f t="shared" si="43"/>
        <v>46203</v>
      </c>
      <c r="H255" s="105">
        <f>VLOOKUP( $A255, Aop!$A$2:$P$453, 4, 0)</f>
        <v>323</v>
      </c>
      <c r="I255" s="55">
        <f t="shared" si="41"/>
        <v>2026</v>
      </c>
      <c r="J255" s="55" t="str">
        <f t="shared" ca="1" si="38"/>
        <v/>
      </c>
      <c r="K255" s="55"/>
      <c r="L255" s="55"/>
      <c r="M255" s="55">
        <f t="shared" ca="1" si="37"/>
        <v>208.03</v>
      </c>
      <c r="N255" s="55">
        <f t="shared" ca="1" si="36"/>
        <v>208.03</v>
      </c>
    </row>
    <row r="256" spans="1:14" x14ac:dyDescent="0.3">
      <c r="A256" s="105">
        <v>262</v>
      </c>
      <c r="B256" s="105" t="str">
        <f>VLOOKUP( $A256, Aop!$A$2:$P$453, 2, 0)</f>
        <v>BUa</v>
      </c>
      <c r="C256" s="55">
        <v>27</v>
      </c>
      <c r="D256" s="55" t="str">
        <f t="shared" si="39"/>
        <v>01040103</v>
      </c>
      <c r="E256" s="55" t="str">
        <f t="shared" si="40"/>
        <v>4400849160004</v>
      </c>
      <c r="F256" s="55" t="b">
        <f t="shared" si="42"/>
        <v>0</v>
      </c>
      <c r="G256" s="139">
        <f t="shared" si="43"/>
        <v>46203</v>
      </c>
      <c r="H256" s="105">
        <f>VLOOKUP( $A256, Aop!$A$2:$P$453, 4, 0)</f>
        <v>324</v>
      </c>
      <c r="I256" s="55">
        <f t="shared" si="41"/>
        <v>2026</v>
      </c>
      <c r="J256" s="55" t="str">
        <f t="shared" ca="1" si="38"/>
        <v/>
      </c>
      <c r="K256" s="55"/>
      <c r="L256" s="55"/>
      <c r="M256" s="55">
        <f t="shared" ca="1" si="37"/>
        <v>211.33</v>
      </c>
      <c r="N256" s="55">
        <f t="shared" ca="1" si="36"/>
        <v>211.33</v>
      </c>
    </row>
    <row r="257" spans="1:14" x14ac:dyDescent="0.3">
      <c r="A257" s="105">
        <v>263</v>
      </c>
      <c r="B257" s="105" t="str">
        <f>VLOOKUP( $A257, Aop!$A$2:$P$453, 2, 0)</f>
        <v>BUb</v>
      </c>
      <c r="C257" s="55">
        <v>27</v>
      </c>
      <c r="D257" s="55" t="str">
        <f t="shared" si="39"/>
        <v>01040103</v>
      </c>
      <c r="E257" s="55" t="str">
        <f t="shared" si="40"/>
        <v>4400849160004</v>
      </c>
      <c r="F257" s="55" t="b">
        <f t="shared" si="42"/>
        <v>0</v>
      </c>
      <c r="G257" s="139">
        <f t="shared" si="43"/>
        <v>46203</v>
      </c>
      <c r="H257" s="105">
        <f>VLOOKUP( $A257, Aop!$A$2:$P$453, 4, 0)</f>
        <v>400</v>
      </c>
      <c r="I257" s="55">
        <f t="shared" si="41"/>
        <v>2026</v>
      </c>
      <c r="J257" s="55" t="str">
        <f t="shared" ca="1" si="38"/>
        <v/>
      </c>
      <c r="K257" s="55"/>
      <c r="L257" s="55"/>
      <c r="M257" s="55">
        <f t="shared" ca="1" si="37"/>
        <v>1067913</v>
      </c>
      <c r="N257" s="55">
        <f t="shared" ca="1" si="36"/>
        <v>1067913</v>
      </c>
    </row>
    <row r="258" spans="1:14" x14ac:dyDescent="0.3">
      <c r="A258" s="105">
        <v>264</v>
      </c>
      <c r="B258" s="105" t="str">
        <f>VLOOKUP( $A258, Aop!$A$2:$P$453, 2, 0)</f>
        <v>BUb</v>
      </c>
      <c r="C258" s="55">
        <v>27</v>
      </c>
      <c r="D258" s="55" t="str">
        <f t="shared" si="39"/>
        <v>01040103</v>
      </c>
      <c r="E258" s="55" t="str">
        <f t="shared" si="40"/>
        <v>4400849160004</v>
      </c>
      <c r="F258" s="55" t="b">
        <f t="shared" si="42"/>
        <v>0</v>
      </c>
      <c r="G258" s="139">
        <f t="shared" si="43"/>
        <v>46203</v>
      </c>
      <c r="H258" s="105">
        <f>VLOOKUP( $A258, Aop!$A$2:$P$453, 4, 0)</f>
        <v>401</v>
      </c>
      <c r="I258" s="55">
        <f t="shared" si="41"/>
        <v>2026</v>
      </c>
      <c r="J258" s="55" t="str">
        <f t="shared" ca="1" si="38"/>
        <v/>
      </c>
      <c r="K258" s="55"/>
      <c r="L258" s="55"/>
      <c r="M258" s="55">
        <f t="shared" ca="1" si="37"/>
        <v>0</v>
      </c>
      <c r="N258" s="55">
        <f t="shared" ref="N258:N321" ca="1" si="44">IF( VLOOKUP( $H258, INDIRECT( "Lookup_" &amp; $B258), IF( LEFT( $B258, 2) = "BS", S$2, S$1), 0) = "", "", VLOOKUP( $H258, INDIRECT( "Lookup_" &amp; $B258), IF( LEFT( $B258, 2) = "BS", S$2, S$1), 0))</f>
        <v>0</v>
      </c>
    </row>
    <row r="259" spans="1:14" x14ac:dyDescent="0.3">
      <c r="A259" s="105">
        <v>265</v>
      </c>
      <c r="B259" s="105" t="str">
        <f>VLOOKUP( $A259, Aop!$A$2:$P$453, 2, 0)</f>
        <v>BUb</v>
      </c>
      <c r="C259" s="55">
        <v>27</v>
      </c>
      <c r="D259" s="55" t="str">
        <f t="shared" si="39"/>
        <v>01040103</v>
      </c>
      <c r="E259" s="55" t="str">
        <f t="shared" si="40"/>
        <v>4400849160004</v>
      </c>
      <c r="F259" s="55" t="b">
        <f t="shared" si="42"/>
        <v>0</v>
      </c>
      <c r="G259" s="139">
        <f t="shared" si="43"/>
        <v>46203</v>
      </c>
      <c r="H259" s="105">
        <f>VLOOKUP( $A259, Aop!$A$2:$P$453, 4, 0)</f>
        <v>402</v>
      </c>
      <c r="I259" s="55">
        <f t="shared" si="41"/>
        <v>2026</v>
      </c>
      <c r="J259" s="55" t="str">
        <f t="shared" ca="1" si="38"/>
        <v/>
      </c>
      <c r="K259" s="55"/>
      <c r="L259" s="55"/>
      <c r="M259" s="55" t="str">
        <f t="shared" ca="1" si="37"/>
        <v/>
      </c>
      <c r="N259" s="55" t="str">
        <f t="shared" ca="1" si="44"/>
        <v/>
      </c>
    </row>
    <row r="260" spans="1:14" x14ac:dyDescent="0.3">
      <c r="A260" s="105">
        <v>266</v>
      </c>
      <c r="B260" s="105" t="str">
        <f>VLOOKUP( $A260, Aop!$A$2:$P$453, 2, 0)</f>
        <v>BUb</v>
      </c>
      <c r="C260" s="55">
        <v>27</v>
      </c>
      <c r="D260" s="55" t="str">
        <f t="shared" si="39"/>
        <v>01040103</v>
      </c>
      <c r="E260" s="55" t="str">
        <f t="shared" si="40"/>
        <v>4400849160004</v>
      </c>
      <c r="F260" s="55" t="b">
        <f t="shared" si="42"/>
        <v>0</v>
      </c>
      <c r="G260" s="139">
        <f t="shared" si="43"/>
        <v>46203</v>
      </c>
      <c r="H260" s="105">
        <f>VLOOKUP( $A260, Aop!$A$2:$P$453, 4, 0)</f>
        <v>403</v>
      </c>
      <c r="I260" s="55">
        <f t="shared" si="41"/>
        <v>2026</v>
      </c>
      <c r="J260" s="55" t="str">
        <f t="shared" ca="1" si="38"/>
        <v/>
      </c>
      <c r="K260" s="55"/>
      <c r="L260" s="55"/>
      <c r="M260" s="55" t="str">
        <f t="shared" ca="1" si="37"/>
        <v/>
      </c>
      <c r="N260" s="55" t="str">
        <f t="shared" ca="1" si="44"/>
        <v/>
      </c>
    </row>
    <row r="261" spans="1:14" x14ac:dyDescent="0.3">
      <c r="A261" s="105">
        <v>267</v>
      </c>
      <c r="B261" s="105" t="str">
        <f>VLOOKUP( $A261, Aop!$A$2:$P$453, 2, 0)</f>
        <v>BUb</v>
      </c>
      <c r="C261" s="55">
        <v>27</v>
      </c>
      <c r="D261" s="55" t="str">
        <f t="shared" si="39"/>
        <v>01040103</v>
      </c>
      <c r="E261" s="55" t="str">
        <f t="shared" si="40"/>
        <v>4400849160004</v>
      </c>
      <c r="F261" s="55" t="b">
        <f t="shared" si="42"/>
        <v>0</v>
      </c>
      <c r="G261" s="139">
        <f t="shared" si="43"/>
        <v>46203</v>
      </c>
      <c r="H261" s="105">
        <f>VLOOKUP( $A261, Aop!$A$2:$P$453, 4, 0)</f>
        <v>404</v>
      </c>
      <c r="I261" s="55">
        <f t="shared" si="41"/>
        <v>2026</v>
      </c>
      <c r="J261" s="55" t="str">
        <f t="shared" ca="1" si="38"/>
        <v/>
      </c>
      <c r="K261" s="55"/>
      <c r="L261" s="55"/>
      <c r="M261" s="55" t="str">
        <f t="shared" ca="1" si="37"/>
        <v/>
      </c>
      <c r="N261" s="55" t="str">
        <f t="shared" ca="1" si="44"/>
        <v/>
      </c>
    </row>
    <row r="262" spans="1:14" x14ac:dyDescent="0.3">
      <c r="A262" s="105">
        <v>269</v>
      </c>
      <c r="B262" s="105" t="str">
        <f>VLOOKUP( $A262, Aop!$A$2:$P$453, 2, 0)</f>
        <v>BUb</v>
      </c>
      <c r="C262" s="55">
        <v>27</v>
      </c>
      <c r="D262" s="55" t="str">
        <f t="shared" si="39"/>
        <v>01040103</v>
      </c>
      <c r="E262" s="55" t="str">
        <f t="shared" si="40"/>
        <v>4400849160004</v>
      </c>
      <c r="F262" s="55" t="b">
        <f t="shared" si="42"/>
        <v>0</v>
      </c>
      <c r="G262" s="139">
        <f t="shared" si="43"/>
        <v>46203</v>
      </c>
      <c r="H262" s="105">
        <f>VLOOKUP( $A262, Aop!$A$2:$P$453, 4, 0)</f>
        <v>406</v>
      </c>
      <c r="I262" s="55">
        <f t="shared" si="41"/>
        <v>2026</v>
      </c>
      <c r="J262" s="55" t="str">
        <f t="shared" ca="1" si="38"/>
        <v/>
      </c>
      <c r="K262" s="55"/>
      <c r="L262" s="55"/>
      <c r="M262" s="55" t="str">
        <f t="shared" ref="M262:M271" ca="1" si="45">IF( VLOOKUP( $H262, INDIRECT( "Lookup_" &amp; $B262), IF( LEFT( $B262, 2) = "BS", S$2, S$1), 0) = "", "", VLOOKUP( $H262, INDIRECT( "Lookup_" &amp; $B262), IF( LEFT( $B262, 2) = "BS", S$2, S$1), 0))</f>
        <v/>
      </c>
      <c r="N262" s="55" t="str">
        <f t="shared" ca="1" si="44"/>
        <v/>
      </c>
    </row>
    <row r="263" spans="1:14" x14ac:dyDescent="0.3">
      <c r="A263" s="105">
        <v>270</v>
      </c>
      <c r="B263" s="105" t="str">
        <f>VLOOKUP( $A263, Aop!$A$2:$P$453, 2, 0)</f>
        <v>BUb</v>
      </c>
      <c r="C263" s="55">
        <v>27</v>
      </c>
      <c r="D263" s="55" t="str">
        <f t="shared" si="39"/>
        <v>01040103</v>
      </c>
      <c r="E263" s="55" t="str">
        <f t="shared" si="40"/>
        <v>4400849160004</v>
      </c>
      <c r="F263" s="55" t="b">
        <f t="shared" si="42"/>
        <v>0</v>
      </c>
      <c r="G263" s="139">
        <f t="shared" si="43"/>
        <v>46203</v>
      </c>
      <c r="H263" s="105">
        <f>VLOOKUP( $A263, Aop!$A$2:$P$453, 4, 0)</f>
        <v>407</v>
      </c>
      <c r="I263" s="55">
        <f t="shared" si="41"/>
        <v>2026</v>
      </c>
      <c r="J263" s="55" t="str">
        <f t="shared" ca="1" si="38"/>
        <v/>
      </c>
      <c r="K263" s="55"/>
      <c r="L263" s="55"/>
      <c r="M263" s="55" t="str">
        <f t="shared" ca="1" si="45"/>
        <v/>
      </c>
      <c r="N263" s="55" t="str">
        <f t="shared" ca="1" si="44"/>
        <v/>
      </c>
    </row>
    <row r="264" spans="1:14" x14ac:dyDescent="0.3">
      <c r="A264" s="105">
        <v>272</v>
      </c>
      <c r="B264" s="105" t="str">
        <f>VLOOKUP( $A264, Aop!$A$2:$P$453, 2, 0)</f>
        <v>BUb</v>
      </c>
      <c r="C264" s="55">
        <v>27</v>
      </c>
      <c r="D264" s="55" t="str">
        <f t="shared" si="39"/>
        <v>01040103</v>
      </c>
      <c r="E264" s="55" t="str">
        <f t="shared" si="40"/>
        <v>4400849160004</v>
      </c>
      <c r="F264" s="55" t="b">
        <f t="shared" si="42"/>
        <v>0</v>
      </c>
      <c r="G264" s="139">
        <f t="shared" si="43"/>
        <v>46203</v>
      </c>
      <c r="H264" s="105">
        <f>VLOOKUP( $A264, Aop!$A$2:$P$453, 4, 0)</f>
        <v>409</v>
      </c>
      <c r="I264" s="55">
        <f t="shared" si="41"/>
        <v>2026</v>
      </c>
      <c r="J264" s="55" t="str">
        <f t="shared" ca="1" si="38"/>
        <v/>
      </c>
      <c r="K264" s="55"/>
      <c r="L264" s="55"/>
      <c r="M264" s="55" t="str">
        <f t="shared" ca="1" si="45"/>
        <v/>
      </c>
      <c r="N264" s="55" t="str">
        <f t="shared" ca="1" si="44"/>
        <v/>
      </c>
    </row>
    <row r="265" spans="1:14" x14ac:dyDescent="0.3">
      <c r="A265" s="105">
        <v>273</v>
      </c>
      <c r="B265" s="105" t="str">
        <f>VLOOKUP( $A265, Aop!$A$2:$P$453, 2, 0)</f>
        <v>BUb</v>
      </c>
      <c r="C265" s="55">
        <v>27</v>
      </c>
      <c r="D265" s="55" t="str">
        <f t="shared" si="39"/>
        <v>01040103</v>
      </c>
      <c r="E265" s="55" t="str">
        <f t="shared" si="40"/>
        <v>4400849160004</v>
      </c>
      <c r="F265" s="55" t="b">
        <f t="shared" si="42"/>
        <v>0</v>
      </c>
      <c r="G265" s="139">
        <f t="shared" si="43"/>
        <v>46203</v>
      </c>
      <c r="H265" s="105">
        <f>VLOOKUP( $A265, Aop!$A$2:$P$453, 4, 0)</f>
        <v>410</v>
      </c>
      <c r="I265" s="55">
        <f t="shared" si="41"/>
        <v>2026</v>
      </c>
      <c r="J265" s="55" t="str">
        <f t="shared" ca="1" si="38"/>
        <v/>
      </c>
      <c r="K265" s="55"/>
      <c r="L265" s="55"/>
      <c r="M265" s="55" t="str">
        <f t="shared" ca="1" si="45"/>
        <v/>
      </c>
      <c r="N265" s="55" t="str">
        <f t="shared" ca="1" si="44"/>
        <v/>
      </c>
    </row>
    <row r="266" spans="1:14" x14ac:dyDescent="0.3">
      <c r="A266" s="105">
        <v>274</v>
      </c>
      <c r="B266" s="105" t="str">
        <f>VLOOKUP( $A266, Aop!$A$2:$P$453, 2, 0)</f>
        <v>BUb</v>
      </c>
      <c r="C266" s="55">
        <v>27</v>
      </c>
      <c r="D266" s="55" t="str">
        <f t="shared" si="39"/>
        <v>01040103</v>
      </c>
      <c r="E266" s="55" t="str">
        <f t="shared" si="40"/>
        <v>4400849160004</v>
      </c>
      <c r="F266" s="55" t="b">
        <f t="shared" si="42"/>
        <v>0</v>
      </c>
      <c r="G266" s="139">
        <f t="shared" si="43"/>
        <v>46203</v>
      </c>
      <c r="H266" s="105">
        <f>VLOOKUP( $A266, Aop!$A$2:$P$453, 4, 0)</f>
        <v>411</v>
      </c>
      <c r="I266" s="55">
        <f t="shared" si="41"/>
        <v>2026</v>
      </c>
      <c r="J266" s="55" t="str">
        <f t="shared" ca="1" si="38"/>
        <v/>
      </c>
      <c r="K266" s="55"/>
      <c r="L266" s="55"/>
      <c r="M266" s="55" t="str">
        <f t="shared" ca="1" si="45"/>
        <v/>
      </c>
      <c r="N266" s="55" t="str">
        <f t="shared" ca="1" si="44"/>
        <v/>
      </c>
    </row>
    <row r="267" spans="1:14" x14ac:dyDescent="0.3">
      <c r="A267" s="105">
        <v>275</v>
      </c>
      <c r="B267" s="105" t="str">
        <f>VLOOKUP( $A267, Aop!$A$2:$P$453, 2, 0)</f>
        <v>BUb</v>
      </c>
      <c r="C267" s="55">
        <v>27</v>
      </c>
      <c r="D267" s="55" t="str">
        <f t="shared" si="39"/>
        <v>01040103</v>
      </c>
      <c r="E267" s="55" t="str">
        <f t="shared" si="40"/>
        <v>4400849160004</v>
      </c>
      <c r="F267" s="55" t="b">
        <f t="shared" si="42"/>
        <v>0</v>
      </c>
      <c r="G267" s="139">
        <f t="shared" si="43"/>
        <v>46203</v>
      </c>
      <c r="H267" s="105">
        <f>VLOOKUP( $A267, Aop!$A$2:$P$453, 4, 0)</f>
        <v>412</v>
      </c>
      <c r="I267" s="55">
        <f t="shared" si="41"/>
        <v>2026</v>
      </c>
      <c r="J267" s="55" t="str">
        <f t="shared" ca="1" si="38"/>
        <v/>
      </c>
      <c r="K267" s="55"/>
      <c r="L267" s="55"/>
      <c r="M267" s="55" t="str">
        <f t="shared" ca="1" si="45"/>
        <v/>
      </c>
      <c r="N267" s="55" t="str">
        <f t="shared" ca="1" si="44"/>
        <v/>
      </c>
    </row>
    <row r="268" spans="1:14" x14ac:dyDescent="0.3">
      <c r="A268" s="105">
        <v>276</v>
      </c>
      <c r="B268" s="105" t="str">
        <f>VLOOKUP( $A268, Aop!$A$2:$P$453, 2, 0)</f>
        <v>BUb</v>
      </c>
      <c r="C268" s="55">
        <v>27</v>
      </c>
      <c r="D268" s="55" t="str">
        <f t="shared" si="39"/>
        <v>01040103</v>
      </c>
      <c r="E268" s="55" t="str">
        <f t="shared" si="40"/>
        <v>4400849160004</v>
      </c>
      <c r="F268" s="55" t="b">
        <f t="shared" si="42"/>
        <v>0</v>
      </c>
      <c r="G268" s="139">
        <f t="shared" si="43"/>
        <v>46203</v>
      </c>
      <c r="H268" s="105">
        <f>VLOOKUP( $A268, Aop!$A$2:$P$453, 4, 0)</f>
        <v>413</v>
      </c>
      <c r="I268" s="55">
        <f t="shared" si="41"/>
        <v>2026</v>
      </c>
      <c r="J268" s="55" t="str">
        <f t="shared" ref="J268:J331" ca="1" si="46">IF( VLOOKUP( $H268, INDIRECT( "Lookup_" &amp; $B268), IF( LEFT( $B268, 2) = "BS", R$2, R$1), 0) = "", "", VLOOKUP( $H268, INDIRECT( "Lookup_" &amp; $B268), IF( $B268 = "BSp", R$2, R$1), 0))</f>
        <v/>
      </c>
      <c r="K268" s="55"/>
      <c r="L268" s="55"/>
      <c r="M268" s="55" t="str">
        <f t="shared" ca="1" si="45"/>
        <v/>
      </c>
      <c r="N268" s="55" t="str">
        <f t="shared" ca="1" si="44"/>
        <v/>
      </c>
    </row>
    <row r="269" spans="1:14" x14ac:dyDescent="0.3">
      <c r="A269" s="105">
        <v>277</v>
      </c>
      <c r="B269" s="105" t="str">
        <f>VLOOKUP( $A269, Aop!$A$2:$P$453, 2, 0)</f>
        <v>BUb</v>
      </c>
      <c r="C269" s="55">
        <v>27</v>
      </c>
      <c r="D269" s="55" t="str">
        <f t="shared" si="39"/>
        <v>01040103</v>
      </c>
      <c r="E269" s="55" t="str">
        <f t="shared" si="40"/>
        <v>4400849160004</v>
      </c>
      <c r="F269" s="55" t="b">
        <f t="shared" si="42"/>
        <v>0</v>
      </c>
      <c r="G269" s="139">
        <f t="shared" si="43"/>
        <v>46203</v>
      </c>
      <c r="H269" s="105">
        <f>VLOOKUP( $A269, Aop!$A$2:$P$453, 4, 0)</f>
        <v>414</v>
      </c>
      <c r="I269" s="55">
        <f t="shared" si="41"/>
        <v>2026</v>
      </c>
      <c r="J269" s="55" t="str">
        <f t="shared" ca="1" si="46"/>
        <v/>
      </c>
      <c r="K269" s="55"/>
      <c r="L269" s="55"/>
      <c r="M269" s="55" t="str">
        <f t="shared" ca="1" si="45"/>
        <v/>
      </c>
      <c r="N269" s="55" t="str">
        <f t="shared" ca="1" si="44"/>
        <v/>
      </c>
    </row>
    <row r="270" spans="1:14" x14ac:dyDescent="0.3">
      <c r="A270" s="105">
        <v>278</v>
      </c>
      <c r="B270" s="105" t="str">
        <f>VLOOKUP( $A270, Aop!$A$2:$P$453, 2, 0)</f>
        <v>BUb</v>
      </c>
      <c r="C270" s="55">
        <v>27</v>
      </c>
      <c r="D270" s="55" t="str">
        <f t="shared" si="39"/>
        <v>01040103</v>
      </c>
      <c r="E270" s="55" t="str">
        <f t="shared" si="40"/>
        <v>4400849160004</v>
      </c>
      <c r="F270" s="55" t="b">
        <f t="shared" si="42"/>
        <v>0</v>
      </c>
      <c r="G270" s="139">
        <f t="shared" si="43"/>
        <v>46203</v>
      </c>
      <c r="H270" s="105">
        <f>VLOOKUP( $A270, Aop!$A$2:$P$453, 4, 0)</f>
        <v>415</v>
      </c>
      <c r="I270" s="55">
        <f t="shared" si="41"/>
        <v>2026</v>
      </c>
      <c r="J270" s="55" t="str">
        <f t="shared" ca="1" si="46"/>
        <v/>
      </c>
      <c r="K270" s="55"/>
      <c r="L270" s="55"/>
      <c r="M270" s="55">
        <f t="shared" ca="1" si="45"/>
        <v>0</v>
      </c>
      <c r="N270" s="55">
        <f t="shared" ca="1" si="44"/>
        <v>0</v>
      </c>
    </row>
    <row r="271" spans="1:14" x14ac:dyDescent="0.3">
      <c r="A271" s="105">
        <v>279</v>
      </c>
      <c r="B271" s="105" t="str">
        <f>VLOOKUP( $A271, Aop!$A$2:$P$453, 2, 0)</f>
        <v>BUb</v>
      </c>
      <c r="C271" s="55">
        <v>27</v>
      </c>
      <c r="D271" s="55" t="str">
        <f t="shared" si="39"/>
        <v>01040103</v>
      </c>
      <c r="E271" s="55" t="str">
        <f t="shared" si="40"/>
        <v>4400849160004</v>
      </c>
      <c r="F271" s="55" t="b">
        <f t="shared" si="42"/>
        <v>0</v>
      </c>
      <c r="G271" s="139">
        <f t="shared" si="43"/>
        <v>46203</v>
      </c>
      <c r="H271" s="105">
        <f>VLOOKUP( $A271, Aop!$A$2:$P$453, 4, 0)</f>
        <v>0</v>
      </c>
      <c r="I271" s="55">
        <f t="shared" si="41"/>
        <v>2026</v>
      </c>
      <c r="J271" s="55" t="str">
        <f t="shared" ca="1" si="46"/>
        <v/>
      </c>
      <c r="K271" s="55"/>
      <c r="L271" s="55"/>
      <c r="M271" s="55" t="str">
        <f t="shared" ca="1" si="45"/>
        <v/>
      </c>
      <c r="N271" s="55" t="str">
        <f t="shared" ca="1" si="44"/>
        <v/>
      </c>
    </row>
    <row r="272" spans="1:14" x14ac:dyDescent="0.3">
      <c r="A272" s="105">
        <v>280</v>
      </c>
      <c r="B272" s="105" t="str">
        <f>VLOOKUP( $A272, Aop!$A$2:$P$453, 2, 0)</f>
        <v>BUb</v>
      </c>
      <c r="C272" s="55">
        <v>27</v>
      </c>
      <c r="D272" s="55" t="str">
        <f t="shared" si="39"/>
        <v>01040103</v>
      </c>
      <c r="E272" s="55" t="str">
        <f t="shared" si="40"/>
        <v>4400849160004</v>
      </c>
      <c r="F272" s="55" t="b">
        <f t="shared" si="42"/>
        <v>0</v>
      </c>
      <c r="G272" s="139">
        <f t="shared" si="43"/>
        <v>46203</v>
      </c>
      <c r="H272" s="105">
        <f>VLOOKUP( $A272, Aop!$A$2:$P$453, 4, 0)</f>
        <v>416</v>
      </c>
      <c r="I272" s="55">
        <f t="shared" si="41"/>
        <v>2026</v>
      </c>
      <c r="J272" s="55" t="str">
        <f t="shared" ca="1" si="46"/>
        <v/>
      </c>
      <c r="K272" s="55"/>
      <c r="L272" s="55"/>
      <c r="M272" s="55">
        <f ca="1">IF( VLOOKUP( $H272, INDIRECT( "Lookup_" &amp; $B272), IF( LEFT( $B272, 2) = "BS", S$2, S$1), 0) = "", "", VLOOKUP( $H272, INDIRECT( "Lookup_" &amp; $B272), IF( LEFT( $B272, 2) = "BS", S$2, S$1), 0))</f>
        <v>1067913</v>
      </c>
      <c r="N272" s="55">
        <f t="shared" ca="1" si="44"/>
        <v>1067913</v>
      </c>
    </row>
    <row r="273" spans="1:14" x14ac:dyDescent="0.3">
      <c r="A273" s="105">
        <v>281</v>
      </c>
      <c r="B273" s="105" t="str">
        <f>VLOOKUP( $A273, Aop!$A$2:$P$453, 2, 0)</f>
        <v>BUb</v>
      </c>
      <c r="C273" s="55">
        <v>27</v>
      </c>
      <c r="D273" s="55" t="str">
        <f t="shared" si="39"/>
        <v>01040103</v>
      </c>
      <c r="E273" s="55" t="str">
        <f t="shared" si="40"/>
        <v>4400849160004</v>
      </c>
      <c r="F273" s="55" t="b">
        <f t="shared" si="42"/>
        <v>0</v>
      </c>
      <c r="G273" s="139">
        <f t="shared" si="43"/>
        <v>46203</v>
      </c>
      <c r="H273" s="105">
        <f>VLOOKUP( $A273, Aop!$A$2:$P$453, 4, 0)</f>
        <v>0</v>
      </c>
      <c r="I273" s="55">
        <f t="shared" si="41"/>
        <v>2026</v>
      </c>
      <c r="J273" s="55" t="str">
        <f t="shared" ca="1" si="46"/>
        <v/>
      </c>
      <c r="K273" s="55"/>
      <c r="L273" s="55"/>
      <c r="M273" s="55" t="str">
        <f t="shared" ref="M273:M336" ca="1" si="47">IF( VLOOKUP( $H273, INDIRECT( "Lookup_" &amp; $B273), IF( LEFT( $B273, 2) = "BS", S$2, S$1), 0) = "", "", VLOOKUP( $H273, INDIRECT( "Lookup_" &amp; $B273), IF( LEFT( $B273, 2) = "BS", S$2, S$1), 0))</f>
        <v/>
      </c>
      <c r="N273" s="55" t="str">
        <f t="shared" ca="1" si="44"/>
        <v/>
      </c>
    </row>
    <row r="274" spans="1:14" x14ac:dyDescent="0.3">
      <c r="A274" s="105">
        <v>282</v>
      </c>
      <c r="B274" s="55" t="str">
        <f>VLOOKUP( $A274, Aop!$A$2:$P$453, 2, 0)</f>
        <v>BUb</v>
      </c>
      <c r="C274" s="55">
        <v>27</v>
      </c>
      <c r="D274" s="55" t="str">
        <f>Podatak_MB</f>
        <v>01040103</v>
      </c>
      <c r="E274" s="55" t="str">
        <f>Podatak_JIB</f>
        <v>4400849160004</v>
      </c>
      <c r="F274" s="55" t="b">
        <f>Konsolidovan_izvjestaj</f>
        <v>0</v>
      </c>
      <c r="G274" s="139">
        <f>Datum_Broj</f>
        <v>46203</v>
      </c>
      <c r="H274" s="55">
        <f>VLOOKUP( $A274, Aop!$A$2:$P$453, 4, 0)</f>
        <v>417</v>
      </c>
      <c r="I274" s="55">
        <f>Godina</f>
        <v>2026</v>
      </c>
      <c r="J274" s="55" t="str">
        <f t="shared" ca="1" si="46"/>
        <v/>
      </c>
      <c r="K274" s="55"/>
      <c r="L274" s="55"/>
      <c r="M274" s="55" t="str">
        <f t="shared" ca="1" si="47"/>
        <v/>
      </c>
      <c r="N274" s="55" t="str">
        <f t="shared" ca="1" si="44"/>
        <v/>
      </c>
    </row>
    <row r="275" spans="1:14" x14ac:dyDescent="0.3">
      <c r="A275" s="105">
        <v>283</v>
      </c>
      <c r="B275" s="105" t="str">
        <f>VLOOKUP( $A275, Aop!$A$2:$P$453, 2, 0)</f>
        <v>BUb</v>
      </c>
      <c r="C275" s="55">
        <v>27</v>
      </c>
      <c r="D275" s="55" t="str">
        <f t="shared" si="39"/>
        <v>01040103</v>
      </c>
      <c r="E275" s="55" t="str">
        <f t="shared" si="40"/>
        <v>4400849160004</v>
      </c>
      <c r="F275" s="55" t="b">
        <f t="shared" si="42"/>
        <v>0</v>
      </c>
      <c r="G275" s="139">
        <f t="shared" si="43"/>
        <v>46203</v>
      </c>
      <c r="H275" s="105">
        <f>VLOOKUP( $A275, Aop!$A$2:$P$453, 4, 0)</f>
        <v>418</v>
      </c>
      <c r="I275" s="55">
        <f t="shared" si="41"/>
        <v>2026</v>
      </c>
      <c r="J275" s="55" t="str">
        <f t="shared" ca="1" si="46"/>
        <v/>
      </c>
      <c r="K275" s="55"/>
      <c r="L275" s="55"/>
      <c r="M275" s="55" t="str">
        <f t="shared" ca="1" si="47"/>
        <v/>
      </c>
      <c r="N275" s="55" t="str">
        <f t="shared" ca="1" si="44"/>
        <v/>
      </c>
    </row>
    <row r="276" spans="1:14" x14ac:dyDescent="0.3">
      <c r="A276" s="105">
        <v>285</v>
      </c>
      <c r="B276" s="105" t="str">
        <f>VLOOKUP( $A276, Aop!$A$2:$P$453, 2, 0)</f>
        <v>BTG</v>
      </c>
      <c r="C276" s="55">
        <v>29</v>
      </c>
      <c r="D276" s="55" t="str">
        <f t="shared" si="39"/>
        <v>01040103</v>
      </c>
      <c r="E276" s="55" t="str">
        <f t="shared" si="40"/>
        <v>4400849160004</v>
      </c>
      <c r="F276" s="55" t="b">
        <f t="shared" si="42"/>
        <v>0</v>
      </c>
      <c r="G276" s="139">
        <f t="shared" si="43"/>
        <v>46203</v>
      </c>
      <c r="H276" s="105">
        <f>VLOOKUP( $A276, Aop!$A$2:$P$453, 4, 0)</f>
        <v>502</v>
      </c>
      <c r="I276" s="55">
        <f t="shared" si="41"/>
        <v>2026</v>
      </c>
      <c r="J276" s="55" t="str">
        <f t="shared" ca="1" si="46"/>
        <v/>
      </c>
      <c r="K276" s="55"/>
      <c r="L276" s="55"/>
      <c r="M276" s="55">
        <f t="shared" ca="1" si="47"/>
        <v>8770027</v>
      </c>
      <c r="N276" s="55">
        <f t="shared" ca="1" si="44"/>
        <v>8770027</v>
      </c>
    </row>
    <row r="277" spans="1:14" x14ac:dyDescent="0.3">
      <c r="A277" s="105">
        <v>286</v>
      </c>
      <c r="B277" s="105" t="str">
        <f>VLOOKUP( $A277, Aop!$A$2:$P$453, 2, 0)</f>
        <v>BTG</v>
      </c>
      <c r="C277" s="55">
        <v>29</v>
      </c>
      <c r="D277" s="55" t="str">
        <f t="shared" si="39"/>
        <v>01040103</v>
      </c>
      <c r="E277" s="55" t="str">
        <f t="shared" si="40"/>
        <v>4400849160004</v>
      </c>
      <c r="F277" s="55" t="b">
        <f t="shared" si="42"/>
        <v>0</v>
      </c>
      <c r="G277" s="139">
        <f t="shared" si="43"/>
        <v>46203</v>
      </c>
      <c r="H277" s="105">
        <f>VLOOKUP( $A277, Aop!$A$2:$P$453, 4, 0)</f>
        <v>503</v>
      </c>
      <c r="I277" s="55">
        <f t="shared" si="41"/>
        <v>2026</v>
      </c>
      <c r="J277" s="55" t="str">
        <f t="shared" ca="1" si="46"/>
        <v/>
      </c>
      <c r="K277" s="55"/>
      <c r="L277" s="55"/>
      <c r="M277" s="55" t="str">
        <f t="shared" ca="1" si="47"/>
        <v/>
      </c>
      <c r="N277" s="55" t="str">
        <f t="shared" ca="1" si="44"/>
        <v/>
      </c>
    </row>
    <row r="278" spans="1:14" x14ac:dyDescent="0.3">
      <c r="A278" s="105">
        <v>287</v>
      </c>
      <c r="B278" s="105" t="str">
        <f>VLOOKUP( $A278, Aop!$A$2:$P$453, 2, 0)</f>
        <v>BTG</v>
      </c>
      <c r="C278" s="55">
        <v>29</v>
      </c>
      <c r="D278" s="55" t="str">
        <f t="shared" si="39"/>
        <v>01040103</v>
      </c>
      <c r="E278" s="55" t="str">
        <f t="shared" si="40"/>
        <v>4400849160004</v>
      </c>
      <c r="F278" s="55" t="b">
        <f t="shared" si="42"/>
        <v>0</v>
      </c>
      <c r="G278" s="139">
        <f t="shared" si="43"/>
        <v>46203</v>
      </c>
      <c r="H278" s="105">
        <f>VLOOKUP( $A278, Aop!$A$2:$P$453, 4, 0)</f>
        <v>504</v>
      </c>
      <c r="I278" s="55">
        <f t="shared" si="41"/>
        <v>2026</v>
      </c>
      <c r="J278" s="55" t="str">
        <f t="shared" ca="1" si="46"/>
        <v/>
      </c>
      <c r="K278" s="55"/>
      <c r="L278" s="55"/>
      <c r="M278" s="55" t="str">
        <f t="shared" ca="1" si="47"/>
        <v/>
      </c>
      <c r="N278" s="55" t="str">
        <f t="shared" ca="1" si="44"/>
        <v/>
      </c>
    </row>
    <row r="279" spans="1:14" x14ac:dyDescent="0.3">
      <c r="A279" s="105">
        <v>288</v>
      </c>
      <c r="B279" s="105" t="str">
        <f>VLOOKUP( $A279, Aop!$A$2:$P$453, 2, 0)</f>
        <v>BTG</v>
      </c>
      <c r="C279" s="55">
        <v>29</v>
      </c>
      <c r="D279" s="55" t="str">
        <f t="shared" si="39"/>
        <v>01040103</v>
      </c>
      <c r="E279" s="55" t="str">
        <f t="shared" si="40"/>
        <v>4400849160004</v>
      </c>
      <c r="F279" s="55" t="b">
        <f t="shared" si="42"/>
        <v>0</v>
      </c>
      <c r="G279" s="139">
        <f t="shared" si="43"/>
        <v>46203</v>
      </c>
      <c r="H279" s="105">
        <f>VLOOKUP( $A279, Aop!$A$2:$P$453, 4, 0)</f>
        <v>505</v>
      </c>
      <c r="I279" s="55">
        <f t="shared" si="41"/>
        <v>2026</v>
      </c>
      <c r="J279" s="55" t="str">
        <f t="shared" ca="1" si="46"/>
        <v/>
      </c>
      <c r="K279" s="55"/>
      <c r="L279" s="55"/>
      <c r="M279" s="55">
        <f t="shared" ca="1" si="47"/>
        <v>195726</v>
      </c>
      <c r="N279" s="55">
        <f t="shared" ca="1" si="44"/>
        <v>195726</v>
      </c>
    </row>
    <row r="280" spans="1:14" x14ac:dyDescent="0.3">
      <c r="A280" s="105">
        <v>289</v>
      </c>
      <c r="B280" s="105" t="str">
        <f>VLOOKUP( $A280, Aop!$A$2:$P$453, 2, 0)</f>
        <v>BTG</v>
      </c>
      <c r="C280" s="55">
        <v>29</v>
      </c>
      <c r="D280" s="55" t="str">
        <f t="shared" si="39"/>
        <v>01040103</v>
      </c>
      <c r="E280" s="55" t="str">
        <f t="shared" si="40"/>
        <v>4400849160004</v>
      </c>
      <c r="F280" s="55" t="b">
        <f t="shared" si="42"/>
        <v>0</v>
      </c>
      <c r="G280" s="139">
        <f t="shared" si="43"/>
        <v>46203</v>
      </c>
      <c r="H280" s="105">
        <f>VLOOKUP( $A280, Aop!$A$2:$P$453, 4, 0)</f>
        <v>506</v>
      </c>
      <c r="I280" s="55">
        <f t="shared" si="41"/>
        <v>2026</v>
      </c>
      <c r="J280" s="55">
        <f t="shared" ca="1" si="46"/>
        <v>31</v>
      </c>
      <c r="K280" s="55"/>
      <c r="L280" s="55"/>
      <c r="M280" s="55">
        <f t="shared" ca="1" si="47"/>
        <v>8554512</v>
      </c>
      <c r="N280" s="55">
        <f t="shared" ca="1" si="44"/>
        <v>8554512</v>
      </c>
    </row>
    <row r="281" spans="1:14" x14ac:dyDescent="0.3">
      <c r="A281" s="105">
        <v>290</v>
      </c>
      <c r="B281" s="105" t="str">
        <f>VLOOKUP( $A281, Aop!$A$2:$P$453, 2, 0)</f>
        <v>BTG</v>
      </c>
      <c r="C281" s="55">
        <v>29</v>
      </c>
      <c r="D281" s="55" t="str">
        <f t="shared" si="39"/>
        <v>01040103</v>
      </c>
      <c r="E281" s="55" t="str">
        <f t="shared" si="40"/>
        <v>4400849160004</v>
      </c>
      <c r="F281" s="55" t="b">
        <f t="shared" si="42"/>
        <v>0</v>
      </c>
      <c r="G281" s="139">
        <f t="shared" si="43"/>
        <v>46203</v>
      </c>
      <c r="H281" s="105">
        <f>VLOOKUP( $A281, Aop!$A$2:$P$453, 4, 0)</f>
        <v>507</v>
      </c>
      <c r="I281" s="55">
        <f t="shared" si="41"/>
        <v>2026</v>
      </c>
      <c r="J281" s="55" t="str">
        <f t="shared" ca="1" si="46"/>
        <v/>
      </c>
      <c r="K281" s="55"/>
      <c r="L281" s="55"/>
      <c r="M281" s="55">
        <f t="shared" ca="1" si="47"/>
        <v>4322981</v>
      </c>
      <c r="N281" s="55">
        <f t="shared" ca="1" si="44"/>
        <v>4322981</v>
      </c>
    </row>
    <row r="282" spans="1:14" x14ac:dyDescent="0.3">
      <c r="A282" s="105">
        <v>291</v>
      </c>
      <c r="B282" s="105" t="str">
        <f>VLOOKUP( $A282, Aop!$A$2:$P$453, 2, 0)</f>
        <v>BTG</v>
      </c>
      <c r="C282" s="55">
        <v>29</v>
      </c>
      <c r="D282" s="55" t="str">
        <f t="shared" si="39"/>
        <v>01040103</v>
      </c>
      <c r="E282" s="55" t="str">
        <f t="shared" si="40"/>
        <v>4400849160004</v>
      </c>
      <c r="F282" s="55" t="b">
        <f t="shared" si="42"/>
        <v>0</v>
      </c>
      <c r="G282" s="139">
        <f t="shared" si="43"/>
        <v>46203</v>
      </c>
      <c r="H282" s="105">
        <f>VLOOKUP( $A282, Aop!$A$2:$P$453, 4, 0)</f>
        <v>508</v>
      </c>
      <c r="I282" s="55">
        <f t="shared" si="41"/>
        <v>2026</v>
      </c>
      <c r="J282" s="55" t="str">
        <f t="shared" ca="1" si="46"/>
        <v/>
      </c>
      <c r="K282" s="55"/>
      <c r="L282" s="55"/>
      <c r="M282" s="55">
        <f t="shared" ca="1" si="47"/>
        <v>33957</v>
      </c>
      <c r="N282" s="55">
        <f t="shared" ca="1" si="44"/>
        <v>33957</v>
      </c>
    </row>
    <row r="283" spans="1:14" x14ac:dyDescent="0.3">
      <c r="A283" s="105">
        <v>292</v>
      </c>
      <c r="B283" s="105" t="str">
        <f>VLOOKUP( $A283, Aop!$A$2:$P$453, 2, 0)</f>
        <v>BTG</v>
      </c>
      <c r="C283" s="55">
        <v>29</v>
      </c>
      <c r="D283" s="55" t="str">
        <f t="shared" si="39"/>
        <v>01040103</v>
      </c>
      <c r="E283" s="55" t="str">
        <f t="shared" si="40"/>
        <v>4400849160004</v>
      </c>
      <c r="F283" s="55" t="b">
        <f t="shared" si="42"/>
        <v>0</v>
      </c>
      <c r="G283" s="139">
        <f t="shared" si="43"/>
        <v>46203</v>
      </c>
      <c r="H283" s="105">
        <f>VLOOKUP( $A283, Aop!$A$2:$P$453, 4, 0)</f>
        <v>509</v>
      </c>
      <c r="I283" s="55">
        <f t="shared" si="41"/>
        <v>2026</v>
      </c>
      <c r="J283" s="55" t="str">
        <f t="shared" ca="1" si="46"/>
        <v/>
      </c>
      <c r="K283" s="55"/>
      <c r="L283" s="55"/>
      <c r="M283" s="55">
        <f t="shared" ca="1" si="47"/>
        <v>20642</v>
      </c>
      <c r="N283" s="55">
        <f t="shared" ca="1" si="44"/>
        <v>20642</v>
      </c>
    </row>
    <row r="284" spans="1:14" x14ac:dyDescent="0.3">
      <c r="A284" s="105">
        <v>293</v>
      </c>
      <c r="B284" s="105" t="str">
        <f>VLOOKUP( $A284, Aop!$A$2:$P$453, 2, 0)</f>
        <v>BTG</v>
      </c>
      <c r="C284" s="55">
        <v>29</v>
      </c>
      <c r="D284" s="55" t="str">
        <f t="shared" si="39"/>
        <v>01040103</v>
      </c>
      <c r="E284" s="55" t="str">
        <f t="shared" si="40"/>
        <v>4400849160004</v>
      </c>
      <c r="F284" s="55" t="b">
        <f t="shared" si="42"/>
        <v>0</v>
      </c>
      <c r="G284" s="139">
        <f t="shared" si="43"/>
        <v>46203</v>
      </c>
      <c r="H284" s="105">
        <f>VLOOKUP( $A284, Aop!$A$2:$P$453, 4, 0)</f>
        <v>510</v>
      </c>
      <c r="I284" s="55">
        <f t="shared" si="41"/>
        <v>2026</v>
      </c>
      <c r="J284" s="55" t="str">
        <f t="shared" ca="1" si="46"/>
        <v/>
      </c>
      <c r="K284" s="55"/>
      <c r="L284" s="55"/>
      <c r="M284" s="55">
        <f t="shared" ca="1" si="47"/>
        <v>2894302</v>
      </c>
      <c r="N284" s="55">
        <f t="shared" ca="1" si="44"/>
        <v>2894302</v>
      </c>
    </row>
    <row r="285" spans="1:14" x14ac:dyDescent="0.3">
      <c r="A285" s="105">
        <v>294</v>
      </c>
      <c r="B285" s="105" t="str">
        <f>VLOOKUP( $A285, Aop!$A$2:$P$453, 2, 0)</f>
        <v>BTG</v>
      </c>
      <c r="C285" s="55">
        <v>29</v>
      </c>
      <c r="D285" s="55" t="str">
        <f t="shared" si="39"/>
        <v>01040103</v>
      </c>
      <c r="E285" s="55" t="str">
        <f t="shared" si="40"/>
        <v>4400849160004</v>
      </c>
      <c r="F285" s="55" t="b">
        <f t="shared" si="42"/>
        <v>0</v>
      </c>
      <c r="G285" s="139">
        <f t="shared" si="43"/>
        <v>46203</v>
      </c>
      <c r="H285" s="105">
        <f>VLOOKUP( $A285, Aop!$A$2:$P$453, 4, 0)</f>
        <v>511</v>
      </c>
      <c r="I285" s="55">
        <f t="shared" si="41"/>
        <v>2026</v>
      </c>
      <c r="J285" s="55" t="str">
        <f t="shared" ca="1" si="46"/>
        <v/>
      </c>
      <c r="K285" s="55"/>
      <c r="L285" s="55"/>
      <c r="M285" s="55">
        <f t="shared" ca="1" si="47"/>
        <v>98103</v>
      </c>
      <c r="N285" s="55">
        <f t="shared" ca="1" si="44"/>
        <v>98103</v>
      </c>
    </row>
    <row r="286" spans="1:14" x14ac:dyDescent="0.3">
      <c r="A286" s="105">
        <v>295</v>
      </c>
      <c r="B286" s="105" t="str">
        <f>VLOOKUP( $A286, Aop!$A$2:$P$453, 2, 0)</f>
        <v>BTG</v>
      </c>
      <c r="C286" s="55">
        <v>29</v>
      </c>
      <c r="D286" s="55" t="str">
        <f t="shared" si="39"/>
        <v>01040103</v>
      </c>
      <c r="E286" s="55" t="str">
        <f t="shared" si="40"/>
        <v>4400849160004</v>
      </c>
      <c r="F286" s="55" t="b">
        <f t="shared" si="42"/>
        <v>0</v>
      </c>
      <c r="G286" s="139">
        <f t="shared" si="43"/>
        <v>46203</v>
      </c>
      <c r="H286" s="105">
        <f>VLOOKUP( $A286, Aop!$A$2:$P$453, 4, 0)</f>
        <v>512</v>
      </c>
      <c r="I286" s="55">
        <f t="shared" si="41"/>
        <v>2026</v>
      </c>
      <c r="J286" s="55" t="str">
        <f t="shared" ca="1" si="46"/>
        <v/>
      </c>
      <c r="K286" s="55"/>
      <c r="L286" s="55"/>
      <c r="M286" s="55">
        <f t="shared" ca="1" si="47"/>
        <v>1184527</v>
      </c>
      <c r="N286" s="55">
        <f t="shared" ca="1" si="44"/>
        <v>1184527</v>
      </c>
    </row>
    <row r="287" spans="1:14" x14ac:dyDescent="0.3">
      <c r="A287" s="105">
        <v>296</v>
      </c>
      <c r="B287" s="105" t="str">
        <f>VLOOKUP( $A287, Aop!$A$2:$P$453, 2, 0)</f>
        <v>BTG</v>
      </c>
      <c r="C287" s="55">
        <v>29</v>
      </c>
      <c r="D287" s="55" t="str">
        <f t="shared" si="39"/>
        <v>01040103</v>
      </c>
      <c r="E287" s="55" t="str">
        <f t="shared" si="40"/>
        <v>4400849160004</v>
      </c>
      <c r="F287" s="55" t="b">
        <f t="shared" si="42"/>
        <v>0</v>
      </c>
      <c r="G287" s="139">
        <f t="shared" si="43"/>
        <v>46203</v>
      </c>
      <c r="H287" s="105">
        <f>VLOOKUP( $A287, Aop!$A$2:$P$453, 4, 0)</f>
        <v>513</v>
      </c>
      <c r="I287" s="55">
        <f t="shared" si="41"/>
        <v>2026</v>
      </c>
      <c r="J287" s="55" t="str">
        <f t="shared" ca="1" si="46"/>
        <v/>
      </c>
      <c r="K287" s="55"/>
      <c r="L287" s="55"/>
      <c r="M287" s="55">
        <f t="shared" ca="1" si="47"/>
        <v>411241</v>
      </c>
      <c r="N287" s="55">
        <f t="shared" ca="1" si="44"/>
        <v>411241</v>
      </c>
    </row>
    <row r="288" spans="1:14" x14ac:dyDescent="0.3">
      <c r="A288" s="105">
        <v>297</v>
      </c>
      <c r="B288" s="105" t="str">
        <f>VLOOKUP( $A288, Aop!$A$2:$P$453, 2, 0)</f>
        <v>BTG</v>
      </c>
      <c r="C288" s="55">
        <v>29</v>
      </c>
      <c r="D288" s="55" t="str">
        <f t="shared" si="39"/>
        <v>01040103</v>
      </c>
      <c r="E288" s="55" t="str">
        <f t="shared" si="40"/>
        <v>4400849160004</v>
      </c>
      <c r="F288" s="55" t="b">
        <f t="shared" si="42"/>
        <v>0</v>
      </c>
      <c r="G288" s="139">
        <f t="shared" si="43"/>
        <v>46203</v>
      </c>
      <c r="H288" s="105">
        <f>VLOOKUP( $A288, Aop!$A$2:$P$453, 4, 0)</f>
        <v>514</v>
      </c>
      <c r="I288" s="55">
        <f t="shared" si="41"/>
        <v>2026</v>
      </c>
      <c r="J288" s="55" t="str">
        <f t="shared" ca="1" si="46"/>
        <v/>
      </c>
      <c r="K288" s="55"/>
      <c r="L288" s="55"/>
      <c r="M288" s="55">
        <f t="shared" ca="1" si="47"/>
        <v>0</v>
      </c>
      <c r="N288" s="55">
        <f t="shared" ca="1" si="44"/>
        <v>0</v>
      </c>
    </row>
    <row r="289" spans="1:14" x14ac:dyDescent="0.3">
      <c r="A289" s="105">
        <v>298</v>
      </c>
      <c r="B289" s="105" t="str">
        <f>VLOOKUP( $A289, Aop!$A$2:$P$453, 2, 0)</f>
        <v>BTG</v>
      </c>
      <c r="C289" s="55">
        <v>29</v>
      </c>
      <c r="D289" s="55" t="str">
        <f t="shared" si="39"/>
        <v>01040103</v>
      </c>
      <c r="E289" s="55" t="str">
        <f t="shared" si="40"/>
        <v>4400849160004</v>
      </c>
      <c r="F289" s="55" t="b">
        <f t="shared" si="42"/>
        <v>0</v>
      </c>
      <c r="G289" s="139">
        <f t="shared" si="43"/>
        <v>46203</v>
      </c>
      <c r="H289" s="105">
        <f>VLOOKUP( $A289, Aop!$A$2:$P$453, 4, 0)</f>
        <v>515</v>
      </c>
      <c r="I289" s="55">
        <f t="shared" si="41"/>
        <v>2026</v>
      </c>
      <c r="J289" s="55">
        <f t="shared" ca="1" si="46"/>
        <v>32</v>
      </c>
      <c r="K289" s="55"/>
      <c r="L289" s="55"/>
      <c r="M289" s="55">
        <f t="shared" ca="1" si="47"/>
        <v>905784</v>
      </c>
      <c r="N289" s="55">
        <f t="shared" ca="1" si="44"/>
        <v>905784</v>
      </c>
    </row>
    <row r="290" spans="1:14" x14ac:dyDescent="0.3">
      <c r="A290" s="105">
        <v>300</v>
      </c>
      <c r="B290" s="105" t="str">
        <f>VLOOKUP( $A290, Aop!$A$2:$P$453, 2, 0)</f>
        <v>BTG</v>
      </c>
      <c r="C290" s="55">
        <v>29</v>
      </c>
      <c r="D290" s="55" t="str">
        <f t="shared" si="39"/>
        <v>01040103</v>
      </c>
      <c r="E290" s="55" t="str">
        <f t="shared" si="40"/>
        <v>4400849160004</v>
      </c>
      <c r="F290" s="55" t="b">
        <f t="shared" si="42"/>
        <v>0</v>
      </c>
      <c r="G290" s="139">
        <f t="shared" si="43"/>
        <v>46203</v>
      </c>
      <c r="H290" s="105">
        <f>VLOOKUP( $A290, Aop!$A$2:$P$453, 4, 0)</f>
        <v>517</v>
      </c>
      <c r="I290" s="55">
        <f t="shared" si="41"/>
        <v>2026</v>
      </c>
      <c r="J290" s="55" t="str">
        <f t="shared" ca="1" si="46"/>
        <v/>
      </c>
      <c r="K290" s="55"/>
      <c r="L290" s="55"/>
      <c r="M290" s="55" t="str">
        <f t="shared" ca="1" si="47"/>
        <v/>
      </c>
      <c r="N290" s="55" t="str">
        <f t="shared" ca="1" si="44"/>
        <v/>
      </c>
    </row>
    <row r="291" spans="1:14" x14ac:dyDescent="0.3">
      <c r="A291" s="105">
        <v>301</v>
      </c>
      <c r="B291" s="105" t="str">
        <f>VLOOKUP( $A291, Aop!$A$2:$P$453, 2, 0)</f>
        <v>BTG</v>
      </c>
      <c r="C291" s="55">
        <v>29</v>
      </c>
      <c r="D291" s="55" t="str">
        <f t="shared" si="39"/>
        <v>01040103</v>
      </c>
      <c r="E291" s="55" t="str">
        <f t="shared" si="40"/>
        <v>4400849160004</v>
      </c>
      <c r="F291" s="55" t="b">
        <f t="shared" si="42"/>
        <v>0</v>
      </c>
      <c r="G291" s="139">
        <f t="shared" si="43"/>
        <v>46203</v>
      </c>
      <c r="H291" s="105">
        <f>VLOOKUP( $A291, Aop!$A$2:$P$453, 4, 0)</f>
        <v>518</v>
      </c>
      <c r="I291" s="55">
        <f t="shared" si="41"/>
        <v>2026</v>
      </c>
      <c r="J291" s="55" t="str">
        <f t="shared" ca="1" si="46"/>
        <v/>
      </c>
      <c r="K291" s="55"/>
      <c r="L291" s="55"/>
      <c r="M291" s="55" t="str">
        <f t="shared" ca="1" si="47"/>
        <v/>
      </c>
      <c r="N291" s="55" t="str">
        <f t="shared" ca="1" si="44"/>
        <v/>
      </c>
    </row>
    <row r="292" spans="1:14" x14ac:dyDescent="0.3">
      <c r="A292" s="105">
        <v>302</v>
      </c>
      <c r="B292" s="105" t="str">
        <f>VLOOKUP( $A292, Aop!$A$2:$P$453, 2, 0)</f>
        <v>BTG</v>
      </c>
      <c r="C292" s="55">
        <v>29</v>
      </c>
      <c r="D292" s="55" t="str">
        <f t="shared" si="39"/>
        <v>01040103</v>
      </c>
      <c r="E292" s="55" t="str">
        <f t="shared" si="40"/>
        <v>4400849160004</v>
      </c>
      <c r="F292" s="55" t="b">
        <f t="shared" si="42"/>
        <v>0</v>
      </c>
      <c r="G292" s="139">
        <f t="shared" si="43"/>
        <v>46203</v>
      </c>
      <c r="H292" s="105">
        <f>VLOOKUP( $A292, Aop!$A$2:$P$453, 4, 0)</f>
        <v>519</v>
      </c>
      <c r="I292" s="55">
        <f t="shared" si="41"/>
        <v>2026</v>
      </c>
      <c r="J292" s="55" t="str">
        <f t="shared" ca="1" si="46"/>
        <v/>
      </c>
      <c r="K292" s="55"/>
      <c r="L292" s="55"/>
      <c r="M292" s="55" t="str">
        <f t="shared" ca="1" si="47"/>
        <v/>
      </c>
      <c r="N292" s="55" t="str">
        <f t="shared" ca="1" si="44"/>
        <v/>
      </c>
    </row>
    <row r="293" spans="1:14" x14ac:dyDescent="0.3">
      <c r="A293" s="105">
        <v>303</v>
      </c>
      <c r="B293" s="105" t="str">
        <f>VLOOKUP( $A293, Aop!$A$2:$P$453, 2, 0)</f>
        <v>BTG</v>
      </c>
      <c r="C293" s="55">
        <v>29</v>
      </c>
      <c r="D293" s="55" t="str">
        <f t="shared" si="39"/>
        <v>01040103</v>
      </c>
      <c r="E293" s="55" t="str">
        <f t="shared" si="40"/>
        <v>4400849160004</v>
      </c>
      <c r="F293" s="55" t="b">
        <f t="shared" si="42"/>
        <v>0</v>
      </c>
      <c r="G293" s="139">
        <f t="shared" si="43"/>
        <v>46203</v>
      </c>
      <c r="H293" s="105">
        <f>VLOOKUP( $A293, Aop!$A$2:$P$453, 4, 0)</f>
        <v>520</v>
      </c>
      <c r="I293" s="55">
        <f t="shared" si="41"/>
        <v>2026</v>
      </c>
      <c r="J293" s="55" t="str">
        <f t="shared" ca="1" si="46"/>
        <v/>
      </c>
      <c r="K293" s="55"/>
      <c r="L293" s="55"/>
      <c r="M293" s="55" t="str">
        <f t="shared" ca="1" si="47"/>
        <v/>
      </c>
      <c r="N293" s="55" t="str">
        <f t="shared" ca="1" si="44"/>
        <v/>
      </c>
    </row>
    <row r="294" spans="1:14" x14ac:dyDescent="0.3">
      <c r="A294" s="105">
        <v>304</v>
      </c>
      <c r="B294" s="105" t="str">
        <f>VLOOKUP( $A294, Aop!$A$2:$P$453, 2, 0)</f>
        <v>BTG</v>
      </c>
      <c r="C294" s="55">
        <v>29</v>
      </c>
      <c r="D294" s="55" t="str">
        <f t="shared" si="39"/>
        <v>01040103</v>
      </c>
      <c r="E294" s="55" t="str">
        <f t="shared" si="40"/>
        <v>4400849160004</v>
      </c>
      <c r="F294" s="55" t="b">
        <f t="shared" si="42"/>
        <v>0</v>
      </c>
      <c r="G294" s="139">
        <f t="shared" si="43"/>
        <v>46203</v>
      </c>
      <c r="H294" s="105">
        <f>VLOOKUP( $A294, Aop!$A$2:$P$453, 4, 0)</f>
        <v>521</v>
      </c>
      <c r="I294" s="55">
        <f t="shared" si="41"/>
        <v>2026</v>
      </c>
      <c r="J294" s="55" t="str">
        <f t="shared" ca="1" si="46"/>
        <v/>
      </c>
      <c r="K294" s="55"/>
      <c r="L294" s="55"/>
      <c r="M294" s="55" t="str">
        <f t="shared" ca="1" si="47"/>
        <v/>
      </c>
      <c r="N294" s="55" t="str">
        <f t="shared" ca="1" si="44"/>
        <v/>
      </c>
    </row>
    <row r="295" spans="1:14" x14ac:dyDescent="0.3">
      <c r="A295" s="105">
        <v>305</v>
      </c>
      <c r="B295" s="105" t="str">
        <f>VLOOKUP( $A295, Aop!$A$2:$P$453, 2, 0)</f>
        <v>BTG</v>
      </c>
      <c r="C295" s="55">
        <v>29</v>
      </c>
      <c r="D295" s="55" t="str">
        <f t="shared" si="39"/>
        <v>01040103</v>
      </c>
      <c r="E295" s="55" t="str">
        <f t="shared" si="40"/>
        <v>4400849160004</v>
      </c>
      <c r="F295" s="55" t="b">
        <f t="shared" si="42"/>
        <v>0</v>
      </c>
      <c r="G295" s="139">
        <f t="shared" si="43"/>
        <v>46203</v>
      </c>
      <c r="H295" s="105">
        <f>VLOOKUP( $A295, Aop!$A$2:$P$453, 4, 0)</f>
        <v>522</v>
      </c>
      <c r="I295" s="55">
        <f t="shared" si="41"/>
        <v>2026</v>
      </c>
      <c r="J295" s="55" t="str">
        <f t="shared" ca="1" si="46"/>
        <v/>
      </c>
      <c r="K295" s="55"/>
      <c r="L295" s="55"/>
      <c r="M295" s="55" t="str">
        <f t="shared" ca="1" si="47"/>
        <v/>
      </c>
      <c r="N295" s="55" t="str">
        <f t="shared" ca="1" si="44"/>
        <v/>
      </c>
    </row>
    <row r="296" spans="1:14" x14ac:dyDescent="0.3">
      <c r="A296" s="105">
        <v>306</v>
      </c>
      <c r="B296" s="105" t="str">
        <f>VLOOKUP( $A296, Aop!$A$2:$P$453, 2, 0)</f>
        <v>BTG</v>
      </c>
      <c r="C296" s="55">
        <v>29</v>
      </c>
      <c r="D296" s="55" t="str">
        <f t="shared" si="39"/>
        <v>01040103</v>
      </c>
      <c r="E296" s="55" t="str">
        <f t="shared" si="40"/>
        <v>4400849160004</v>
      </c>
      <c r="F296" s="55" t="b">
        <f t="shared" si="42"/>
        <v>0</v>
      </c>
      <c r="G296" s="139">
        <f t="shared" si="43"/>
        <v>46203</v>
      </c>
      <c r="H296" s="105">
        <f>VLOOKUP( $A296, Aop!$A$2:$P$453, 4, 0)</f>
        <v>523</v>
      </c>
      <c r="I296" s="55">
        <f t="shared" si="41"/>
        <v>2026</v>
      </c>
      <c r="J296" s="55" t="str">
        <f t="shared" ca="1" si="46"/>
        <v/>
      </c>
      <c r="K296" s="55"/>
      <c r="L296" s="55"/>
      <c r="M296" s="55" t="str">
        <f t="shared" ca="1" si="47"/>
        <v/>
      </c>
      <c r="N296" s="55" t="str">
        <f t="shared" ca="1" si="44"/>
        <v/>
      </c>
    </row>
    <row r="297" spans="1:14" x14ac:dyDescent="0.3">
      <c r="A297" s="105">
        <v>307</v>
      </c>
      <c r="B297" s="105" t="str">
        <f>VLOOKUP( $A297, Aop!$A$2:$P$453, 2, 0)</f>
        <v>BTG</v>
      </c>
      <c r="C297" s="55">
        <v>29</v>
      </c>
      <c r="D297" s="55" t="str">
        <f t="shared" si="39"/>
        <v>01040103</v>
      </c>
      <c r="E297" s="55" t="str">
        <f t="shared" si="40"/>
        <v>4400849160004</v>
      </c>
      <c r="F297" s="55" t="b">
        <f t="shared" si="42"/>
        <v>0</v>
      </c>
      <c r="G297" s="139">
        <f t="shared" si="43"/>
        <v>46203</v>
      </c>
      <c r="H297" s="105">
        <f>VLOOKUP( $A297, Aop!$A$2:$P$453, 4, 0)</f>
        <v>524</v>
      </c>
      <c r="I297" s="55">
        <f t="shared" si="41"/>
        <v>2026</v>
      </c>
      <c r="J297" s="55" t="str">
        <f t="shared" ca="1" si="46"/>
        <v/>
      </c>
      <c r="K297" s="55"/>
      <c r="L297" s="55"/>
      <c r="M297" s="55">
        <f t="shared" ca="1" si="47"/>
        <v>901000</v>
      </c>
      <c r="N297" s="55">
        <f t="shared" ca="1" si="44"/>
        <v>901000</v>
      </c>
    </row>
    <row r="298" spans="1:14" x14ac:dyDescent="0.3">
      <c r="A298" s="105">
        <v>308</v>
      </c>
      <c r="B298" s="105" t="str">
        <f>VLOOKUP( $A298, Aop!$A$2:$P$453, 2, 0)</f>
        <v>BTG</v>
      </c>
      <c r="C298" s="55">
        <v>29</v>
      </c>
      <c r="D298" s="55" t="str">
        <f t="shared" si="39"/>
        <v>01040103</v>
      </c>
      <c r="E298" s="55" t="str">
        <f t="shared" si="40"/>
        <v>4400849160004</v>
      </c>
      <c r="F298" s="55" t="b">
        <f t="shared" si="42"/>
        <v>0</v>
      </c>
      <c r="G298" s="139">
        <f t="shared" si="43"/>
        <v>46203</v>
      </c>
      <c r="H298" s="105">
        <f>VLOOKUP( $A298, Aop!$A$2:$P$453, 4, 0)</f>
        <v>525</v>
      </c>
      <c r="I298" s="55">
        <f t="shared" si="41"/>
        <v>2026</v>
      </c>
      <c r="J298" s="55" t="str">
        <f t="shared" ca="1" si="46"/>
        <v/>
      </c>
      <c r="K298" s="55"/>
      <c r="L298" s="55"/>
      <c r="M298" s="55" t="str">
        <f t="shared" ca="1" si="47"/>
        <v/>
      </c>
      <c r="N298" s="55" t="str">
        <f t="shared" ca="1" si="44"/>
        <v/>
      </c>
    </row>
    <row r="299" spans="1:14" x14ac:dyDescent="0.3">
      <c r="A299" s="105">
        <v>309</v>
      </c>
      <c r="B299" s="105" t="str">
        <f>VLOOKUP( $A299, Aop!$A$2:$P$453, 2, 0)</f>
        <v>BTG</v>
      </c>
      <c r="C299" s="55">
        <v>29</v>
      </c>
      <c r="D299" s="55" t="str">
        <f t="shared" si="39"/>
        <v>01040103</v>
      </c>
      <c r="E299" s="55" t="str">
        <f t="shared" si="40"/>
        <v>4400849160004</v>
      </c>
      <c r="F299" s="55" t="b">
        <f t="shared" si="42"/>
        <v>0</v>
      </c>
      <c r="G299" s="139">
        <f t="shared" si="43"/>
        <v>46203</v>
      </c>
      <c r="H299" s="105">
        <f>VLOOKUP( $A299, Aop!$A$2:$P$453, 4, 0)</f>
        <v>526</v>
      </c>
      <c r="I299" s="55">
        <f t="shared" si="41"/>
        <v>2026</v>
      </c>
      <c r="J299" s="55" t="str">
        <f t="shared" ca="1" si="46"/>
        <v/>
      </c>
      <c r="K299" s="55"/>
      <c r="L299" s="55"/>
      <c r="M299" s="55" t="str">
        <f t="shared" ca="1" si="47"/>
        <v/>
      </c>
      <c r="N299" s="55" t="str">
        <f t="shared" ca="1" si="44"/>
        <v/>
      </c>
    </row>
    <row r="300" spans="1:14" x14ac:dyDescent="0.3">
      <c r="A300" s="105">
        <v>310</v>
      </c>
      <c r="B300" s="105" t="str">
        <f>VLOOKUP( $A300, Aop!$A$2:$P$453, 2, 0)</f>
        <v>BTG</v>
      </c>
      <c r="C300" s="55">
        <v>29</v>
      </c>
      <c r="D300" s="55" t="str">
        <f t="shared" si="39"/>
        <v>01040103</v>
      </c>
      <c r="E300" s="55" t="str">
        <f t="shared" si="40"/>
        <v>4400849160004</v>
      </c>
      <c r="F300" s="55" t="b">
        <f t="shared" si="42"/>
        <v>0</v>
      </c>
      <c r="G300" s="139">
        <f t="shared" si="43"/>
        <v>46203</v>
      </c>
      <c r="H300" s="105">
        <f>VLOOKUP( $A300, Aop!$A$2:$P$453, 4, 0)</f>
        <v>527</v>
      </c>
      <c r="I300" s="55">
        <f t="shared" si="41"/>
        <v>2026</v>
      </c>
      <c r="J300" s="55" t="str">
        <f t="shared" ca="1" si="46"/>
        <v/>
      </c>
      <c r="K300" s="55"/>
      <c r="L300" s="55"/>
      <c r="M300" s="55">
        <f t="shared" ca="1" si="47"/>
        <v>4784</v>
      </c>
      <c r="N300" s="55">
        <f t="shared" ca="1" si="44"/>
        <v>4784</v>
      </c>
    </row>
    <row r="301" spans="1:14" x14ac:dyDescent="0.3">
      <c r="A301" s="105">
        <v>311</v>
      </c>
      <c r="B301" s="105" t="str">
        <f>VLOOKUP( $A301, Aop!$A$2:$P$453, 2, 0)</f>
        <v>BTG</v>
      </c>
      <c r="C301" s="55">
        <v>29</v>
      </c>
      <c r="D301" s="55" t="str">
        <f t="shared" si="39"/>
        <v>01040103</v>
      </c>
      <c r="E301" s="55" t="str">
        <f t="shared" si="40"/>
        <v>4400849160004</v>
      </c>
      <c r="F301" s="55" t="b">
        <f t="shared" si="42"/>
        <v>0</v>
      </c>
      <c r="G301" s="139">
        <f t="shared" si="43"/>
        <v>46203</v>
      </c>
      <c r="H301" s="105">
        <f>VLOOKUP( $A301, Aop!$A$2:$P$453, 4, 0)</f>
        <v>528</v>
      </c>
      <c r="I301" s="55">
        <f t="shared" si="41"/>
        <v>2026</v>
      </c>
      <c r="J301" s="55" t="str">
        <f t="shared" ca="1" si="46"/>
        <v/>
      </c>
      <c r="K301" s="55"/>
      <c r="L301" s="55"/>
      <c r="M301" s="55" t="str">
        <f t="shared" ca="1" si="47"/>
        <v/>
      </c>
      <c r="N301" s="55" t="str">
        <f t="shared" ca="1" si="44"/>
        <v/>
      </c>
    </row>
    <row r="302" spans="1:14" x14ac:dyDescent="0.3">
      <c r="A302" s="105">
        <v>312</v>
      </c>
      <c r="B302" s="105" t="str">
        <f>VLOOKUP( $A302, Aop!$A$2:$P$453, 2, 0)</f>
        <v>BTG</v>
      </c>
      <c r="C302" s="55">
        <v>29</v>
      </c>
      <c r="D302" s="55" t="str">
        <f t="shared" si="39"/>
        <v>01040103</v>
      </c>
      <c r="E302" s="55" t="str">
        <f t="shared" si="40"/>
        <v>4400849160004</v>
      </c>
      <c r="F302" s="55" t="b">
        <f t="shared" si="42"/>
        <v>0</v>
      </c>
      <c r="G302" s="139">
        <f t="shared" si="43"/>
        <v>46203</v>
      </c>
      <c r="H302" s="105">
        <f>VLOOKUP( $A302, Aop!$A$2:$P$453, 4, 0)</f>
        <v>529</v>
      </c>
      <c r="I302" s="55">
        <f t="shared" si="41"/>
        <v>2026</v>
      </c>
      <c r="J302" s="55" t="str">
        <f t="shared" ca="1" si="46"/>
        <v/>
      </c>
      <c r="K302" s="55"/>
      <c r="L302" s="55"/>
      <c r="M302" s="55" t="str">
        <f t="shared" ca="1" si="47"/>
        <v/>
      </c>
      <c r="N302" s="55" t="str">
        <f t="shared" ca="1" si="44"/>
        <v/>
      </c>
    </row>
    <row r="303" spans="1:14" x14ac:dyDescent="0.3">
      <c r="A303" s="105">
        <v>313</v>
      </c>
      <c r="B303" s="105" t="str">
        <f>VLOOKUP( $A303, Aop!$A$2:$P$453, 2, 0)</f>
        <v>BTG</v>
      </c>
      <c r="C303" s="55">
        <v>29</v>
      </c>
      <c r="D303" s="55" t="str">
        <f t="shared" si="39"/>
        <v>01040103</v>
      </c>
      <c r="E303" s="55" t="str">
        <f t="shared" si="40"/>
        <v>4400849160004</v>
      </c>
      <c r="F303" s="55" t="b">
        <f t="shared" si="42"/>
        <v>0</v>
      </c>
      <c r="G303" s="139">
        <f t="shared" si="43"/>
        <v>46203</v>
      </c>
      <c r="H303" s="105">
        <f>VLOOKUP( $A303, Aop!$A$2:$P$453, 4, 0)</f>
        <v>530</v>
      </c>
      <c r="I303" s="55">
        <f t="shared" si="41"/>
        <v>2026</v>
      </c>
      <c r="J303" s="55" t="str">
        <f t="shared" ca="1" si="46"/>
        <v/>
      </c>
      <c r="K303" s="55"/>
      <c r="L303" s="55"/>
      <c r="M303" s="55" t="str">
        <f t="shared" ca="1" si="47"/>
        <v/>
      </c>
      <c r="N303" s="55" t="str">
        <f t="shared" ca="1" si="44"/>
        <v/>
      </c>
    </row>
    <row r="304" spans="1:14" x14ac:dyDescent="0.3">
      <c r="A304" s="105">
        <v>314</v>
      </c>
      <c r="B304" s="105" t="str">
        <f>VLOOKUP( $A304, Aop!$A$2:$P$453, 2, 0)</f>
        <v>BTG</v>
      </c>
      <c r="C304" s="55">
        <v>29</v>
      </c>
      <c r="D304" s="55" t="str">
        <f t="shared" si="39"/>
        <v>01040103</v>
      </c>
      <c r="E304" s="55" t="str">
        <f t="shared" si="40"/>
        <v>4400849160004</v>
      </c>
      <c r="F304" s="55" t="b">
        <f t="shared" si="42"/>
        <v>0</v>
      </c>
      <c r="G304" s="139">
        <f t="shared" si="43"/>
        <v>46203</v>
      </c>
      <c r="H304" s="105">
        <f>VLOOKUP( $A304, Aop!$A$2:$P$453, 4, 0)</f>
        <v>531</v>
      </c>
      <c r="I304" s="55">
        <f t="shared" si="41"/>
        <v>2026</v>
      </c>
      <c r="J304" s="55">
        <f t="shared" ca="1" si="46"/>
        <v>32</v>
      </c>
      <c r="K304" s="55"/>
      <c r="L304" s="55"/>
      <c r="M304" s="55">
        <f t="shared" ca="1" si="47"/>
        <v>1814355</v>
      </c>
      <c r="N304" s="55">
        <f t="shared" ca="1" si="44"/>
        <v>1814355</v>
      </c>
    </row>
    <row r="305" spans="1:14" x14ac:dyDescent="0.3">
      <c r="A305" s="105">
        <v>315</v>
      </c>
      <c r="B305" s="105" t="str">
        <f>VLOOKUP( $A305, Aop!$A$2:$P$453, 2, 0)</f>
        <v>BTG</v>
      </c>
      <c r="C305" s="55">
        <v>29</v>
      </c>
      <c r="D305" s="55" t="str">
        <f t="shared" si="39"/>
        <v>01040103</v>
      </c>
      <c r="E305" s="55" t="str">
        <f t="shared" si="40"/>
        <v>4400849160004</v>
      </c>
      <c r="F305" s="55" t="b">
        <f t="shared" si="42"/>
        <v>0</v>
      </c>
      <c r="G305" s="139">
        <f t="shared" si="43"/>
        <v>46203</v>
      </c>
      <c r="H305" s="105">
        <f>VLOOKUP( $A305, Aop!$A$2:$P$453, 4, 0)</f>
        <v>532</v>
      </c>
      <c r="I305" s="55">
        <f t="shared" si="41"/>
        <v>2026</v>
      </c>
      <c r="J305" s="55" t="str">
        <f t="shared" ca="1" si="46"/>
        <v/>
      </c>
      <c r="K305" s="55"/>
      <c r="L305" s="55"/>
      <c r="M305" s="55" t="str">
        <f t="shared" ca="1" si="47"/>
        <v/>
      </c>
      <c r="N305" s="55" t="str">
        <f t="shared" ca="1" si="44"/>
        <v/>
      </c>
    </row>
    <row r="306" spans="1:14" x14ac:dyDescent="0.3">
      <c r="A306" s="105">
        <v>316</v>
      </c>
      <c r="B306" s="105" t="str">
        <f>VLOOKUP( $A306, Aop!$A$2:$P$453, 2, 0)</f>
        <v>BTG</v>
      </c>
      <c r="C306" s="55">
        <v>29</v>
      </c>
      <c r="D306" s="55" t="str">
        <f t="shared" si="39"/>
        <v>01040103</v>
      </c>
      <c r="E306" s="55" t="str">
        <f t="shared" si="40"/>
        <v>4400849160004</v>
      </c>
      <c r="F306" s="55" t="b">
        <f t="shared" si="42"/>
        <v>0</v>
      </c>
      <c r="G306" s="139">
        <f t="shared" si="43"/>
        <v>46203</v>
      </c>
      <c r="H306" s="105">
        <f>VLOOKUP( $A306, Aop!$A$2:$P$453, 4, 0)</f>
        <v>533</v>
      </c>
      <c r="I306" s="55">
        <f t="shared" si="41"/>
        <v>2026</v>
      </c>
      <c r="J306" s="55" t="str">
        <f t="shared" ca="1" si="46"/>
        <v/>
      </c>
      <c r="K306" s="55"/>
      <c r="L306" s="55"/>
      <c r="M306" s="55">
        <f t="shared" ca="1" si="47"/>
        <v>1238355</v>
      </c>
      <c r="N306" s="55">
        <f t="shared" ca="1" si="44"/>
        <v>1238355</v>
      </c>
    </row>
    <row r="307" spans="1:14" x14ac:dyDescent="0.3">
      <c r="A307" s="105">
        <v>317</v>
      </c>
      <c r="B307" s="105" t="str">
        <f>VLOOKUP( $A307, Aop!$A$2:$P$453, 2, 0)</f>
        <v>BTG</v>
      </c>
      <c r="C307" s="55">
        <v>29</v>
      </c>
      <c r="D307" s="55" t="str">
        <f t="shared" si="39"/>
        <v>01040103</v>
      </c>
      <c r="E307" s="55" t="str">
        <f t="shared" si="40"/>
        <v>4400849160004</v>
      </c>
      <c r="F307" s="55" t="b">
        <f t="shared" si="42"/>
        <v>0</v>
      </c>
      <c r="G307" s="139">
        <f t="shared" si="43"/>
        <v>46203</v>
      </c>
      <c r="H307" s="105">
        <f>VLOOKUP( $A307, Aop!$A$2:$P$453, 4, 0)</f>
        <v>534</v>
      </c>
      <c r="I307" s="55">
        <f t="shared" si="41"/>
        <v>2026</v>
      </c>
      <c r="J307" s="55" t="str">
        <f t="shared" ca="1" si="46"/>
        <v/>
      </c>
      <c r="K307" s="55"/>
      <c r="L307" s="55"/>
      <c r="M307" s="55" t="str">
        <f t="shared" ca="1" si="47"/>
        <v/>
      </c>
      <c r="N307" s="55" t="str">
        <f t="shared" ca="1" si="44"/>
        <v/>
      </c>
    </row>
    <row r="308" spans="1:14" x14ac:dyDescent="0.3">
      <c r="A308" s="105">
        <v>318</v>
      </c>
      <c r="B308" s="105" t="str">
        <f>VLOOKUP( $A308, Aop!$A$2:$P$453, 2, 0)</f>
        <v>BTG</v>
      </c>
      <c r="C308" s="55">
        <v>29</v>
      </c>
      <c r="D308" s="55" t="str">
        <f t="shared" si="39"/>
        <v>01040103</v>
      </c>
      <c r="E308" s="55" t="str">
        <f t="shared" si="40"/>
        <v>4400849160004</v>
      </c>
      <c r="F308" s="55" t="b">
        <f t="shared" si="42"/>
        <v>0</v>
      </c>
      <c r="G308" s="139">
        <f t="shared" si="43"/>
        <v>46203</v>
      </c>
      <c r="H308" s="105">
        <f>VLOOKUP( $A308, Aop!$A$2:$P$453, 4, 0)</f>
        <v>535</v>
      </c>
      <c r="I308" s="55">
        <f t="shared" si="41"/>
        <v>2026</v>
      </c>
      <c r="J308" s="55" t="str">
        <f t="shared" ca="1" si="46"/>
        <v/>
      </c>
      <c r="K308" s="55"/>
      <c r="L308" s="55"/>
      <c r="M308" s="55" t="str">
        <f t="shared" ca="1" si="47"/>
        <v/>
      </c>
      <c r="N308" s="55" t="str">
        <f t="shared" ca="1" si="44"/>
        <v/>
      </c>
    </row>
    <row r="309" spans="1:14" x14ac:dyDescent="0.3">
      <c r="A309" s="105">
        <v>319</v>
      </c>
      <c r="B309" s="105" t="str">
        <f>VLOOKUP( $A309, Aop!$A$2:$P$453, 2, 0)</f>
        <v>BTG</v>
      </c>
      <c r="C309" s="55">
        <v>29</v>
      </c>
      <c r="D309" s="55" t="str">
        <f t="shared" si="39"/>
        <v>01040103</v>
      </c>
      <c r="E309" s="55" t="str">
        <f t="shared" si="40"/>
        <v>4400849160004</v>
      </c>
      <c r="F309" s="55" t="b">
        <f t="shared" si="42"/>
        <v>0</v>
      </c>
      <c r="G309" s="139">
        <f t="shared" si="43"/>
        <v>46203</v>
      </c>
      <c r="H309" s="105">
        <f>VLOOKUP( $A309, Aop!$A$2:$P$453, 4, 0)</f>
        <v>536</v>
      </c>
      <c r="I309" s="55">
        <f t="shared" si="41"/>
        <v>2026</v>
      </c>
      <c r="J309" s="55" t="str">
        <f t="shared" ca="1" si="46"/>
        <v/>
      </c>
      <c r="K309" s="55"/>
      <c r="L309" s="55"/>
      <c r="M309" s="55" t="str">
        <f t="shared" ca="1" si="47"/>
        <v/>
      </c>
      <c r="N309" s="55" t="str">
        <f t="shared" ca="1" si="44"/>
        <v/>
      </c>
    </row>
    <row r="310" spans="1:14" x14ac:dyDescent="0.3">
      <c r="A310" s="105">
        <v>320</v>
      </c>
      <c r="B310" s="105" t="str">
        <f>VLOOKUP( $A310, Aop!$A$2:$P$453, 2, 0)</f>
        <v>BTG</v>
      </c>
      <c r="C310" s="55">
        <v>29</v>
      </c>
      <c r="D310" s="55" t="str">
        <f t="shared" si="39"/>
        <v>01040103</v>
      </c>
      <c r="E310" s="55" t="str">
        <f t="shared" si="40"/>
        <v>4400849160004</v>
      </c>
      <c r="F310" s="55" t="b">
        <f t="shared" si="42"/>
        <v>0</v>
      </c>
      <c r="G310" s="139">
        <f t="shared" si="43"/>
        <v>46203</v>
      </c>
      <c r="H310" s="105">
        <f>VLOOKUP( $A310, Aop!$A$2:$P$453, 4, 0)</f>
        <v>537</v>
      </c>
      <c r="I310" s="55">
        <f t="shared" si="41"/>
        <v>2026</v>
      </c>
      <c r="J310" s="55" t="str">
        <f t="shared" ca="1" si="46"/>
        <v/>
      </c>
      <c r="K310" s="55"/>
      <c r="L310" s="55"/>
      <c r="M310" s="55" t="str">
        <f t="shared" ca="1" si="47"/>
        <v/>
      </c>
      <c r="N310" s="55" t="str">
        <f t="shared" ca="1" si="44"/>
        <v/>
      </c>
    </row>
    <row r="311" spans="1:14" x14ac:dyDescent="0.3">
      <c r="A311" s="105">
        <v>321</v>
      </c>
      <c r="B311" s="105" t="str">
        <f>VLOOKUP( $A311, Aop!$A$2:$P$453, 2, 0)</f>
        <v>BTG</v>
      </c>
      <c r="C311" s="55">
        <v>29</v>
      </c>
      <c r="D311" s="55" t="str">
        <f t="shared" ref="D311:D356" si="48">Podatak_MB</f>
        <v>01040103</v>
      </c>
      <c r="E311" s="55" t="str">
        <f t="shared" ref="E311:E356" si="49">Podatak_JIB</f>
        <v>4400849160004</v>
      </c>
      <c r="F311" s="55" t="b">
        <f t="shared" si="42"/>
        <v>0</v>
      </c>
      <c r="G311" s="139">
        <f t="shared" si="43"/>
        <v>46203</v>
      </c>
      <c r="H311" s="105">
        <f>VLOOKUP( $A311, Aop!$A$2:$P$453, 4, 0)</f>
        <v>538</v>
      </c>
      <c r="I311" s="55">
        <f t="shared" ref="I311:I356" si="50">Godina</f>
        <v>2026</v>
      </c>
      <c r="J311" s="55" t="str">
        <f t="shared" ca="1" si="46"/>
        <v/>
      </c>
      <c r="K311" s="55"/>
      <c r="L311" s="55"/>
      <c r="M311" s="55" t="str">
        <f t="shared" ca="1" si="47"/>
        <v/>
      </c>
      <c r="N311" s="55" t="str">
        <f t="shared" ca="1" si="44"/>
        <v/>
      </c>
    </row>
    <row r="312" spans="1:14" x14ac:dyDescent="0.3">
      <c r="A312" s="105">
        <v>322</v>
      </c>
      <c r="B312" s="105" t="str">
        <f>VLOOKUP( $A312, Aop!$A$2:$P$453, 2, 0)</f>
        <v>BTG</v>
      </c>
      <c r="C312" s="55">
        <v>29</v>
      </c>
      <c r="D312" s="55" t="str">
        <f t="shared" si="48"/>
        <v>01040103</v>
      </c>
      <c r="E312" s="55" t="str">
        <f t="shared" si="49"/>
        <v>4400849160004</v>
      </c>
      <c r="F312" s="55" t="b">
        <f t="shared" ref="F312:F356" si="51">Konsolidovan_izvjestaj</f>
        <v>0</v>
      </c>
      <c r="G312" s="139">
        <f t="shared" ref="G312:G356" si="52">Datum_Broj</f>
        <v>46203</v>
      </c>
      <c r="H312" s="105">
        <f>VLOOKUP( $A312, Aop!$A$2:$P$453, 4, 0)</f>
        <v>539</v>
      </c>
      <c r="I312" s="55">
        <f t="shared" si="50"/>
        <v>2026</v>
      </c>
      <c r="J312" s="55" t="str">
        <f t="shared" ca="1" si="46"/>
        <v/>
      </c>
      <c r="K312" s="55"/>
      <c r="L312" s="55"/>
      <c r="M312" s="55">
        <f t="shared" ca="1" si="47"/>
        <v>576000</v>
      </c>
      <c r="N312" s="55">
        <f t="shared" ca="1" si="44"/>
        <v>576000</v>
      </c>
    </row>
    <row r="313" spans="1:14" x14ac:dyDescent="0.3">
      <c r="A313" s="105">
        <v>323</v>
      </c>
      <c r="B313" s="105" t="str">
        <f>VLOOKUP( $A313, Aop!$A$2:$P$453, 2, 0)</f>
        <v>BTG</v>
      </c>
      <c r="C313" s="55">
        <v>29</v>
      </c>
      <c r="D313" s="55" t="str">
        <f t="shared" si="48"/>
        <v>01040103</v>
      </c>
      <c r="E313" s="55" t="str">
        <f t="shared" si="49"/>
        <v>4400849160004</v>
      </c>
      <c r="F313" s="55" t="b">
        <f t="shared" si="51"/>
        <v>0</v>
      </c>
      <c r="G313" s="139">
        <f t="shared" si="52"/>
        <v>46203</v>
      </c>
      <c r="H313" s="105">
        <f>VLOOKUP( $A313, Aop!$A$2:$P$453, 4, 0)</f>
        <v>540</v>
      </c>
      <c r="I313" s="55">
        <f t="shared" si="50"/>
        <v>2026</v>
      </c>
      <c r="J313" s="55" t="str">
        <f t="shared" ca="1" si="46"/>
        <v/>
      </c>
      <c r="K313" s="55"/>
      <c r="L313" s="55"/>
      <c r="M313" s="55" t="str">
        <f t="shared" ca="1" si="47"/>
        <v/>
      </c>
      <c r="N313" s="55" t="str">
        <f t="shared" ca="1" si="44"/>
        <v/>
      </c>
    </row>
    <row r="314" spans="1:14" x14ac:dyDescent="0.3">
      <c r="A314" s="105">
        <v>324</v>
      </c>
      <c r="B314" s="105" t="str">
        <f>VLOOKUP( $A314, Aop!$A$2:$P$453, 2, 0)</f>
        <v>BTG</v>
      </c>
      <c r="C314" s="55">
        <v>29</v>
      </c>
      <c r="D314" s="55" t="str">
        <f t="shared" si="48"/>
        <v>01040103</v>
      </c>
      <c r="E314" s="55" t="str">
        <f t="shared" si="49"/>
        <v>4400849160004</v>
      </c>
      <c r="F314" s="55" t="b">
        <f t="shared" si="51"/>
        <v>0</v>
      </c>
      <c r="G314" s="139">
        <f t="shared" si="52"/>
        <v>46203</v>
      </c>
      <c r="H314" s="105">
        <f>VLOOKUP( $A314, Aop!$A$2:$P$453, 4, 0)</f>
        <v>541</v>
      </c>
      <c r="I314" s="55">
        <f t="shared" si="50"/>
        <v>2026</v>
      </c>
      <c r="J314" s="55" t="str">
        <f t="shared" ca="1" si="46"/>
        <v/>
      </c>
      <c r="K314" s="55"/>
      <c r="L314" s="55"/>
      <c r="M314" s="55" t="str">
        <f t="shared" ca="1" si="47"/>
        <v/>
      </c>
      <c r="N314" s="55" t="str">
        <f t="shared" ca="1" si="44"/>
        <v/>
      </c>
    </row>
    <row r="315" spans="1:14" x14ac:dyDescent="0.3">
      <c r="A315" s="105">
        <v>325</v>
      </c>
      <c r="B315" s="105" t="str">
        <f>VLOOKUP( $A315, Aop!$A$2:$P$453, 2, 0)</f>
        <v>BTG</v>
      </c>
      <c r="C315" s="55">
        <v>29</v>
      </c>
      <c r="D315" s="55" t="str">
        <f t="shared" si="48"/>
        <v>01040103</v>
      </c>
      <c r="E315" s="55" t="str">
        <f t="shared" si="49"/>
        <v>4400849160004</v>
      </c>
      <c r="F315" s="55" t="b">
        <f t="shared" si="51"/>
        <v>0</v>
      </c>
      <c r="G315" s="139">
        <f t="shared" si="52"/>
        <v>46203</v>
      </c>
      <c r="H315" s="105">
        <f>VLOOKUP( $A315, Aop!$A$2:$P$453, 4, 0)</f>
        <v>542</v>
      </c>
      <c r="I315" s="55">
        <f t="shared" si="50"/>
        <v>2026</v>
      </c>
      <c r="J315" s="55" t="str">
        <f t="shared" ca="1" si="46"/>
        <v/>
      </c>
      <c r="K315" s="55"/>
      <c r="L315" s="55"/>
      <c r="M315" s="55">
        <f t="shared" ca="1" si="47"/>
        <v>0</v>
      </c>
      <c r="N315" s="55">
        <f t="shared" ca="1" si="44"/>
        <v>0</v>
      </c>
    </row>
    <row r="316" spans="1:14" x14ac:dyDescent="0.3">
      <c r="A316" s="105">
        <v>326</v>
      </c>
      <c r="B316" s="105" t="str">
        <f>VLOOKUP( $A316, Aop!$A$2:$P$453, 2, 0)</f>
        <v>BTG</v>
      </c>
      <c r="C316" s="55">
        <v>29</v>
      </c>
      <c r="D316" s="55" t="str">
        <f t="shared" si="48"/>
        <v>01040103</v>
      </c>
      <c r="E316" s="55" t="str">
        <f t="shared" si="49"/>
        <v>4400849160004</v>
      </c>
      <c r="F316" s="55" t="b">
        <f t="shared" si="51"/>
        <v>0</v>
      </c>
      <c r="G316" s="139">
        <f t="shared" si="52"/>
        <v>46203</v>
      </c>
      <c r="H316" s="105">
        <f>VLOOKUP( $A316, Aop!$A$2:$P$453, 4, 0)</f>
        <v>543</v>
      </c>
      <c r="I316" s="55">
        <f t="shared" si="50"/>
        <v>2026</v>
      </c>
      <c r="J316" s="55" t="str">
        <f t="shared" ca="1" si="46"/>
        <v/>
      </c>
      <c r="K316" s="55"/>
      <c r="L316" s="55"/>
      <c r="M316" s="55">
        <f t="shared" ca="1" si="47"/>
        <v>908571</v>
      </c>
      <c r="N316" s="55">
        <f t="shared" ca="1" si="44"/>
        <v>908571</v>
      </c>
    </row>
    <row r="317" spans="1:14" x14ac:dyDescent="0.3">
      <c r="A317" s="105">
        <v>327</v>
      </c>
      <c r="B317" s="105" t="str">
        <f>VLOOKUP( $A317, Aop!$A$2:$P$453, 2, 0)</f>
        <v>BTG</v>
      </c>
      <c r="C317" s="55">
        <v>29</v>
      </c>
      <c r="D317" s="55" t="str">
        <f t="shared" si="48"/>
        <v>01040103</v>
      </c>
      <c r="E317" s="55" t="str">
        <f t="shared" si="49"/>
        <v>4400849160004</v>
      </c>
      <c r="F317" s="55" t="b">
        <f t="shared" si="51"/>
        <v>0</v>
      </c>
      <c r="G317" s="139">
        <f t="shared" si="52"/>
        <v>46203</v>
      </c>
      <c r="H317" s="105">
        <f>VLOOKUP( $A317, Aop!$A$2:$P$453, 4, 0)</f>
        <v>544</v>
      </c>
      <c r="I317" s="55">
        <f t="shared" si="50"/>
        <v>2026</v>
      </c>
      <c r="J317" s="55">
        <f t="shared" ca="1" si="46"/>
        <v>33</v>
      </c>
      <c r="K317" s="55"/>
      <c r="L317" s="55"/>
      <c r="M317" s="55">
        <f t="shared" ca="1" si="47"/>
        <v>5335872</v>
      </c>
      <c r="N317" s="55">
        <f t="shared" ca="1" si="44"/>
        <v>5335872</v>
      </c>
    </row>
    <row r="318" spans="1:14" x14ac:dyDescent="0.3">
      <c r="A318" s="105">
        <v>328</v>
      </c>
      <c r="B318" s="105" t="str">
        <f>VLOOKUP( $A318, Aop!$A$2:$P$453, 2, 0)</f>
        <v>BTG</v>
      </c>
      <c r="C318" s="55">
        <v>29</v>
      </c>
      <c r="D318" s="55" t="str">
        <f t="shared" si="48"/>
        <v>01040103</v>
      </c>
      <c r="E318" s="55" t="str">
        <f t="shared" si="49"/>
        <v>4400849160004</v>
      </c>
      <c r="F318" s="55" t="b">
        <f t="shared" si="51"/>
        <v>0</v>
      </c>
      <c r="G318" s="139">
        <f t="shared" si="52"/>
        <v>46203</v>
      </c>
      <c r="H318" s="105">
        <f>VLOOKUP( $A318, Aop!$A$2:$P$453, 4, 0)</f>
        <v>545</v>
      </c>
      <c r="I318" s="55">
        <f t="shared" si="50"/>
        <v>2026</v>
      </c>
      <c r="J318" s="55" t="str">
        <f t="shared" ca="1" si="46"/>
        <v/>
      </c>
      <c r="K318" s="55"/>
      <c r="L318" s="55"/>
      <c r="M318" s="55" t="str">
        <f t="shared" ca="1" si="47"/>
        <v/>
      </c>
      <c r="N318" s="55" t="str">
        <f t="shared" ca="1" si="44"/>
        <v/>
      </c>
    </row>
    <row r="319" spans="1:14" x14ac:dyDescent="0.3">
      <c r="A319" s="105">
        <v>329</v>
      </c>
      <c r="B319" s="105" t="str">
        <f>VLOOKUP( $A319, Aop!$A$2:$P$453, 2, 0)</f>
        <v>BTG</v>
      </c>
      <c r="C319" s="55">
        <v>29</v>
      </c>
      <c r="D319" s="55" t="str">
        <f t="shared" si="48"/>
        <v>01040103</v>
      </c>
      <c r="E319" s="55" t="str">
        <f t="shared" si="49"/>
        <v>4400849160004</v>
      </c>
      <c r="F319" s="55" t="b">
        <f t="shared" si="51"/>
        <v>0</v>
      </c>
      <c r="G319" s="139">
        <f t="shared" si="52"/>
        <v>46203</v>
      </c>
      <c r="H319" s="105">
        <f>VLOOKUP( $A319, Aop!$A$2:$P$453, 4, 0)</f>
        <v>546</v>
      </c>
      <c r="I319" s="55">
        <f t="shared" si="50"/>
        <v>2026</v>
      </c>
      <c r="J319" s="55" t="str">
        <f t="shared" ca="1" si="46"/>
        <v/>
      </c>
      <c r="K319" s="55"/>
      <c r="L319" s="55"/>
      <c r="M319" s="55" t="str">
        <f t="shared" ca="1" si="47"/>
        <v/>
      </c>
      <c r="N319" s="55" t="str">
        <f t="shared" ca="1" si="44"/>
        <v/>
      </c>
    </row>
    <row r="320" spans="1:14" x14ac:dyDescent="0.3">
      <c r="A320" s="105">
        <v>330</v>
      </c>
      <c r="B320" s="105" t="str">
        <f>VLOOKUP( $A320, Aop!$A$2:$P$453, 2, 0)</f>
        <v>BTG</v>
      </c>
      <c r="C320" s="55">
        <v>29</v>
      </c>
      <c r="D320" s="55" t="str">
        <f t="shared" si="48"/>
        <v>01040103</v>
      </c>
      <c r="E320" s="55" t="str">
        <f t="shared" si="49"/>
        <v>4400849160004</v>
      </c>
      <c r="F320" s="55" t="b">
        <f t="shared" si="51"/>
        <v>0</v>
      </c>
      <c r="G320" s="139">
        <f t="shared" si="52"/>
        <v>46203</v>
      </c>
      <c r="H320" s="105">
        <f>VLOOKUP( $A320, Aop!$A$2:$P$453, 4, 0)</f>
        <v>547</v>
      </c>
      <c r="I320" s="55">
        <f t="shared" si="50"/>
        <v>2026</v>
      </c>
      <c r="J320" s="55" t="str">
        <f t="shared" ca="1" si="46"/>
        <v/>
      </c>
      <c r="K320" s="55"/>
      <c r="L320" s="55"/>
      <c r="M320" s="55" t="str">
        <f t="shared" ca="1" si="47"/>
        <v/>
      </c>
      <c r="N320" s="55" t="str">
        <f t="shared" ca="1" si="44"/>
        <v/>
      </c>
    </row>
    <row r="321" spans="1:14" x14ac:dyDescent="0.3">
      <c r="A321" s="105">
        <v>331</v>
      </c>
      <c r="B321" s="105" t="str">
        <f>VLOOKUP( $A321, Aop!$A$2:$P$453, 2, 0)</f>
        <v>BTG</v>
      </c>
      <c r="C321" s="55">
        <v>29</v>
      </c>
      <c r="D321" s="55" t="str">
        <f t="shared" si="48"/>
        <v>01040103</v>
      </c>
      <c r="E321" s="55" t="str">
        <f t="shared" si="49"/>
        <v>4400849160004</v>
      </c>
      <c r="F321" s="55" t="b">
        <f t="shared" si="51"/>
        <v>0</v>
      </c>
      <c r="G321" s="139">
        <f t="shared" si="52"/>
        <v>46203</v>
      </c>
      <c r="H321" s="105">
        <f>VLOOKUP( $A321, Aop!$A$2:$P$453, 4, 0)</f>
        <v>548</v>
      </c>
      <c r="I321" s="55">
        <f t="shared" si="50"/>
        <v>2026</v>
      </c>
      <c r="J321" s="55" t="str">
        <f t="shared" ca="1" si="46"/>
        <v/>
      </c>
      <c r="K321" s="55"/>
      <c r="L321" s="55"/>
      <c r="M321" s="55">
        <f t="shared" ca="1" si="47"/>
        <v>5335872</v>
      </c>
      <c r="N321" s="55">
        <f t="shared" ca="1" si="44"/>
        <v>5335872</v>
      </c>
    </row>
    <row r="322" spans="1:14" x14ac:dyDescent="0.3">
      <c r="A322" s="105">
        <v>332</v>
      </c>
      <c r="B322" s="105" t="str">
        <f>VLOOKUP( $A322, Aop!$A$2:$P$453, 2, 0)</f>
        <v>BTG</v>
      </c>
      <c r="C322" s="55">
        <v>29</v>
      </c>
      <c r="D322" s="55" t="str">
        <f t="shared" si="48"/>
        <v>01040103</v>
      </c>
      <c r="E322" s="55" t="str">
        <f t="shared" si="49"/>
        <v>4400849160004</v>
      </c>
      <c r="F322" s="55" t="b">
        <f t="shared" si="51"/>
        <v>0</v>
      </c>
      <c r="G322" s="139">
        <f t="shared" si="52"/>
        <v>46203</v>
      </c>
      <c r="H322" s="105">
        <f>VLOOKUP( $A322, Aop!$A$2:$P$453, 4, 0)</f>
        <v>549</v>
      </c>
      <c r="I322" s="55">
        <f t="shared" si="50"/>
        <v>2026</v>
      </c>
      <c r="J322" s="55" t="str">
        <f t="shared" ca="1" si="46"/>
        <v/>
      </c>
      <c r="K322" s="55"/>
      <c r="L322" s="55"/>
      <c r="M322" s="55" t="str">
        <f t="shared" ca="1" si="47"/>
        <v/>
      </c>
      <c r="N322" s="55" t="str">
        <f t="shared" ref="N322:N385" ca="1" si="53">IF( VLOOKUP( $H322, INDIRECT( "Lookup_" &amp; $B322), IF( LEFT( $B322, 2) = "BS", S$2, S$1), 0) = "", "", VLOOKUP( $H322, INDIRECT( "Lookup_" &amp; $B322), IF( LEFT( $B322, 2) = "BS", S$2, S$1), 0))</f>
        <v/>
      </c>
    </row>
    <row r="323" spans="1:14" x14ac:dyDescent="0.3">
      <c r="A323" s="105">
        <v>333</v>
      </c>
      <c r="B323" s="105" t="str">
        <f>VLOOKUP( $A323, Aop!$A$2:$P$453, 2, 0)</f>
        <v>BTG</v>
      </c>
      <c r="C323" s="55">
        <v>29</v>
      </c>
      <c r="D323" s="55" t="str">
        <f t="shared" si="48"/>
        <v>01040103</v>
      </c>
      <c r="E323" s="55" t="str">
        <f t="shared" si="49"/>
        <v>4400849160004</v>
      </c>
      <c r="F323" s="55" t="b">
        <f t="shared" si="51"/>
        <v>0</v>
      </c>
      <c r="G323" s="139">
        <f t="shared" si="52"/>
        <v>46203</v>
      </c>
      <c r="H323" s="105">
        <f>VLOOKUP( $A323, Aop!$A$2:$P$453, 4, 0)</f>
        <v>550</v>
      </c>
      <c r="I323" s="55">
        <f t="shared" si="50"/>
        <v>2026</v>
      </c>
      <c r="J323" s="55" t="str">
        <f t="shared" ca="1" si="46"/>
        <v/>
      </c>
      <c r="K323" s="55"/>
      <c r="L323" s="55"/>
      <c r="M323" s="55" t="str">
        <f t="shared" ca="1" si="47"/>
        <v/>
      </c>
      <c r="N323" s="55" t="str">
        <f t="shared" ca="1" si="53"/>
        <v/>
      </c>
    </row>
    <row r="324" spans="1:14" x14ac:dyDescent="0.3">
      <c r="A324" s="105">
        <v>334</v>
      </c>
      <c r="B324" s="105" t="str">
        <f>VLOOKUP( $A324, Aop!$A$2:$P$453, 2, 0)</f>
        <v>BTG</v>
      </c>
      <c r="C324" s="55">
        <v>29</v>
      </c>
      <c r="D324" s="55" t="str">
        <f t="shared" si="48"/>
        <v>01040103</v>
      </c>
      <c r="E324" s="55" t="str">
        <f t="shared" si="49"/>
        <v>4400849160004</v>
      </c>
      <c r="F324" s="55" t="b">
        <f t="shared" si="51"/>
        <v>0</v>
      </c>
      <c r="G324" s="139">
        <f t="shared" si="52"/>
        <v>46203</v>
      </c>
      <c r="H324" s="105">
        <f>VLOOKUP( $A324, Aop!$A$2:$P$453, 4, 0)</f>
        <v>551</v>
      </c>
      <c r="I324" s="55">
        <f t="shared" si="50"/>
        <v>2026</v>
      </c>
      <c r="J324" s="55">
        <f t="shared" ca="1" si="46"/>
        <v>34</v>
      </c>
      <c r="K324" s="55"/>
      <c r="L324" s="55"/>
      <c r="M324" s="55">
        <f t="shared" ca="1" si="47"/>
        <v>4785788</v>
      </c>
      <c r="N324" s="55">
        <f t="shared" ca="1" si="53"/>
        <v>4785788</v>
      </c>
    </row>
    <row r="325" spans="1:14" x14ac:dyDescent="0.3">
      <c r="A325" s="105">
        <v>335</v>
      </c>
      <c r="B325" s="105" t="str">
        <f>VLOOKUP( $A325, Aop!$A$2:$P$453, 2, 0)</f>
        <v>BTG</v>
      </c>
      <c r="C325" s="55">
        <v>29</v>
      </c>
      <c r="D325" s="55" t="str">
        <f t="shared" si="48"/>
        <v>01040103</v>
      </c>
      <c r="E325" s="55" t="str">
        <f t="shared" si="49"/>
        <v>4400849160004</v>
      </c>
      <c r="F325" s="55" t="b">
        <f t="shared" si="51"/>
        <v>0</v>
      </c>
      <c r="G325" s="139">
        <f t="shared" si="52"/>
        <v>46203</v>
      </c>
      <c r="H325" s="105">
        <f>VLOOKUP( $A325, Aop!$A$2:$P$453, 4, 0)</f>
        <v>552</v>
      </c>
      <c r="I325" s="55">
        <f t="shared" si="50"/>
        <v>2026</v>
      </c>
      <c r="J325" s="55" t="str">
        <f t="shared" ca="1" si="46"/>
        <v/>
      </c>
      <c r="K325" s="55"/>
      <c r="L325" s="55"/>
      <c r="M325" s="55" t="str">
        <f t="shared" ca="1" si="47"/>
        <v/>
      </c>
      <c r="N325" s="55" t="str">
        <f t="shared" ca="1" si="53"/>
        <v/>
      </c>
    </row>
    <row r="326" spans="1:14" x14ac:dyDescent="0.3">
      <c r="A326" s="105">
        <v>336</v>
      </c>
      <c r="B326" s="105" t="str">
        <f>VLOOKUP( $A326, Aop!$A$2:$P$453, 2, 0)</f>
        <v>BTG</v>
      </c>
      <c r="C326" s="55">
        <v>29</v>
      </c>
      <c r="D326" s="55" t="str">
        <f t="shared" si="48"/>
        <v>01040103</v>
      </c>
      <c r="E326" s="55" t="str">
        <f t="shared" si="49"/>
        <v>4400849160004</v>
      </c>
      <c r="F326" s="55" t="b">
        <f t="shared" si="51"/>
        <v>0</v>
      </c>
      <c r="G326" s="139">
        <f t="shared" si="52"/>
        <v>46203</v>
      </c>
      <c r="H326" s="105">
        <f>VLOOKUP( $A326, Aop!$A$2:$P$453, 4, 0)</f>
        <v>553</v>
      </c>
      <c r="I326" s="55">
        <f t="shared" si="50"/>
        <v>2026</v>
      </c>
      <c r="J326" s="55" t="str">
        <f t="shared" ca="1" si="46"/>
        <v/>
      </c>
      <c r="K326" s="55"/>
      <c r="L326" s="55"/>
      <c r="M326" s="55" t="str">
        <f t="shared" ca="1" si="47"/>
        <v/>
      </c>
      <c r="N326" s="55" t="str">
        <f t="shared" ca="1" si="53"/>
        <v/>
      </c>
    </row>
    <row r="327" spans="1:14" x14ac:dyDescent="0.3">
      <c r="A327" s="105">
        <v>337</v>
      </c>
      <c r="B327" s="105" t="str">
        <f>VLOOKUP( $A327, Aop!$A$2:$P$453, 2, 0)</f>
        <v>BTG</v>
      </c>
      <c r="C327" s="55">
        <v>29</v>
      </c>
      <c r="D327" s="55" t="str">
        <f t="shared" si="48"/>
        <v>01040103</v>
      </c>
      <c r="E327" s="55" t="str">
        <f t="shared" si="49"/>
        <v>4400849160004</v>
      </c>
      <c r="F327" s="55" t="b">
        <f t="shared" si="51"/>
        <v>0</v>
      </c>
      <c r="G327" s="139">
        <f t="shared" si="52"/>
        <v>46203</v>
      </c>
      <c r="H327" s="105">
        <f>VLOOKUP( $A327, Aop!$A$2:$P$453, 4, 0)</f>
        <v>554</v>
      </c>
      <c r="I327" s="55">
        <f t="shared" si="50"/>
        <v>2026</v>
      </c>
      <c r="J327" s="55" t="str">
        <f t="shared" ca="1" si="46"/>
        <v/>
      </c>
      <c r="K327" s="55"/>
      <c r="L327" s="55"/>
      <c r="M327" s="55">
        <f t="shared" ca="1" si="47"/>
        <v>4785788</v>
      </c>
      <c r="N327" s="55">
        <f t="shared" ca="1" si="53"/>
        <v>4785788</v>
      </c>
    </row>
    <row r="328" spans="1:14" x14ac:dyDescent="0.3">
      <c r="A328" s="105">
        <v>338</v>
      </c>
      <c r="B328" s="105" t="str">
        <f>VLOOKUP( $A328, Aop!$A$2:$P$453, 2, 0)</f>
        <v>BTG</v>
      </c>
      <c r="C328" s="55">
        <v>29</v>
      </c>
      <c r="D328" s="55" t="str">
        <f t="shared" si="48"/>
        <v>01040103</v>
      </c>
      <c r="E328" s="55" t="str">
        <f t="shared" si="49"/>
        <v>4400849160004</v>
      </c>
      <c r="F328" s="55" t="b">
        <f t="shared" si="51"/>
        <v>0</v>
      </c>
      <c r="G328" s="139">
        <f t="shared" si="52"/>
        <v>46203</v>
      </c>
      <c r="H328" s="105">
        <f>VLOOKUP( $A328, Aop!$A$2:$P$453, 4, 0)</f>
        <v>555</v>
      </c>
      <c r="I328" s="55">
        <f t="shared" si="50"/>
        <v>2026</v>
      </c>
      <c r="J328" s="55" t="str">
        <f t="shared" ca="1" si="46"/>
        <v/>
      </c>
      <c r="K328" s="55"/>
      <c r="L328" s="55"/>
      <c r="M328" s="55" t="str">
        <f t="shared" ca="1" si="47"/>
        <v/>
      </c>
      <c r="N328" s="55" t="str">
        <f t="shared" ca="1" si="53"/>
        <v/>
      </c>
    </row>
    <row r="329" spans="1:14" x14ac:dyDescent="0.3">
      <c r="A329" s="105">
        <v>339</v>
      </c>
      <c r="B329" s="105" t="str">
        <f>VLOOKUP( $A329, Aop!$A$2:$P$453, 2, 0)</f>
        <v>BTG</v>
      </c>
      <c r="C329" s="55">
        <v>29</v>
      </c>
      <c r="D329" s="55" t="str">
        <f t="shared" si="48"/>
        <v>01040103</v>
      </c>
      <c r="E329" s="55" t="str">
        <f t="shared" si="49"/>
        <v>4400849160004</v>
      </c>
      <c r="F329" s="55" t="b">
        <f t="shared" si="51"/>
        <v>0</v>
      </c>
      <c r="G329" s="139">
        <f t="shared" si="52"/>
        <v>46203</v>
      </c>
      <c r="H329" s="105">
        <f>VLOOKUP( $A329, Aop!$A$2:$P$453, 4, 0)</f>
        <v>556</v>
      </c>
      <c r="I329" s="55">
        <f t="shared" si="50"/>
        <v>2026</v>
      </c>
      <c r="J329" s="55" t="str">
        <f t="shared" ca="1" si="46"/>
        <v/>
      </c>
      <c r="K329" s="55"/>
      <c r="L329" s="55"/>
      <c r="M329" s="55" t="str">
        <f t="shared" ca="1" si="47"/>
        <v/>
      </c>
      <c r="N329" s="55" t="str">
        <f t="shared" ca="1" si="53"/>
        <v/>
      </c>
    </row>
    <row r="330" spans="1:14" x14ac:dyDescent="0.3">
      <c r="A330" s="105">
        <v>340</v>
      </c>
      <c r="B330" s="105" t="str">
        <f>VLOOKUP( $A330, Aop!$A$2:$P$453, 2, 0)</f>
        <v>BTG</v>
      </c>
      <c r="C330" s="55">
        <v>29</v>
      </c>
      <c r="D330" s="55" t="str">
        <f t="shared" si="48"/>
        <v>01040103</v>
      </c>
      <c r="E330" s="55" t="str">
        <f t="shared" si="49"/>
        <v>4400849160004</v>
      </c>
      <c r="F330" s="55" t="b">
        <f t="shared" si="51"/>
        <v>0</v>
      </c>
      <c r="G330" s="139">
        <f t="shared" si="52"/>
        <v>46203</v>
      </c>
      <c r="H330" s="105">
        <f>VLOOKUP( $A330, Aop!$A$2:$P$453, 4, 0)</f>
        <v>557</v>
      </c>
      <c r="I330" s="55">
        <f t="shared" si="50"/>
        <v>2026</v>
      </c>
      <c r="J330" s="55" t="str">
        <f t="shared" ca="1" si="46"/>
        <v/>
      </c>
      <c r="K330" s="55"/>
      <c r="L330" s="55"/>
      <c r="M330" s="55" t="str">
        <f t="shared" ca="1" si="47"/>
        <v/>
      </c>
      <c r="N330" s="55" t="str">
        <f t="shared" ca="1" si="53"/>
        <v/>
      </c>
    </row>
    <row r="331" spans="1:14" x14ac:dyDescent="0.3">
      <c r="A331" s="105">
        <v>341</v>
      </c>
      <c r="B331" s="105" t="str">
        <f>VLOOKUP( $A331, Aop!$A$2:$P$453, 2, 0)</f>
        <v>BTG</v>
      </c>
      <c r="C331" s="55">
        <v>29</v>
      </c>
      <c r="D331" s="55" t="str">
        <f t="shared" si="48"/>
        <v>01040103</v>
      </c>
      <c r="E331" s="55" t="str">
        <f t="shared" si="49"/>
        <v>4400849160004</v>
      </c>
      <c r="F331" s="55" t="b">
        <f t="shared" si="51"/>
        <v>0</v>
      </c>
      <c r="G331" s="139">
        <f t="shared" si="52"/>
        <v>46203</v>
      </c>
      <c r="H331" s="105">
        <f>VLOOKUP( $A331, Aop!$A$2:$P$453, 4, 0)</f>
        <v>558</v>
      </c>
      <c r="I331" s="55">
        <f t="shared" si="50"/>
        <v>2026</v>
      </c>
      <c r="J331" s="55" t="str">
        <f t="shared" ca="1" si="46"/>
        <v/>
      </c>
      <c r="K331" s="55"/>
      <c r="L331" s="55"/>
      <c r="M331" s="55" t="str">
        <f t="shared" ca="1" si="47"/>
        <v/>
      </c>
      <c r="N331" s="55" t="str">
        <f t="shared" ca="1" si="53"/>
        <v/>
      </c>
    </row>
    <row r="332" spans="1:14" x14ac:dyDescent="0.3">
      <c r="A332" s="105">
        <v>342</v>
      </c>
      <c r="B332" s="105" t="str">
        <f>VLOOKUP( $A332, Aop!$A$2:$P$453, 2, 0)</f>
        <v>BTG</v>
      </c>
      <c r="C332" s="55">
        <v>29</v>
      </c>
      <c r="D332" s="55" t="str">
        <f t="shared" si="48"/>
        <v>01040103</v>
      </c>
      <c r="E332" s="55" t="str">
        <f t="shared" si="49"/>
        <v>4400849160004</v>
      </c>
      <c r="F332" s="55" t="b">
        <f t="shared" si="51"/>
        <v>0</v>
      </c>
      <c r="G332" s="139">
        <f t="shared" si="52"/>
        <v>46203</v>
      </c>
      <c r="H332" s="105">
        <f>VLOOKUP( $A332, Aop!$A$2:$P$453, 4, 0)</f>
        <v>559</v>
      </c>
      <c r="I332" s="55">
        <f t="shared" si="50"/>
        <v>2026</v>
      </c>
      <c r="J332" s="55" t="str">
        <f t="shared" ref="J332:J341" ca="1" si="54">IF( VLOOKUP( $H332, INDIRECT( "Lookup_" &amp; $B332), IF( LEFT( $B332, 2) = "BS", R$2, R$1), 0) = "", "", VLOOKUP( $H332, INDIRECT( "Lookup_" &amp; $B332), IF( $B332 = "BSp", R$2, R$1), 0))</f>
        <v/>
      </c>
      <c r="K332" s="55"/>
      <c r="L332" s="55"/>
      <c r="M332" s="55">
        <f t="shared" ca="1" si="47"/>
        <v>550084</v>
      </c>
      <c r="N332" s="55">
        <f t="shared" ca="1" si="53"/>
        <v>550084</v>
      </c>
    </row>
    <row r="333" spans="1:14" x14ac:dyDescent="0.3">
      <c r="A333" s="105">
        <v>343</v>
      </c>
      <c r="B333" s="105" t="str">
        <f>VLOOKUP( $A333, Aop!$A$2:$P$453, 2, 0)</f>
        <v>BTG</v>
      </c>
      <c r="C333" s="55">
        <v>29</v>
      </c>
      <c r="D333" s="55" t="str">
        <f t="shared" si="48"/>
        <v>01040103</v>
      </c>
      <c r="E333" s="55" t="str">
        <f t="shared" si="49"/>
        <v>4400849160004</v>
      </c>
      <c r="F333" s="55" t="b">
        <f t="shared" si="51"/>
        <v>0</v>
      </c>
      <c r="G333" s="139">
        <f t="shared" si="52"/>
        <v>46203</v>
      </c>
      <c r="H333" s="105">
        <f>VLOOKUP( $A333, Aop!$A$2:$P$453, 4, 0)</f>
        <v>560</v>
      </c>
      <c r="I333" s="55">
        <f t="shared" si="50"/>
        <v>2026</v>
      </c>
      <c r="J333" s="55" t="str">
        <f t="shared" ca="1" si="54"/>
        <v/>
      </c>
      <c r="K333" s="55"/>
      <c r="L333" s="55"/>
      <c r="M333" s="55">
        <f t="shared" ca="1" si="47"/>
        <v>0</v>
      </c>
      <c r="N333" s="55">
        <f t="shared" ca="1" si="53"/>
        <v>0</v>
      </c>
    </row>
    <row r="334" spans="1:14" x14ac:dyDescent="0.3">
      <c r="A334" s="105">
        <v>344</v>
      </c>
      <c r="B334" s="105" t="str">
        <f>VLOOKUP( $A334, Aop!$A$2:$P$453, 2, 0)</f>
        <v>BTG</v>
      </c>
      <c r="C334" s="55">
        <v>29</v>
      </c>
      <c r="D334" s="55" t="str">
        <f t="shared" si="48"/>
        <v>01040103</v>
      </c>
      <c r="E334" s="55" t="str">
        <f t="shared" si="49"/>
        <v>4400849160004</v>
      </c>
      <c r="F334" s="55" t="b">
        <f t="shared" si="51"/>
        <v>0</v>
      </c>
      <c r="G334" s="139">
        <f t="shared" si="52"/>
        <v>46203</v>
      </c>
      <c r="H334" s="105">
        <f>VLOOKUP( $A334, Aop!$A$2:$P$453, 4, 0)</f>
        <v>561</v>
      </c>
      <c r="I334" s="55">
        <f t="shared" si="50"/>
        <v>2026</v>
      </c>
      <c r="J334" s="55">
        <f t="shared" ca="1" si="54"/>
        <v>30</v>
      </c>
      <c r="K334" s="55"/>
      <c r="L334" s="55"/>
      <c r="M334" s="55">
        <f t="shared" ca="1" si="47"/>
        <v>15207409</v>
      </c>
      <c r="N334" s="55">
        <f t="shared" ca="1" si="53"/>
        <v>15207409</v>
      </c>
    </row>
    <row r="335" spans="1:14" x14ac:dyDescent="0.3">
      <c r="A335" s="105">
        <v>345</v>
      </c>
      <c r="B335" s="105" t="str">
        <f>VLOOKUP( $A335, Aop!$A$2:$P$453, 2, 0)</f>
        <v>BTG</v>
      </c>
      <c r="C335" s="55">
        <v>29</v>
      </c>
      <c r="D335" s="55" t="str">
        <f t="shared" si="48"/>
        <v>01040103</v>
      </c>
      <c r="E335" s="55" t="str">
        <f t="shared" si="49"/>
        <v>4400849160004</v>
      </c>
      <c r="F335" s="55" t="b">
        <f t="shared" si="51"/>
        <v>0</v>
      </c>
      <c r="G335" s="139">
        <f t="shared" si="52"/>
        <v>46203</v>
      </c>
      <c r="H335" s="105">
        <f>VLOOKUP( $A335, Aop!$A$2:$P$453, 4, 0)</f>
        <v>562</v>
      </c>
      <c r="I335" s="55">
        <f t="shared" si="50"/>
        <v>2026</v>
      </c>
      <c r="J335" s="55">
        <f t="shared" ca="1" si="54"/>
        <v>31</v>
      </c>
      <c r="K335" s="55"/>
      <c r="L335" s="55"/>
      <c r="M335" s="55">
        <f t="shared" ca="1" si="47"/>
        <v>15154655</v>
      </c>
      <c r="N335" s="55">
        <f t="shared" ca="1" si="53"/>
        <v>15154655</v>
      </c>
    </row>
    <row r="336" spans="1:14" x14ac:dyDescent="0.3">
      <c r="A336" s="105">
        <v>346</v>
      </c>
      <c r="B336" s="105" t="str">
        <f>VLOOKUP( $A336, Aop!$A$2:$P$453, 2, 0)</f>
        <v>BTG</v>
      </c>
      <c r="C336" s="55">
        <v>29</v>
      </c>
      <c r="D336" s="55" t="str">
        <f t="shared" si="48"/>
        <v>01040103</v>
      </c>
      <c r="E336" s="55" t="str">
        <f t="shared" si="49"/>
        <v>4400849160004</v>
      </c>
      <c r="F336" s="55" t="b">
        <f t="shared" si="51"/>
        <v>0</v>
      </c>
      <c r="G336" s="139">
        <f t="shared" si="52"/>
        <v>46203</v>
      </c>
      <c r="H336" s="105">
        <f>VLOOKUP( $A336, Aop!$A$2:$P$453, 4, 0)</f>
        <v>563</v>
      </c>
      <c r="I336" s="55">
        <f t="shared" si="50"/>
        <v>2026</v>
      </c>
      <c r="J336" s="55" t="str">
        <f t="shared" ca="1" si="54"/>
        <v/>
      </c>
      <c r="K336" s="55"/>
      <c r="L336" s="55"/>
      <c r="M336" s="55">
        <f t="shared" ca="1" si="47"/>
        <v>52754</v>
      </c>
      <c r="N336" s="55">
        <f t="shared" ca="1" si="53"/>
        <v>52754</v>
      </c>
    </row>
    <row r="337" spans="1:14" x14ac:dyDescent="0.3">
      <c r="A337" s="105">
        <v>347</v>
      </c>
      <c r="B337" s="105" t="str">
        <f>VLOOKUP( $A337, Aop!$A$2:$P$453, 2, 0)</f>
        <v>BTG</v>
      </c>
      <c r="C337" s="55">
        <v>29</v>
      </c>
      <c r="D337" s="55" t="str">
        <f t="shared" si="48"/>
        <v>01040103</v>
      </c>
      <c r="E337" s="55" t="str">
        <f t="shared" si="49"/>
        <v>4400849160004</v>
      </c>
      <c r="F337" s="55" t="b">
        <f t="shared" si="51"/>
        <v>0</v>
      </c>
      <c r="G337" s="139">
        <f t="shared" si="52"/>
        <v>46203</v>
      </c>
      <c r="H337" s="105">
        <f>VLOOKUP( $A337, Aop!$A$2:$P$453, 4, 0)</f>
        <v>564</v>
      </c>
      <c r="I337" s="55">
        <f t="shared" si="50"/>
        <v>2026</v>
      </c>
      <c r="J337" s="55" t="str">
        <f t="shared" ca="1" si="54"/>
        <v/>
      </c>
      <c r="K337" s="55"/>
      <c r="L337" s="55"/>
      <c r="M337" s="55">
        <f t="shared" ref="M337:M341" ca="1" si="55">IF( VLOOKUP( $H337, INDIRECT( "Lookup_" &amp; $B337), IF( LEFT( $B337, 2) = "BS", S$2, S$1), 0) = "", "", VLOOKUP( $H337, INDIRECT( "Lookup_" &amp; $B337), IF( LEFT( $B337, 2) = "BS", S$2, S$1), 0))</f>
        <v>0</v>
      </c>
      <c r="N337" s="55">
        <f t="shared" ca="1" si="53"/>
        <v>0</v>
      </c>
    </row>
    <row r="338" spans="1:14" x14ac:dyDescent="0.3">
      <c r="A338" s="105">
        <v>348</v>
      </c>
      <c r="B338" s="105" t="str">
        <f>VLOOKUP( $A338, Aop!$A$2:$P$453, 2, 0)</f>
        <v>BTG</v>
      </c>
      <c r="C338" s="55">
        <v>29</v>
      </c>
      <c r="D338" s="55" t="str">
        <f t="shared" si="48"/>
        <v>01040103</v>
      </c>
      <c r="E338" s="55" t="str">
        <f t="shared" si="49"/>
        <v>4400849160004</v>
      </c>
      <c r="F338" s="55" t="b">
        <f t="shared" si="51"/>
        <v>0</v>
      </c>
      <c r="G338" s="139">
        <f t="shared" si="52"/>
        <v>46203</v>
      </c>
      <c r="H338" s="105">
        <f>VLOOKUP( $A338, Aop!$A$2:$P$453, 4, 0)</f>
        <v>565</v>
      </c>
      <c r="I338" s="55">
        <f t="shared" si="50"/>
        <v>2026</v>
      </c>
      <c r="J338" s="55" t="str">
        <f t="shared" ca="1" si="54"/>
        <v/>
      </c>
      <c r="K338" s="55"/>
      <c r="L338" s="55"/>
      <c r="M338" s="55">
        <f t="shared" ca="1" si="55"/>
        <v>197935</v>
      </c>
      <c r="N338" s="55">
        <f t="shared" ca="1" si="53"/>
        <v>197935</v>
      </c>
    </row>
    <row r="339" spans="1:14" x14ac:dyDescent="0.3">
      <c r="A339" s="105">
        <v>349</v>
      </c>
      <c r="B339" s="105" t="str">
        <f>VLOOKUP( $A339, Aop!$A$2:$P$453, 2, 0)</f>
        <v>BTG</v>
      </c>
      <c r="C339" s="55">
        <v>29</v>
      </c>
      <c r="D339" s="55" t="str">
        <f t="shared" si="48"/>
        <v>01040103</v>
      </c>
      <c r="E339" s="55" t="str">
        <f t="shared" si="49"/>
        <v>4400849160004</v>
      </c>
      <c r="F339" s="55" t="b">
        <f t="shared" si="51"/>
        <v>0</v>
      </c>
      <c r="G339" s="139">
        <f t="shared" si="52"/>
        <v>46203</v>
      </c>
      <c r="H339" s="105">
        <f>VLOOKUP( $A339, Aop!$A$2:$P$453, 4, 0)</f>
        <v>566</v>
      </c>
      <c r="I339" s="55">
        <f t="shared" si="50"/>
        <v>2026</v>
      </c>
      <c r="J339" s="55" t="str">
        <f t="shared" ca="1" si="54"/>
        <v/>
      </c>
      <c r="K339" s="55"/>
      <c r="L339" s="55"/>
      <c r="M339" s="55" t="str">
        <f t="shared" ca="1" si="55"/>
        <v/>
      </c>
      <c r="N339" s="55" t="str">
        <f t="shared" ca="1" si="53"/>
        <v/>
      </c>
    </row>
    <row r="340" spans="1:14" x14ac:dyDescent="0.3">
      <c r="A340" s="105">
        <v>350</v>
      </c>
      <c r="B340" s="105" t="str">
        <f>VLOOKUP( $A340, Aop!$A$2:$P$453, 2, 0)</f>
        <v>BTG</v>
      </c>
      <c r="C340" s="55">
        <v>29</v>
      </c>
      <c r="D340" s="55" t="str">
        <f t="shared" si="48"/>
        <v>01040103</v>
      </c>
      <c r="E340" s="55" t="str">
        <f t="shared" si="49"/>
        <v>4400849160004</v>
      </c>
      <c r="F340" s="55" t="b">
        <f t="shared" si="51"/>
        <v>0</v>
      </c>
      <c r="G340" s="139">
        <f t="shared" si="52"/>
        <v>46203</v>
      </c>
      <c r="H340" s="105">
        <f>VLOOKUP( $A340, Aop!$A$2:$P$453, 4, 0)</f>
        <v>567</v>
      </c>
      <c r="I340" s="55">
        <f t="shared" si="50"/>
        <v>2026</v>
      </c>
      <c r="J340" s="55" t="str">
        <f t="shared" ca="1" si="54"/>
        <v/>
      </c>
      <c r="K340" s="55"/>
      <c r="L340" s="55"/>
      <c r="M340" s="55" t="str">
        <f t="shared" ca="1" si="55"/>
        <v/>
      </c>
      <c r="N340" s="55" t="str">
        <f t="shared" ca="1" si="53"/>
        <v/>
      </c>
    </row>
    <row r="341" spans="1:14" x14ac:dyDescent="0.3">
      <c r="A341" s="105">
        <v>351</v>
      </c>
      <c r="B341" s="105" t="str">
        <f>VLOOKUP( $A341, Aop!$A$2:$P$453, 2, 0)</f>
        <v>BTG</v>
      </c>
      <c r="C341" s="55">
        <v>29</v>
      </c>
      <c r="D341" s="55" t="str">
        <f t="shared" si="48"/>
        <v>01040103</v>
      </c>
      <c r="E341" s="55" t="str">
        <f t="shared" si="49"/>
        <v>4400849160004</v>
      </c>
      <c r="F341" s="55" t="b">
        <f t="shared" si="51"/>
        <v>0</v>
      </c>
      <c r="G341" s="139">
        <f t="shared" si="52"/>
        <v>46203</v>
      </c>
      <c r="H341" s="105">
        <f>VLOOKUP( $A341, Aop!$A$2:$P$453, 4, 0)</f>
        <v>568</v>
      </c>
      <c r="I341" s="55">
        <f t="shared" si="50"/>
        <v>2026</v>
      </c>
      <c r="J341" s="55" t="str">
        <f t="shared" ca="1" si="54"/>
        <v/>
      </c>
      <c r="K341" s="55"/>
      <c r="L341" s="55"/>
      <c r="M341" s="55">
        <f t="shared" ca="1" si="55"/>
        <v>250689</v>
      </c>
      <c r="N341" s="55">
        <f t="shared" ca="1" si="53"/>
        <v>250689</v>
      </c>
    </row>
    <row r="342" spans="1:14" x14ac:dyDescent="0.3">
      <c r="A342" s="105">
        <v>352</v>
      </c>
      <c r="B342" s="55" t="str">
        <f>VLOOKUP( $A342, Aop!$A$2:$P$453, 2, 0)</f>
        <v>Aneks</v>
      </c>
      <c r="C342" s="55">
        <v>28</v>
      </c>
      <c r="D342" s="55" t="str">
        <f>Podatak_MB</f>
        <v>01040103</v>
      </c>
      <c r="E342" s="55" t="str">
        <f>Podatak_JIB</f>
        <v>4400849160004</v>
      </c>
      <c r="F342" s="55" t="b">
        <f>Konsolidovan_izvjestaj</f>
        <v>0</v>
      </c>
      <c r="G342" s="139">
        <f>Datum_Broj</f>
        <v>46203</v>
      </c>
      <c r="H342" s="55">
        <f>VLOOKUP( $A342, Aop!$A$2:$P$453, 4, 0)</f>
        <v>601</v>
      </c>
      <c r="I342" s="55">
        <f>Godina</f>
        <v>2026</v>
      </c>
      <c r="J342" s="55"/>
      <c r="K342" s="55"/>
      <c r="L342" s="55"/>
      <c r="M342" s="55" t="str">
        <f t="shared" ref="M342:M343" ca="1" si="56">IF( VLOOKUP( $H342, INDIRECT( "Lookup_" &amp; $B342), IF( LEFT( $B342, 2) = "BS", R$2, R$1), 0) = "", "", VLOOKUP( $H342, INDIRECT( "Lookup_" &amp; $B342), IF( LEFT( $B342, 2) = "BS", R$2, R$1), 0))</f>
        <v/>
      </c>
      <c r="N342" s="55" t="str">
        <f t="shared" ca="1" si="53"/>
        <v/>
      </c>
    </row>
    <row r="343" spans="1:14" x14ac:dyDescent="0.3">
      <c r="A343" s="105">
        <v>353</v>
      </c>
      <c r="B343" s="105" t="str">
        <f>VLOOKUP( $A343, Aop!$A$2:$P$453, 2, 0)</f>
        <v>Aneks</v>
      </c>
      <c r="C343" s="55">
        <v>28</v>
      </c>
      <c r="D343" s="55" t="str">
        <f t="shared" si="48"/>
        <v>01040103</v>
      </c>
      <c r="E343" s="55" t="str">
        <f t="shared" si="49"/>
        <v>4400849160004</v>
      </c>
      <c r="F343" s="55" t="b">
        <f t="shared" si="51"/>
        <v>0</v>
      </c>
      <c r="G343" s="139">
        <f t="shared" si="52"/>
        <v>46203</v>
      </c>
      <c r="H343" s="105">
        <f>VLOOKUP( $A343, Aop!$A$2:$P$453, 4, 0)</f>
        <v>602</v>
      </c>
      <c r="I343" s="55">
        <f t="shared" si="50"/>
        <v>2026</v>
      </c>
      <c r="J343" s="55"/>
      <c r="K343" s="55"/>
      <c r="L343" s="55"/>
      <c r="M343" s="55">
        <f t="shared" ca="1" si="56"/>
        <v>10364624</v>
      </c>
      <c r="N343" s="55">
        <f t="shared" ca="1" si="53"/>
        <v>8768095</v>
      </c>
    </row>
    <row r="344" spans="1:14" x14ac:dyDescent="0.3">
      <c r="A344" s="105">
        <v>354</v>
      </c>
      <c r="B344" s="105" t="str">
        <f>VLOOKUP( $A344, Aop!$A$2:$P$453, 2, 0)</f>
        <v>Aneks</v>
      </c>
      <c r="C344" s="55">
        <v>28</v>
      </c>
      <c r="D344" s="55" t="str">
        <f t="shared" si="48"/>
        <v>01040103</v>
      </c>
      <c r="E344" s="55" t="str">
        <f t="shared" si="49"/>
        <v>4400849160004</v>
      </c>
      <c r="F344" s="55" t="b">
        <f t="shared" si="51"/>
        <v>0</v>
      </c>
      <c r="G344" s="139">
        <f t="shared" si="52"/>
        <v>46203</v>
      </c>
      <c r="H344" s="105">
        <f>VLOOKUP( $A344, Aop!$A$2:$P$453, 4, 0)</f>
        <v>603</v>
      </c>
      <c r="I344" s="55">
        <f t="shared" si="50"/>
        <v>2026</v>
      </c>
      <c r="J344" s="55"/>
      <c r="K344" s="55"/>
      <c r="L344" s="55"/>
      <c r="M344" s="55">
        <f t="shared" ref="M344:M407" ca="1" si="57">IF( VLOOKUP( $H344, INDIRECT( "Lookup_" &amp; $B344), IF( LEFT( $B344, 2) = "BS", R$2, R$1), 0) = "", "", VLOOKUP( $H344, INDIRECT( "Lookup_" &amp; $B344), IF( LEFT( $B344, 2) = "BS", R$2, R$1), 0))</f>
        <v>239607</v>
      </c>
      <c r="N344" s="55">
        <f t="shared" ca="1" si="53"/>
        <v>220370</v>
      </c>
    </row>
    <row r="345" spans="1:14" x14ac:dyDescent="0.3">
      <c r="A345" s="105">
        <v>355</v>
      </c>
      <c r="B345" s="105" t="str">
        <f>VLOOKUP( $A345, Aop!$A$2:$P$453, 2, 0)</f>
        <v>Aneks</v>
      </c>
      <c r="C345" s="55">
        <v>28</v>
      </c>
      <c r="D345" s="55" t="str">
        <f t="shared" si="48"/>
        <v>01040103</v>
      </c>
      <c r="E345" s="55" t="str">
        <f t="shared" si="49"/>
        <v>4400849160004</v>
      </c>
      <c r="F345" s="55" t="b">
        <f t="shared" si="51"/>
        <v>0</v>
      </c>
      <c r="G345" s="139">
        <f t="shared" si="52"/>
        <v>46203</v>
      </c>
      <c r="H345" s="105">
        <f>VLOOKUP( $A345, Aop!$A$2:$P$453, 4, 0)</f>
        <v>604</v>
      </c>
      <c r="I345" s="55">
        <f t="shared" si="50"/>
        <v>2026</v>
      </c>
      <c r="J345" s="55"/>
      <c r="K345" s="55"/>
      <c r="L345" s="55"/>
      <c r="M345" s="55">
        <f t="shared" ca="1" si="57"/>
        <v>756</v>
      </c>
      <c r="N345" s="55">
        <f t="shared" ca="1" si="53"/>
        <v>1855</v>
      </c>
    </row>
    <row r="346" spans="1:14" x14ac:dyDescent="0.3">
      <c r="A346" s="105">
        <v>356</v>
      </c>
      <c r="B346" s="105" t="str">
        <f>VLOOKUP( $A346, Aop!$A$2:$P$453, 2, 0)</f>
        <v>Aneks</v>
      </c>
      <c r="C346" s="55">
        <v>28</v>
      </c>
      <c r="D346" s="55" t="str">
        <f t="shared" si="48"/>
        <v>01040103</v>
      </c>
      <c r="E346" s="55" t="str">
        <f t="shared" si="49"/>
        <v>4400849160004</v>
      </c>
      <c r="F346" s="55" t="b">
        <f t="shared" si="51"/>
        <v>0</v>
      </c>
      <c r="G346" s="139">
        <f t="shared" si="52"/>
        <v>46203</v>
      </c>
      <c r="H346" s="105">
        <f>VLOOKUP( $A346, Aop!$A$2:$P$453, 4, 0)</f>
        <v>605</v>
      </c>
      <c r="I346" s="55">
        <f t="shared" si="50"/>
        <v>2026</v>
      </c>
      <c r="J346" s="55"/>
      <c r="K346" s="55"/>
      <c r="L346" s="55"/>
      <c r="M346" s="55">
        <f t="shared" ca="1" si="57"/>
        <v>5399356</v>
      </c>
      <c r="N346" s="55">
        <f t="shared" ca="1" si="53"/>
        <v>4536524</v>
      </c>
    </row>
    <row r="347" spans="1:14" x14ac:dyDescent="0.3">
      <c r="A347" s="105">
        <v>357</v>
      </c>
      <c r="B347" s="105" t="str">
        <f>VLOOKUP( $A347, Aop!$A$2:$P$453, 2, 0)</f>
        <v>Aneks</v>
      </c>
      <c r="C347" s="55">
        <v>28</v>
      </c>
      <c r="D347" s="55" t="str">
        <f t="shared" si="48"/>
        <v>01040103</v>
      </c>
      <c r="E347" s="55" t="str">
        <f t="shared" si="49"/>
        <v>4400849160004</v>
      </c>
      <c r="F347" s="55" t="b">
        <f t="shared" si="51"/>
        <v>0</v>
      </c>
      <c r="G347" s="139">
        <f t="shared" si="52"/>
        <v>46203</v>
      </c>
      <c r="H347" s="105">
        <f>VLOOKUP( $A347, Aop!$A$2:$P$453, 4, 0)</f>
        <v>606</v>
      </c>
      <c r="I347" s="55">
        <f t="shared" si="50"/>
        <v>2026</v>
      </c>
      <c r="J347" s="55"/>
      <c r="K347" s="55"/>
      <c r="L347" s="55"/>
      <c r="M347" s="55">
        <f t="shared" ca="1" si="57"/>
        <v>758560</v>
      </c>
      <c r="N347" s="55">
        <f t="shared" ca="1" si="53"/>
        <v>155678</v>
      </c>
    </row>
    <row r="348" spans="1:14" x14ac:dyDescent="0.3">
      <c r="A348" s="105">
        <v>358</v>
      </c>
      <c r="B348" s="105" t="str">
        <f>VLOOKUP( $A348, Aop!$A$2:$P$453, 2, 0)</f>
        <v>Aneks</v>
      </c>
      <c r="C348" s="55">
        <v>28</v>
      </c>
      <c r="D348" s="55" t="str">
        <f t="shared" si="48"/>
        <v>01040103</v>
      </c>
      <c r="E348" s="55" t="str">
        <f t="shared" si="49"/>
        <v>4400849160004</v>
      </c>
      <c r="F348" s="55" t="b">
        <f t="shared" si="51"/>
        <v>0</v>
      </c>
      <c r="G348" s="139">
        <f t="shared" si="52"/>
        <v>46203</v>
      </c>
      <c r="H348" s="105">
        <f>VLOOKUP( $A348, Aop!$A$2:$P$453, 4, 0)</f>
        <v>607</v>
      </c>
      <c r="I348" s="55">
        <f t="shared" si="50"/>
        <v>2026</v>
      </c>
      <c r="J348" s="55"/>
      <c r="K348" s="55"/>
      <c r="L348" s="55"/>
      <c r="M348" s="55" t="str">
        <f t="shared" ca="1" si="57"/>
        <v/>
      </c>
      <c r="N348" s="55">
        <f t="shared" ca="1" si="53"/>
        <v>37445</v>
      </c>
    </row>
    <row r="349" spans="1:14" x14ac:dyDescent="0.3">
      <c r="A349" s="105">
        <v>359</v>
      </c>
      <c r="B349" s="105" t="str">
        <f>VLOOKUP( $A349, Aop!$A$2:$P$453, 2, 0)</f>
        <v>Aneks</v>
      </c>
      <c r="C349" s="55">
        <v>28</v>
      </c>
      <c r="D349" s="55" t="str">
        <f t="shared" si="48"/>
        <v>01040103</v>
      </c>
      <c r="E349" s="55" t="str">
        <f t="shared" si="49"/>
        <v>4400849160004</v>
      </c>
      <c r="F349" s="55" t="b">
        <f t="shared" si="51"/>
        <v>0</v>
      </c>
      <c r="G349" s="139">
        <f t="shared" si="52"/>
        <v>46203</v>
      </c>
      <c r="H349" s="105">
        <f>VLOOKUP( $A349, Aop!$A$2:$P$453, 4, 0)</f>
        <v>608</v>
      </c>
      <c r="I349" s="55">
        <f t="shared" si="50"/>
        <v>2026</v>
      </c>
      <c r="J349" s="55"/>
      <c r="K349" s="55"/>
      <c r="L349" s="55"/>
      <c r="M349" s="55">
        <f t="shared" ca="1" si="57"/>
        <v>114212</v>
      </c>
      <c r="N349" s="55">
        <f t="shared" ca="1" si="53"/>
        <v>144724</v>
      </c>
    </row>
    <row r="350" spans="1:14" x14ac:dyDescent="0.3">
      <c r="A350" s="105">
        <v>360</v>
      </c>
      <c r="B350" s="105" t="str">
        <f>VLOOKUP( $A350, Aop!$A$2:$P$453, 2, 0)</f>
        <v>Aneks</v>
      </c>
      <c r="C350" s="55">
        <v>28</v>
      </c>
      <c r="D350" s="55" t="str">
        <f t="shared" si="48"/>
        <v>01040103</v>
      </c>
      <c r="E350" s="55" t="str">
        <f t="shared" si="49"/>
        <v>4400849160004</v>
      </c>
      <c r="F350" s="55" t="b">
        <f t="shared" si="51"/>
        <v>0</v>
      </c>
      <c r="G350" s="139">
        <f t="shared" si="52"/>
        <v>46203</v>
      </c>
      <c r="H350" s="105">
        <f>VLOOKUP( $A350, Aop!$A$2:$P$453, 4, 0)</f>
        <v>609</v>
      </c>
      <c r="I350" s="55">
        <f t="shared" si="50"/>
        <v>2026</v>
      </c>
      <c r="J350" s="55"/>
      <c r="K350" s="55"/>
      <c r="L350" s="55"/>
      <c r="M350" s="55" t="str">
        <f t="shared" ca="1" si="57"/>
        <v/>
      </c>
      <c r="N350" s="55" t="str">
        <f t="shared" ca="1" si="53"/>
        <v/>
      </c>
    </row>
    <row r="351" spans="1:14" x14ac:dyDescent="0.3">
      <c r="A351" s="105">
        <v>361</v>
      </c>
      <c r="B351" s="105" t="str">
        <f>VLOOKUP( $A351, Aop!$A$2:$P$453, 2, 0)</f>
        <v>Aneks</v>
      </c>
      <c r="C351" s="55">
        <v>28</v>
      </c>
      <c r="D351" s="55" t="str">
        <f t="shared" si="48"/>
        <v>01040103</v>
      </c>
      <c r="E351" s="55" t="str">
        <f t="shared" si="49"/>
        <v>4400849160004</v>
      </c>
      <c r="F351" s="55" t="b">
        <f t="shared" si="51"/>
        <v>0</v>
      </c>
      <c r="G351" s="139">
        <f t="shared" si="52"/>
        <v>46203</v>
      </c>
      <c r="H351" s="105">
        <f>VLOOKUP( $A351, Aop!$A$2:$P$453, 4, 0)</f>
        <v>610</v>
      </c>
      <c r="I351" s="55">
        <f t="shared" si="50"/>
        <v>2026</v>
      </c>
      <c r="J351" s="55"/>
      <c r="K351" s="55"/>
      <c r="L351" s="55"/>
      <c r="M351" s="55" t="str">
        <f t="shared" ca="1" si="57"/>
        <v/>
      </c>
      <c r="N351" s="55" t="str">
        <f t="shared" ca="1" si="53"/>
        <v/>
      </c>
    </row>
    <row r="352" spans="1:14" x14ac:dyDescent="0.3">
      <c r="A352" s="105">
        <v>362</v>
      </c>
      <c r="B352" s="105" t="str">
        <f>VLOOKUP( $A352, Aop!$A$2:$P$453, 2, 0)</f>
        <v>Aneks</v>
      </c>
      <c r="C352" s="55">
        <v>28</v>
      </c>
      <c r="D352" s="55" t="str">
        <f t="shared" si="48"/>
        <v>01040103</v>
      </c>
      <c r="E352" s="55" t="str">
        <f t="shared" si="49"/>
        <v>4400849160004</v>
      </c>
      <c r="F352" s="55" t="b">
        <f t="shared" si="51"/>
        <v>0</v>
      </c>
      <c r="G352" s="139">
        <f t="shared" si="52"/>
        <v>46203</v>
      </c>
      <c r="H352" s="105">
        <f>VLOOKUP( $A352, Aop!$A$2:$P$453, 4, 0)</f>
        <v>611</v>
      </c>
      <c r="I352" s="55">
        <f t="shared" si="50"/>
        <v>2026</v>
      </c>
      <c r="J352" s="55"/>
      <c r="K352" s="55"/>
      <c r="L352" s="55"/>
      <c r="M352" s="55" t="str">
        <f t="shared" ca="1" si="57"/>
        <v/>
      </c>
      <c r="N352" s="55" t="str">
        <f t="shared" ca="1" si="53"/>
        <v/>
      </c>
    </row>
    <row r="353" spans="1:14" x14ac:dyDescent="0.3">
      <c r="A353" s="105">
        <v>363</v>
      </c>
      <c r="B353" s="105" t="str">
        <f>VLOOKUP( $A353, Aop!$A$2:$P$453, 2, 0)</f>
        <v>Aneks</v>
      </c>
      <c r="C353" s="55">
        <v>28</v>
      </c>
      <c r="D353" s="55" t="str">
        <f t="shared" si="48"/>
        <v>01040103</v>
      </c>
      <c r="E353" s="55" t="str">
        <f t="shared" si="49"/>
        <v>4400849160004</v>
      </c>
      <c r="F353" s="55" t="b">
        <f t="shared" si="51"/>
        <v>0</v>
      </c>
      <c r="G353" s="139">
        <f t="shared" si="52"/>
        <v>46203</v>
      </c>
      <c r="H353" s="105">
        <f>VLOOKUP( $A353, Aop!$A$2:$P$453, 4, 0)</f>
        <v>612</v>
      </c>
      <c r="I353" s="55">
        <f t="shared" si="50"/>
        <v>2026</v>
      </c>
      <c r="J353" s="55"/>
      <c r="K353" s="55"/>
      <c r="L353" s="55"/>
      <c r="M353" s="55" t="str">
        <f t="shared" ca="1" si="57"/>
        <v/>
      </c>
      <c r="N353" s="55" t="str">
        <f t="shared" ca="1" si="53"/>
        <v/>
      </c>
    </row>
    <row r="354" spans="1:14" x14ac:dyDescent="0.3">
      <c r="A354" s="105">
        <v>364</v>
      </c>
      <c r="B354" s="105" t="str">
        <f>VLOOKUP( $A354, Aop!$A$2:$P$453, 2, 0)</f>
        <v>Aneks</v>
      </c>
      <c r="C354" s="55">
        <v>28</v>
      </c>
      <c r="D354" s="55" t="str">
        <f t="shared" si="48"/>
        <v>01040103</v>
      </c>
      <c r="E354" s="55" t="str">
        <f t="shared" si="49"/>
        <v>4400849160004</v>
      </c>
      <c r="F354" s="55" t="b">
        <f t="shared" si="51"/>
        <v>0</v>
      </c>
      <c r="G354" s="139">
        <f t="shared" si="52"/>
        <v>46203</v>
      </c>
      <c r="H354" s="105">
        <f>VLOOKUP( $A354, Aop!$A$2:$P$453, 4, 0)</f>
        <v>613</v>
      </c>
      <c r="I354" s="55">
        <f t="shared" si="50"/>
        <v>2026</v>
      </c>
      <c r="J354" s="55"/>
      <c r="K354" s="55"/>
      <c r="L354" s="55"/>
      <c r="M354" s="55" t="str">
        <f t="shared" ca="1" si="57"/>
        <v/>
      </c>
      <c r="N354" s="55" t="str">
        <f t="shared" ca="1" si="53"/>
        <v/>
      </c>
    </row>
    <row r="355" spans="1:14" x14ac:dyDescent="0.3">
      <c r="A355" s="105">
        <v>365</v>
      </c>
      <c r="B355" s="105" t="str">
        <f>VLOOKUP( $A355, Aop!$A$2:$P$453, 2, 0)</f>
        <v>Aneks</v>
      </c>
      <c r="C355" s="55">
        <v>28</v>
      </c>
      <c r="D355" s="55" t="str">
        <f t="shared" si="48"/>
        <v>01040103</v>
      </c>
      <c r="E355" s="55" t="str">
        <f t="shared" si="49"/>
        <v>4400849160004</v>
      </c>
      <c r="F355" s="55" t="b">
        <f t="shared" si="51"/>
        <v>0</v>
      </c>
      <c r="G355" s="139">
        <f t="shared" si="52"/>
        <v>46203</v>
      </c>
      <c r="H355" s="105">
        <f>VLOOKUP( $A355, Aop!$A$2:$P$453, 4, 0)</f>
        <v>614</v>
      </c>
      <c r="I355" s="55">
        <f t="shared" si="50"/>
        <v>2026</v>
      </c>
      <c r="J355" s="55"/>
      <c r="K355" s="55"/>
      <c r="L355" s="55"/>
      <c r="M355" s="55">
        <f t="shared" ca="1" si="57"/>
        <v>9649679</v>
      </c>
      <c r="N355" s="55">
        <f t="shared" ca="1" si="53"/>
        <v>8151159</v>
      </c>
    </row>
    <row r="356" spans="1:14" x14ac:dyDescent="0.3">
      <c r="A356" s="105">
        <v>366</v>
      </c>
      <c r="B356" s="105" t="str">
        <f>VLOOKUP( $A356, Aop!$A$2:$P$453, 2, 0)</f>
        <v>Aneks</v>
      </c>
      <c r="C356" s="55">
        <v>28</v>
      </c>
      <c r="D356" s="55" t="str">
        <f t="shared" si="48"/>
        <v>01040103</v>
      </c>
      <c r="E356" s="55" t="str">
        <f t="shared" si="49"/>
        <v>4400849160004</v>
      </c>
      <c r="F356" s="55" t="b">
        <f t="shared" si="51"/>
        <v>0</v>
      </c>
      <c r="G356" s="139">
        <f t="shared" si="52"/>
        <v>46203</v>
      </c>
      <c r="H356" s="105">
        <f>VLOOKUP( $A356, Aop!$A$2:$P$453, 4, 0)</f>
        <v>615</v>
      </c>
      <c r="I356" s="55">
        <f t="shared" si="50"/>
        <v>2026</v>
      </c>
      <c r="J356" s="55"/>
      <c r="K356" s="55"/>
      <c r="L356" s="55"/>
      <c r="M356" s="55">
        <f t="shared" ca="1" si="57"/>
        <v>22542</v>
      </c>
      <c r="N356" s="55">
        <f t="shared" ca="1" si="53"/>
        <v>23567</v>
      </c>
    </row>
    <row r="357" spans="1:14" x14ac:dyDescent="0.3">
      <c r="A357" s="105">
        <v>367</v>
      </c>
      <c r="B357" s="105" t="str">
        <f>VLOOKUP( $A357, Aop!$A$2:$P$453, 2, 0)</f>
        <v>Aneks</v>
      </c>
      <c r="C357" s="55">
        <v>28</v>
      </c>
      <c r="D357" s="55" t="str">
        <f t="shared" ref="D357:D364" si="58">Podatak_MB</f>
        <v>01040103</v>
      </c>
      <c r="E357" s="55" t="str">
        <f t="shared" ref="E357:E364" si="59">Podatak_JIB</f>
        <v>4400849160004</v>
      </c>
      <c r="F357" s="55" t="b">
        <f t="shared" ref="F357:F364" si="60">Konsolidovan_izvjestaj</f>
        <v>0</v>
      </c>
      <c r="G357" s="139">
        <f t="shared" ref="G357:G364" si="61">Datum_Broj</f>
        <v>46203</v>
      </c>
      <c r="H357" s="55">
        <f>VLOOKUP( $A357, Aop!$A$2:$P$453, 4, 0)</f>
        <v>616</v>
      </c>
      <c r="I357" s="55">
        <f t="shared" ref="I357:I364" si="62">Godina</f>
        <v>2026</v>
      </c>
      <c r="J357" s="55"/>
      <c r="K357" s="55"/>
      <c r="L357" s="55"/>
      <c r="M357" s="55" t="str">
        <f t="shared" ca="1" si="57"/>
        <v/>
      </c>
      <c r="N357" s="55">
        <f t="shared" ca="1" si="53"/>
        <v>930</v>
      </c>
    </row>
    <row r="358" spans="1:14" x14ac:dyDescent="0.3">
      <c r="A358" s="105">
        <v>368</v>
      </c>
      <c r="B358" s="105" t="str">
        <f>VLOOKUP( $A358, Aop!$A$2:$P$453, 2, 0)</f>
        <v>Aneks</v>
      </c>
      <c r="C358" s="55">
        <v>28</v>
      </c>
      <c r="D358" s="55" t="str">
        <f t="shared" si="58"/>
        <v>01040103</v>
      </c>
      <c r="E358" s="55" t="str">
        <f t="shared" si="59"/>
        <v>4400849160004</v>
      </c>
      <c r="F358" s="55" t="b">
        <f t="shared" si="60"/>
        <v>0</v>
      </c>
      <c r="G358" s="139">
        <f t="shared" si="61"/>
        <v>46203</v>
      </c>
      <c r="H358" s="55">
        <f>VLOOKUP( $A358, Aop!$A$2:$P$453, 4, 0)</f>
        <v>617</v>
      </c>
      <c r="I358" s="55">
        <f t="shared" si="62"/>
        <v>2026</v>
      </c>
      <c r="J358" s="55"/>
      <c r="K358" s="55"/>
      <c r="L358" s="55"/>
      <c r="M358" s="55">
        <f t="shared" ca="1" si="57"/>
        <v>70930</v>
      </c>
      <c r="N358" s="55">
        <f t="shared" ca="1" si="53"/>
        <v>71919</v>
      </c>
    </row>
    <row r="359" spans="1:14" x14ac:dyDescent="0.3">
      <c r="A359" s="105">
        <v>369</v>
      </c>
      <c r="B359" s="105" t="str">
        <f>VLOOKUP( $A359, Aop!$A$2:$P$453, 2, 0)</f>
        <v>Aneks</v>
      </c>
      <c r="C359" s="55">
        <v>28</v>
      </c>
      <c r="D359" s="55" t="str">
        <f t="shared" si="58"/>
        <v>01040103</v>
      </c>
      <c r="E359" s="55" t="str">
        <f t="shared" si="59"/>
        <v>4400849160004</v>
      </c>
      <c r="F359" s="55" t="b">
        <f t="shared" si="60"/>
        <v>0</v>
      </c>
      <c r="G359" s="139">
        <f t="shared" si="61"/>
        <v>46203</v>
      </c>
      <c r="H359" s="55">
        <f>VLOOKUP( $A359, Aop!$A$2:$P$453, 4, 0)</f>
        <v>618</v>
      </c>
      <c r="I359" s="55">
        <f t="shared" si="62"/>
        <v>2026</v>
      </c>
      <c r="J359" s="55"/>
      <c r="K359" s="55"/>
      <c r="L359" s="55"/>
      <c r="M359" s="55" t="str">
        <f t="shared" ca="1" si="57"/>
        <v/>
      </c>
      <c r="N359" s="55" t="str">
        <f t="shared" ca="1" si="53"/>
        <v/>
      </c>
    </row>
    <row r="360" spans="1:14" x14ac:dyDescent="0.3">
      <c r="A360" s="105">
        <v>370</v>
      </c>
      <c r="B360" s="105" t="str">
        <f>VLOOKUP( $A360, Aop!$A$2:$P$453, 2, 0)</f>
        <v>Aneks</v>
      </c>
      <c r="C360" s="55">
        <v>28</v>
      </c>
      <c r="D360" s="55" t="str">
        <f t="shared" si="58"/>
        <v>01040103</v>
      </c>
      <c r="E360" s="55" t="str">
        <f t="shared" si="59"/>
        <v>4400849160004</v>
      </c>
      <c r="F360" s="55" t="b">
        <f t="shared" si="60"/>
        <v>0</v>
      </c>
      <c r="G360" s="139">
        <f t="shared" si="61"/>
        <v>46203</v>
      </c>
      <c r="H360" s="55">
        <f>VLOOKUP( $A360, Aop!$A$2:$P$453, 4, 0)</f>
        <v>619</v>
      </c>
      <c r="I360" s="55">
        <f t="shared" si="62"/>
        <v>2026</v>
      </c>
      <c r="J360" s="55"/>
      <c r="K360" s="55"/>
      <c r="L360" s="55"/>
      <c r="M360" s="55" t="str">
        <f t="shared" ca="1" si="57"/>
        <v/>
      </c>
      <c r="N360" s="55" t="str">
        <f t="shared" ca="1" si="53"/>
        <v/>
      </c>
    </row>
    <row r="361" spans="1:14" x14ac:dyDescent="0.3">
      <c r="A361" s="105">
        <v>371</v>
      </c>
      <c r="B361" s="105" t="str">
        <f>VLOOKUP( $A361, Aop!$A$2:$P$453, 2, 0)</f>
        <v>Aneks</v>
      </c>
      <c r="C361" s="55">
        <v>28</v>
      </c>
      <c r="D361" s="55" t="str">
        <f t="shared" si="58"/>
        <v>01040103</v>
      </c>
      <c r="E361" s="55" t="str">
        <f t="shared" si="59"/>
        <v>4400849160004</v>
      </c>
      <c r="F361" s="55" t="b">
        <f t="shared" si="60"/>
        <v>0</v>
      </c>
      <c r="G361" s="139">
        <f t="shared" si="61"/>
        <v>46203</v>
      </c>
      <c r="H361" s="55">
        <f>VLOOKUP( $A361, Aop!$A$2:$P$453, 4, 0)</f>
        <v>620</v>
      </c>
      <c r="I361" s="55">
        <f t="shared" si="62"/>
        <v>2026</v>
      </c>
      <c r="J361" s="55"/>
      <c r="K361" s="55"/>
      <c r="L361" s="55"/>
      <c r="M361" s="55" t="str">
        <f t="shared" ca="1" si="57"/>
        <v/>
      </c>
      <c r="N361" s="55" t="str">
        <f t="shared" ca="1" si="53"/>
        <v/>
      </c>
    </row>
    <row r="362" spans="1:14" x14ac:dyDescent="0.3">
      <c r="A362" s="105">
        <v>372</v>
      </c>
      <c r="B362" s="105" t="str">
        <f>VLOOKUP( $A362, Aop!$A$2:$P$453, 2, 0)</f>
        <v>Aneks</v>
      </c>
      <c r="C362" s="55">
        <v>28</v>
      </c>
      <c r="D362" s="55" t="str">
        <f t="shared" si="58"/>
        <v>01040103</v>
      </c>
      <c r="E362" s="55" t="str">
        <f t="shared" si="59"/>
        <v>4400849160004</v>
      </c>
      <c r="F362" s="55" t="b">
        <f t="shared" si="60"/>
        <v>0</v>
      </c>
      <c r="G362" s="139">
        <f t="shared" si="61"/>
        <v>46203</v>
      </c>
      <c r="H362" s="55">
        <f>VLOOKUP( $A362, Aop!$A$2:$P$453, 4, 0)</f>
        <v>621</v>
      </c>
      <c r="I362" s="55">
        <f t="shared" si="62"/>
        <v>2026</v>
      </c>
      <c r="J362" s="55"/>
      <c r="K362" s="55"/>
      <c r="L362" s="55"/>
      <c r="M362" s="55">
        <f t="shared" ca="1" si="57"/>
        <v>10049</v>
      </c>
      <c r="N362" s="55">
        <f t="shared" ca="1" si="53"/>
        <v>8935</v>
      </c>
    </row>
    <row r="363" spans="1:14" x14ac:dyDescent="0.3">
      <c r="A363" s="105">
        <v>373</v>
      </c>
      <c r="B363" s="105" t="str">
        <f>VLOOKUP( $A363, Aop!$A$2:$P$453, 2, 0)</f>
        <v>Aneks</v>
      </c>
      <c r="C363" s="55">
        <v>28</v>
      </c>
      <c r="D363" s="55" t="str">
        <f t="shared" si="58"/>
        <v>01040103</v>
      </c>
      <c r="E363" s="55" t="str">
        <f t="shared" si="59"/>
        <v>4400849160004</v>
      </c>
      <c r="F363" s="55" t="b">
        <f t="shared" si="60"/>
        <v>0</v>
      </c>
      <c r="G363" s="139">
        <f t="shared" si="61"/>
        <v>46203</v>
      </c>
      <c r="H363" s="55">
        <f>VLOOKUP( $A363, Aop!$A$2:$P$453, 4, 0)</f>
        <v>622</v>
      </c>
      <c r="I363" s="55">
        <f t="shared" si="62"/>
        <v>2026</v>
      </c>
      <c r="J363" s="55"/>
      <c r="K363" s="55"/>
      <c r="L363" s="55"/>
      <c r="M363" s="55">
        <f t="shared" ca="1" si="57"/>
        <v>10187</v>
      </c>
      <c r="N363" s="55">
        <f t="shared" ca="1" si="53"/>
        <v>14525</v>
      </c>
    </row>
    <row r="364" spans="1:14" x14ac:dyDescent="0.3">
      <c r="A364" s="105">
        <v>374</v>
      </c>
      <c r="B364" s="105" t="str">
        <f>VLOOKUP( $A364, Aop!$A$2:$P$453, 2, 0)</f>
        <v>Aneks</v>
      </c>
      <c r="C364" s="55">
        <v>28</v>
      </c>
      <c r="D364" s="55" t="str">
        <f t="shared" si="58"/>
        <v>01040103</v>
      </c>
      <c r="E364" s="55" t="str">
        <f t="shared" si="59"/>
        <v>4400849160004</v>
      </c>
      <c r="F364" s="55" t="b">
        <f t="shared" si="60"/>
        <v>0</v>
      </c>
      <c r="G364" s="139">
        <f t="shared" si="61"/>
        <v>46203</v>
      </c>
      <c r="H364" s="55">
        <f>VLOOKUP( $A364, Aop!$A$2:$P$453, 4, 0)</f>
        <v>623</v>
      </c>
      <c r="I364" s="55">
        <f t="shared" si="62"/>
        <v>2026</v>
      </c>
      <c r="J364" s="55"/>
      <c r="K364" s="55"/>
      <c r="L364" s="55"/>
      <c r="M364" s="55" t="str">
        <f t="shared" ca="1" si="57"/>
        <v/>
      </c>
      <c r="N364" s="55" t="str">
        <f t="shared" ca="1" si="53"/>
        <v/>
      </c>
    </row>
    <row r="365" spans="1:14" x14ac:dyDescent="0.3">
      <c r="A365" s="105">
        <v>375</v>
      </c>
      <c r="B365" s="52" t="str">
        <f>VLOOKUP( $A365, Aop!$A$2:$P$453, 2, 0)</f>
        <v>Aneks</v>
      </c>
      <c r="C365" s="55">
        <v>28</v>
      </c>
      <c r="D365" s="52" t="str">
        <f t="shared" ref="D365:D381" si="63">Podatak_MB</f>
        <v>01040103</v>
      </c>
      <c r="E365" s="52" t="str">
        <f t="shared" ref="E365:E381" si="64">Podatak_JIB</f>
        <v>4400849160004</v>
      </c>
      <c r="F365" s="52" t="b">
        <f t="shared" ref="F365:F381" si="65">Konsolidovan_izvjestaj</f>
        <v>0</v>
      </c>
      <c r="G365" s="224">
        <f t="shared" ref="G365:G408" si="66">Datum_Broj</f>
        <v>46203</v>
      </c>
      <c r="H365" s="52">
        <f>VLOOKUP( $A365, Aop!$A$2:$P$453, 4, 0)</f>
        <v>624</v>
      </c>
      <c r="I365" s="52">
        <f t="shared" ref="I365:I381" si="67">Godina</f>
        <v>2026</v>
      </c>
      <c r="J365" s="55"/>
      <c r="K365" s="52"/>
      <c r="L365" s="52"/>
      <c r="M365" s="55" t="str">
        <f t="shared" ca="1" si="57"/>
        <v/>
      </c>
      <c r="N365" s="55" t="str">
        <f t="shared" ca="1" si="53"/>
        <v/>
      </c>
    </row>
    <row r="366" spans="1:14" x14ac:dyDescent="0.3">
      <c r="A366" s="105">
        <v>376</v>
      </c>
      <c r="B366" s="52" t="str">
        <f>VLOOKUP( $A366, Aop!$A$2:$P$453, 2, 0)</f>
        <v>Aneks</v>
      </c>
      <c r="C366" s="55">
        <v>28</v>
      </c>
      <c r="D366" s="52" t="str">
        <f t="shared" si="63"/>
        <v>01040103</v>
      </c>
      <c r="E366" s="52" t="str">
        <f t="shared" si="64"/>
        <v>4400849160004</v>
      </c>
      <c r="F366" s="52" t="b">
        <f t="shared" si="65"/>
        <v>0</v>
      </c>
      <c r="G366" s="224">
        <f t="shared" si="66"/>
        <v>46203</v>
      </c>
      <c r="H366" s="52">
        <f>VLOOKUP( $A366, Aop!$A$2:$P$453, 4, 0)</f>
        <v>625</v>
      </c>
      <c r="I366" s="52">
        <f t="shared" si="67"/>
        <v>2026</v>
      </c>
      <c r="J366" s="55"/>
      <c r="K366" s="52"/>
      <c r="L366" s="52"/>
      <c r="M366" s="55">
        <f t="shared" ca="1" si="57"/>
        <v>40617</v>
      </c>
      <c r="N366" s="55">
        <f t="shared" ca="1" si="53"/>
        <v>40535</v>
      </c>
    </row>
    <row r="367" spans="1:14" x14ac:dyDescent="0.3">
      <c r="A367" s="105">
        <v>377</v>
      </c>
      <c r="B367" s="52" t="str">
        <f>VLOOKUP( $A367, Aop!$A$2:$P$453, 2, 0)</f>
        <v>Aneks</v>
      </c>
      <c r="C367" s="55">
        <v>28</v>
      </c>
      <c r="D367" s="52" t="str">
        <f t="shared" si="63"/>
        <v>01040103</v>
      </c>
      <c r="E367" s="52" t="str">
        <f t="shared" si="64"/>
        <v>4400849160004</v>
      </c>
      <c r="F367" s="52" t="b">
        <f t="shared" si="65"/>
        <v>0</v>
      </c>
      <c r="G367" s="224">
        <f t="shared" si="66"/>
        <v>46203</v>
      </c>
      <c r="H367" s="52">
        <f>VLOOKUP( $A367, Aop!$A$2:$P$453, 4, 0)</f>
        <v>626</v>
      </c>
      <c r="I367" s="52">
        <f t="shared" si="67"/>
        <v>2026</v>
      </c>
      <c r="J367" s="55"/>
      <c r="K367" s="52"/>
      <c r="L367" s="52"/>
      <c r="M367" s="55" t="str">
        <f t="shared" ca="1" si="57"/>
        <v/>
      </c>
      <c r="N367" s="55" t="str">
        <f t="shared" ca="1" si="53"/>
        <v/>
      </c>
    </row>
    <row r="368" spans="1:14" x14ac:dyDescent="0.3">
      <c r="A368" s="105">
        <v>378</v>
      </c>
      <c r="B368" s="52" t="str">
        <f>VLOOKUP( $A368, Aop!$A$2:$P$453, 2, 0)</f>
        <v>Aneks</v>
      </c>
      <c r="C368" s="55">
        <v>28</v>
      </c>
      <c r="D368" s="52" t="str">
        <f t="shared" si="63"/>
        <v>01040103</v>
      </c>
      <c r="E368" s="52" t="str">
        <f t="shared" si="64"/>
        <v>4400849160004</v>
      </c>
      <c r="F368" s="52" t="b">
        <f t="shared" si="65"/>
        <v>0</v>
      </c>
      <c r="G368" s="224">
        <f t="shared" si="66"/>
        <v>46203</v>
      </c>
      <c r="H368" s="52">
        <f>VLOOKUP( $A368, Aop!$A$2:$P$453, 4, 0)</f>
        <v>627</v>
      </c>
      <c r="I368" s="52">
        <f t="shared" si="67"/>
        <v>2026</v>
      </c>
      <c r="J368" s="55"/>
      <c r="K368" s="52"/>
      <c r="L368" s="52"/>
      <c r="M368" s="55" t="str">
        <f t="shared" ca="1" si="57"/>
        <v/>
      </c>
      <c r="N368" s="55" t="str">
        <f t="shared" ca="1" si="53"/>
        <v/>
      </c>
    </row>
    <row r="369" spans="1:14" x14ac:dyDescent="0.3">
      <c r="A369" s="105">
        <v>379</v>
      </c>
      <c r="B369" s="52" t="str">
        <f>VLOOKUP( $A369, Aop!$A$2:$P$453, 2, 0)</f>
        <v>Aneks</v>
      </c>
      <c r="C369" s="55">
        <v>28</v>
      </c>
      <c r="D369" s="52" t="str">
        <f t="shared" si="63"/>
        <v>01040103</v>
      </c>
      <c r="E369" s="52" t="str">
        <f t="shared" si="64"/>
        <v>4400849160004</v>
      </c>
      <c r="F369" s="52" t="b">
        <f t="shared" si="65"/>
        <v>0</v>
      </c>
      <c r="G369" s="224">
        <f t="shared" si="66"/>
        <v>46203</v>
      </c>
      <c r="H369" s="52">
        <f>VLOOKUP( $A369, Aop!$A$2:$P$453, 4, 0)</f>
        <v>628</v>
      </c>
      <c r="I369" s="52">
        <f t="shared" si="67"/>
        <v>2026</v>
      </c>
      <c r="J369" s="55"/>
      <c r="K369" s="52"/>
      <c r="L369" s="52"/>
      <c r="M369" s="55">
        <f t="shared" ca="1" si="57"/>
        <v>10077</v>
      </c>
      <c r="N369" s="55">
        <f t="shared" ca="1" si="53"/>
        <v>7924</v>
      </c>
    </row>
    <row r="370" spans="1:14" x14ac:dyDescent="0.3">
      <c r="A370" s="105">
        <v>380</v>
      </c>
      <c r="B370" s="52" t="str">
        <f>VLOOKUP( $A370, Aop!$A$2:$P$453, 2, 0)</f>
        <v>Aneks</v>
      </c>
      <c r="C370" s="55">
        <v>28</v>
      </c>
      <c r="D370" s="52" t="str">
        <f t="shared" si="63"/>
        <v>01040103</v>
      </c>
      <c r="E370" s="52" t="str">
        <f t="shared" si="64"/>
        <v>4400849160004</v>
      </c>
      <c r="F370" s="52" t="b">
        <f t="shared" si="65"/>
        <v>0</v>
      </c>
      <c r="G370" s="224">
        <f t="shared" si="66"/>
        <v>46203</v>
      </c>
      <c r="H370" s="52">
        <f>VLOOKUP( $A370, Aop!$A$2:$P$453, 4, 0)</f>
        <v>629</v>
      </c>
      <c r="I370" s="52">
        <f t="shared" si="67"/>
        <v>2026</v>
      </c>
      <c r="J370" s="55"/>
      <c r="K370" s="52"/>
      <c r="L370" s="52"/>
      <c r="M370" s="55">
        <f t="shared" ca="1" si="57"/>
        <v>552190</v>
      </c>
      <c r="N370" s="55">
        <f t="shared" ca="1" si="53"/>
        <v>2283946</v>
      </c>
    </row>
    <row r="371" spans="1:14" x14ac:dyDescent="0.3">
      <c r="A371" s="105">
        <v>381</v>
      </c>
      <c r="B371" s="52" t="str">
        <f>VLOOKUP( $A371, Aop!$A$2:$P$453, 2, 0)</f>
        <v>Aneks</v>
      </c>
      <c r="C371" s="55">
        <v>28</v>
      </c>
      <c r="D371" s="52" t="str">
        <f t="shared" si="63"/>
        <v>01040103</v>
      </c>
      <c r="E371" s="52" t="str">
        <f t="shared" si="64"/>
        <v>4400849160004</v>
      </c>
      <c r="F371" s="52" t="b">
        <f t="shared" si="65"/>
        <v>0</v>
      </c>
      <c r="G371" s="224">
        <f t="shared" si="66"/>
        <v>46203</v>
      </c>
      <c r="H371" s="52">
        <f>VLOOKUP( $A371, Aop!$A$2:$P$453, 4, 0)</f>
        <v>630</v>
      </c>
      <c r="I371" s="52">
        <f t="shared" si="67"/>
        <v>2026</v>
      </c>
      <c r="J371" s="55"/>
      <c r="K371" s="52"/>
      <c r="L371" s="52"/>
      <c r="M371" s="55">
        <f t="shared" ca="1" si="57"/>
        <v>313</v>
      </c>
      <c r="N371" s="55" t="str">
        <f t="shared" ca="1" si="53"/>
        <v/>
      </c>
    </row>
    <row r="372" spans="1:14" x14ac:dyDescent="0.3">
      <c r="A372" s="105">
        <v>382</v>
      </c>
      <c r="B372" s="52" t="str">
        <f>VLOOKUP( $A372, Aop!$A$2:$P$453, 2, 0)</f>
        <v>Aneks</v>
      </c>
      <c r="C372" s="55">
        <v>28</v>
      </c>
      <c r="D372" s="52" t="str">
        <f t="shared" si="63"/>
        <v>01040103</v>
      </c>
      <c r="E372" s="52" t="str">
        <f t="shared" si="64"/>
        <v>4400849160004</v>
      </c>
      <c r="F372" s="52" t="b">
        <f t="shared" si="65"/>
        <v>0</v>
      </c>
      <c r="G372" s="224">
        <f t="shared" si="66"/>
        <v>46203</v>
      </c>
      <c r="H372" s="52">
        <f>VLOOKUP( $A372, Aop!$A$2:$P$453, 4, 0)</f>
        <v>631</v>
      </c>
      <c r="I372" s="52">
        <f t="shared" si="67"/>
        <v>2026</v>
      </c>
      <c r="J372" s="55"/>
      <c r="K372" s="52"/>
      <c r="L372" s="52"/>
      <c r="M372" s="55" t="str">
        <f t="shared" ca="1" si="57"/>
        <v/>
      </c>
      <c r="N372" s="55" t="str">
        <f t="shared" ca="1" si="53"/>
        <v/>
      </c>
    </row>
    <row r="373" spans="1:14" x14ac:dyDescent="0.3">
      <c r="A373" s="105">
        <v>383</v>
      </c>
      <c r="B373" s="52" t="str">
        <f>VLOOKUP( $A373, Aop!$A$2:$P$453, 2, 0)</f>
        <v>Aneks</v>
      </c>
      <c r="C373" s="55">
        <v>28</v>
      </c>
      <c r="D373" s="52" t="str">
        <f t="shared" si="63"/>
        <v>01040103</v>
      </c>
      <c r="E373" s="52" t="str">
        <f t="shared" si="64"/>
        <v>4400849160004</v>
      </c>
      <c r="F373" s="52" t="b">
        <f t="shared" si="65"/>
        <v>0</v>
      </c>
      <c r="G373" s="224">
        <f t="shared" si="66"/>
        <v>46203</v>
      </c>
      <c r="H373" s="52">
        <f>VLOOKUP( $A373, Aop!$A$2:$P$453, 4, 0)</f>
        <v>632</v>
      </c>
      <c r="I373" s="52">
        <f t="shared" si="67"/>
        <v>2026</v>
      </c>
      <c r="J373" s="55"/>
      <c r="K373" s="52"/>
      <c r="L373" s="52"/>
      <c r="M373" s="55">
        <f t="shared" ca="1" si="57"/>
        <v>3170777</v>
      </c>
      <c r="N373" s="55">
        <f t="shared" ca="1" si="53"/>
        <v>2961774</v>
      </c>
    </row>
    <row r="374" spans="1:14" x14ac:dyDescent="0.3">
      <c r="A374" s="105">
        <v>384</v>
      </c>
      <c r="B374" s="52" t="str">
        <f>VLOOKUP( $A374, Aop!$A$2:$P$453, 2, 0)</f>
        <v>Aneks</v>
      </c>
      <c r="C374" s="55">
        <v>28</v>
      </c>
      <c r="D374" s="52" t="str">
        <f t="shared" si="63"/>
        <v>01040103</v>
      </c>
      <c r="E374" s="52" t="str">
        <f t="shared" si="64"/>
        <v>4400849160004</v>
      </c>
      <c r="F374" s="52" t="b">
        <f t="shared" si="65"/>
        <v>0</v>
      </c>
      <c r="G374" s="224">
        <f t="shared" si="66"/>
        <v>46203</v>
      </c>
      <c r="H374" s="52">
        <f>VLOOKUP( $A374, Aop!$A$2:$P$453, 4, 0)</f>
        <v>633</v>
      </c>
      <c r="I374" s="52">
        <f t="shared" si="67"/>
        <v>2026</v>
      </c>
      <c r="J374" s="55"/>
      <c r="K374" s="52"/>
      <c r="L374" s="52"/>
      <c r="M374" s="55">
        <f t="shared" ca="1" si="57"/>
        <v>17491</v>
      </c>
      <c r="N374" s="55">
        <f t="shared" ca="1" si="53"/>
        <v>15825</v>
      </c>
    </row>
    <row r="375" spans="1:14" x14ac:dyDescent="0.3">
      <c r="A375" s="105">
        <v>385</v>
      </c>
      <c r="B375" s="52" t="str">
        <f>VLOOKUP( $A375, Aop!$A$2:$P$453, 2, 0)</f>
        <v>Aneks</v>
      </c>
      <c r="C375" s="55">
        <v>28</v>
      </c>
      <c r="D375" s="52" t="str">
        <f t="shared" si="63"/>
        <v>01040103</v>
      </c>
      <c r="E375" s="52" t="str">
        <f t="shared" si="64"/>
        <v>4400849160004</v>
      </c>
      <c r="F375" s="52" t="b">
        <f t="shared" si="65"/>
        <v>0</v>
      </c>
      <c r="G375" s="224">
        <f t="shared" si="66"/>
        <v>46203</v>
      </c>
      <c r="H375" s="52">
        <f>VLOOKUP( $A375, Aop!$A$2:$P$453, 4, 0)</f>
        <v>634</v>
      </c>
      <c r="I375" s="52">
        <f t="shared" si="67"/>
        <v>2026</v>
      </c>
      <c r="J375" s="55"/>
      <c r="K375" s="52"/>
      <c r="L375" s="52"/>
      <c r="M375" s="55">
        <f t="shared" ca="1" si="57"/>
        <v>385</v>
      </c>
      <c r="N375" s="55">
        <f t="shared" ca="1" si="53"/>
        <v>748</v>
      </c>
    </row>
    <row r="376" spans="1:14" x14ac:dyDescent="0.3">
      <c r="A376" s="105">
        <v>386</v>
      </c>
      <c r="B376" s="52" t="str">
        <f>VLOOKUP( $A376, Aop!$A$2:$P$453, 2, 0)</f>
        <v>Aneks</v>
      </c>
      <c r="C376" s="55">
        <v>28</v>
      </c>
      <c r="D376" s="52" t="str">
        <f t="shared" si="63"/>
        <v>01040103</v>
      </c>
      <c r="E376" s="52" t="str">
        <f t="shared" si="64"/>
        <v>4400849160004</v>
      </c>
      <c r="F376" s="52" t="b">
        <f t="shared" si="65"/>
        <v>0</v>
      </c>
      <c r="G376" s="224">
        <f t="shared" si="66"/>
        <v>46203</v>
      </c>
      <c r="H376" s="52">
        <f>VLOOKUP( $A376, Aop!$A$2:$P$453, 4, 0)</f>
        <v>635</v>
      </c>
      <c r="I376" s="52">
        <f t="shared" si="67"/>
        <v>2026</v>
      </c>
      <c r="J376" s="55"/>
      <c r="K376" s="52"/>
      <c r="L376" s="52"/>
      <c r="M376" s="55">
        <f t="shared" ca="1" si="57"/>
        <v>359</v>
      </c>
      <c r="N376" s="55">
        <f t="shared" ca="1" si="53"/>
        <v>583</v>
      </c>
    </row>
    <row r="377" spans="1:14" x14ac:dyDescent="0.3">
      <c r="A377" s="105">
        <v>387</v>
      </c>
      <c r="B377" s="52" t="str">
        <f>VLOOKUP( $A377, Aop!$A$2:$P$453, 2, 0)</f>
        <v>Aneks</v>
      </c>
      <c r="C377" s="55">
        <v>28</v>
      </c>
      <c r="D377" s="52" t="str">
        <f t="shared" si="63"/>
        <v>01040103</v>
      </c>
      <c r="E377" s="52" t="str">
        <f t="shared" si="64"/>
        <v>4400849160004</v>
      </c>
      <c r="F377" s="52" t="b">
        <f t="shared" si="65"/>
        <v>0</v>
      </c>
      <c r="G377" s="224">
        <f t="shared" si="66"/>
        <v>46203</v>
      </c>
      <c r="H377" s="52">
        <f>VLOOKUP( $A377, Aop!$A$2:$P$453, 4, 0)</f>
        <v>636</v>
      </c>
      <c r="I377" s="52">
        <f t="shared" si="67"/>
        <v>2026</v>
      </c>
      <c r="J377" s="55"/>
      <c r="K377" s="52"/>
      <c r="L377" s="52"/>
      <c r="M377" s="55">
        <f t="shared" ca="1" si="57"/>
        <v>2606046</v>
      </c>
      <c r="N377" s="55">
        <f t="shared" ca="1" si="53"/>
        <v>2495790</v>
      </c>
    </row>
    <row r="378" spans="1:14" x14ac:dyDescent="0.3">
      <c r="A378" s="105">
        <v>388</v>
      </c>
      <c r="B378" s="52" t="str">
        <f>VLOOKUP( $A378, Aop!$A$2:$P$453, 2, 0)</f>
        <v>Aneks</v>
      </c>
      <c r="C378" s="55">
        <v>28</v>
      </c>
      <c r="D378" s="52" t="str">
        <f t="shared" si="63"/>
        <v>01040103</v>
      </c>
      <c r="E378" s="52" t="str">
        <f t="shared" si="64"/>
        <v>4400849160004</v>
      </c>
      <c r="F378" s="52" t="b">
        <f t="shared" si="65"/>
        <v>0</v>
      </c>
      <c r="G378" s="224">
        <f t="shared" si="66"/>
        <v>46203</v>
      </c>
      <c r="H378" s="52">
        <f>VLOOKUP( $A378, Aop!$A$2:$P$453, 4, 0)</f>
        <v>637</v>
      </c>
      <c r="I378" s="52">
        <f t="shared" si="67"/>
        <v>2026</v>
      </c>
      <c r="J378" s="55"/>
      <c r="K378" s="52"/>
      <c r="L378" s="52"/>
      <c r="M378" s="55">
        <f t="shared" ca="1" si="57"/>
        <v>298076</v>
      </c>
      <c r="N378" s="55">
        <f t="shared" ca="1" si="53"/>
        <v>246097</v>
      </c>
    </row>
    <row r="379" spans="1:14" x14ac:dyDescent="0.3">
      <c r="A379" s="105">
        <v>389</v>
      </c>
      <c r="B379" s="52" t="str">
        <f>VLOOKUP( $A379, Aop!$A$2:$P$453, 2, 0)</f>
        <v>Aneks</v>
      </c>
      <c r="C379" s="55">
        <v>28</v>
      </c>
      <c r="D379" s="52" t="str">
        <f t="shared" si="63"/>
        <v>01040103</v>
      </c>
      <c r="E379" s="52" t="str">
        <f t="shared" si="64"/>
        <v>4400849160004</v>
      </c>
      <c r="F379" s="52" t="b">
        <f t="shared" si="65"/>
        <v>0</v>
      </c>
      <c r="G379" s="224">
        <f t="shared" si="66"/>
        <v>46203</v>
      </c>
      <c r="H379" s="52">
        <f>VLOOKUP( $A379, Aop!$A$2:$P$453, 4, 0)</f>
        <v>638</v>
      </c>
      <c r="I379" s="52">
        <f t="shared" si="67"/>
        <v>2026</v>
      </c>
      <c r="J379" s="55"/>
      <c r="K379" s="52"/>
      <c r="L379" s="52"/>
      <c r="M379" s="55">
        <f t="shared" ca="1" si="57"/>
        <v>58228</v>
      </c>
      <c r="N379" s="55">
        <f t="shared" ca="1" si="53"/>
        <v>50589</v>
      </c>
    </row>
    <row r="380" spans="1:14" x14ac:dyDescent="0.3">
      <c r="A380" s="105">
        <v>390</v>
      </c>
      <c r="B380" s="52" t="str">
        <f>VLOOKUP( $A380, Aop!$A$2:$P$453, 2, 0)</f>
        <v>Aneks</v>
      </c>
      <c r="C380" s="55">
        <v>28</v>
      </c>
      <c r="D380" s="52" t="str">
        <f t="shared" si="63"/>
        <v>01040103</v>
      </c>
      <c r="E380" s="52" t="str">
        <f t="shared" si="64"/>
        <v>4400849160004</v>
      </c>
      <c r="F380" s="52" t="b">
        <f t="shared" si="65"/>
        <v>0</v>
      </c>
      <c r="G380" s="224">
        <f t="shared" si="66"/>
        <v>46203</v>
      </c>
      <c r="H380" s="52">
        <f>VLOOKUP( $A380, Aop!$A$2:$P$453, 4, 0)</f>
        <v>639</v>
      </c>
      <c r="I380" s="52">
        <f t="shared" si="67"/>
        <v>2026</v>
      </c>
      <c r="J380" s="55"/>
      <c r="K380" s="52"/>
      <c r="L380" s="52"/>
      <c r="M380" s="55">
        <f t="shared" ca="1" si="57"/>
        <v>110150</v>
      </c>
      <c r="N380" s="55">
        <f t="shared" ca="1" si="53"/>
        <v>88858</v>
      </c>
    </row>
    <row r="381" spans="1:14" x14ac:dyDescent="0.3">
      <c r="A381" s="105">
        <v>391</v>
      </c>
      <c r="B381" s="52" t="str">
        <f>VLOOKUP( $A381, Aop!$A$2:$P$453, 2, 0)</f>
        <v>Aneks</v>
      </c>
      <c r="C381" s="55">
        <v>28</v>
      </c>
      <c r="D381" s="52" t="str">
        <f t="shared" si="63"/>
        <v>01040103</v>
      </c>
      <c r="E381" s="52" t="str">
        <f t="shared" si="64"/>
        <v>4400849160004</v>
      </c>
      <c r="F381" s="52" t="b">
        <f t="shared" si="65"/>
        <v>0</v>
      </c>
      <c r="G381" s="224">
        <f t="shared" si="66"/>
        <v>46203</v>
      </c>
      <c r="H381" s="52">
        <f>VLOOKUP( $A381, Aop!$A$2:$P$453, 4, 0)</f>
        <v>640</v>
      </c>
      <c r="I381" s="52">
        <f t="shared" si="67"/>
        <v>2026</v>
      </c>
      <c r="J381" s="55"/>
      <c r="K381" s="52"/>
      <c r="L381" s="52"/>
      <c r="M381" s="55" t="str">
        <f t="shared" ca="1" si="57"/>
        <v/>
      </c>
      <c r="N381" s="55" t="str">
        <f t="shared" ca="1" si="53"/>
        <v/>
      </c>
    </row>
    <row r="382" spans="1:14" x14ac:dyDescent="0.3">
      <c r="A382" s="105">
        <v>392</v>
      </c>
      <c r="B382" s="52" t="str">
        <f>VLOOKUP( $A382, Aop!$A$2:$P$453, 2, 0)</f>
        <v>Aneks</v>
      </c>
      <c r="C382" s="55">
        <v>28</v>
      </c>
      <c r="D382" s="52" t="str">
        <f t="shared" ref="D382:D408" si="68">Podatak_MB</f>
        <v>01040103</v>
      </c>
      <c r="E382" s="52" t="str">
        <f t="shared" ref="E382:E408" si="69">Podatak_JIB</f>
        <v>4400849160004</v>
      </c>
      <c r="F382" s="52" t="b">
        <f t="shared" ref="F382:F408" si="70">Konsolidovan_izvjestaj</f>
        <v>0</v>
      </c>
      <c r="G382" s="224">
        <f t="shared" si="66"/>
        <v>46203</v>
      </c>
      <c r="H382" s="52">
        <f>VLOOKUP( $A382, Aop!$A$2:$P$453, 4, 0)</f>
        <v>641</v>
      </c>
      <c r="I382" s="52">
        <f t="shared" ref="I382:I408" si="71">Godina</f>
        <v>2026</v>
      </c>
      <c r="J382" s="55"/>
      <c r="K382" s="52"/>
      <c r="L382" s="52"/>
      <c r="M382" s="55">
        <f t="shared" ca="1" si="57"/>
        <v>880350</v>
      </c>
      <c r="N382" s="55">
        <f t="shared" ca="1" si="53"/>
        <v>815260</v>
      </c>
    </row>
    <row r="383" spans="1:14" x14ac:dyDescent="0.3">
      <c r="A383" s="105">
        <v>393</v>
      </c>
      <c r="B383" s="52" t="str">
        <f>VLOOKUP( $A383, Aop!$A$2:$P$453, 2, 0)</f>
        <v>Aneks</v>
      </c>
      <c r="C383" s="55">
        <v>28</v>
      </c>
      <c r="D383" s="52" t="str">
        <f t="shared" si="68"/>
        <v>01040103</v>
      </c>
      <c r="E383" s="52" t="str">
        <f t="shared" si="69"/>
        <v>4400849160004</v>
      </c>
      <c r="F383" s="52" t="b">
        <f t="shared" si="70"/>
        <v>0</v>
      </c>
      <c r="G383" s="224">
        <f t="shared" si="66"/>
        <v>46203</v>
      </c>
      <c r="H383" s="52">
        <f>VLOOKUP( $A383, Aop!$A$2:$P$453, 4, 0)</f>
        <v>642</v>
      </c>
      <c r="I383" s="52">
        <f t="shared" si="71"/>
        <v>2026</v>
      </c>
      <c r="J383" s="55"/>
      <c r="K383" s="52"/>
      <c r="L383" s="52"/>
      <c r="M383" s="55">
        <f t="shared" ca="1" si="57"/>
        <v>143579</v>
      </c>
      <c r="N383" s="55">
        <f t="shared" ca="1" si="53"/>
        <v>169821</v>
      </c>
    </row>
    <row r="384" spans="1:14" x14ac:dyDescent="0.3">
      <c r="A384" s="105">
        <v>394</v>
      </c>
      <c r="B384" s="52" t="str">
        <f>VLOOKUP( $A384, Aop!$A$2:$P$453, 2, 0)</f>
        <v>Aneks</v>
      </c>
      <c r="C384" s="55">
        <v>28</v>
      </c>
      <c r="D384" s="52" t="str">
        <f t="shared" si="68"/>
        <v>01040103</v>
      </c>
      <c r="E384" s="52" t="str">
        <f t="shared" si="69"/>
        <v>4400849160004</v>
      </c>
      <c r="F384" s="52" t="b">
        <f t="shared" si="70"/>
        <v>0</v>
      </c>
      <c r="G384" s="224">
        <f t="shared" si="66"/>
        <v>46203</v>
      </c>
      <c r="H384" s="52">
        <f>VLOOKUP( $A384, Aop!$A$2:$P$453, 4, 0)</f>
        <v>643</v>
      </c>
      <c r="I384" s="52">
        <f t="shared" si="71"/>
        <v>2026</v>
      </c>
      <c r="J384" s="55"/>
      <c r="K384" s="52"/>
      <c r="L384" s="52"/>
      <c r="M384" s="55" t="str">
        <f t="shared" ca="1" si="57"/>
        <v/>
      </c>
      <c r="N384" s="55" t="str">
        <f t="shared" ca="1" si="53"/>
        <v/>
      </c>
    </row>
    <row r="385" spans="1:14" x14ac:dyDescent="0.3">
      <c r="A385" s="105">
        <v>395</v>
      </c>
      <c r="B385" s="52" t="str">
        <f>VLOOKUP( $A385, Aop!$A$2:$P$453, 2, 0)</f>
        <v>Aneks</v>
      </c>
      <c r="C385" s="55">
        <v>28</v>
      </c>
      <c r="D385" s="52" t="str">
        <f t="shared" si="68"/>
        <v>01040103</v>
      </c>
      <c r="E385" s="52" t="str">
        <f t="shared" si="69"/>
        <v>4400849160004</v>
      </c>
      <c r="F385" s="52" t="b">
        <f t="shared" si="70"/>
        <v>0</v>
      </c>
      <c r="G385" s="224">
        <f t="shared" si="66"/>
        <v>46203</v>
      </c>
      <c r="H385" s="52">
        <f>VLOOKUP( $A385, Aop!$A$2:$P$453, 4, 0)</f>
        <v>644</v>
      </c>
      <c r="I385" s="52">
        <f t="shared" si="71"/>
        <v>2026</v>
      </c>
      <c r="J385" s="55"/>
      <c r="K385" s="52"/>
      <c r="L385" s="52"/>
      <c r="M385" s="55">
        <f t="shared" ca="1" si="57"/>
        <v>1115663</v>
      </c>
      <c r="N385" s="55">
        <f t="shared" ca="1" si="53"/>
        <v>1125165</v>
      </c>
    </row>
    <row r="386" spans="1:14" x14ac:dyDescent="0.3">
      <c r="A386" s="105">
        <v>396</v>
      </c>
      <c r="B386" s="52" t="str">
        <f>VLOOKUP( $A386, Aop!$A$2:$P$453, 2, 0)</f>
        <v>Aneks</v>
      </c>
      <c r="C386" s="55">
        <v>28</v>
      </c>
      <c r="D386" s="52" t="str">
        <f t="shared" si="68"/>
        <v>01040103</v>
      </c>
      <c r="E386" s="52" t="str">
        <f t="shared" si="69"/>
        <v>4400849160004</v>
      </c>
      <c r="F386" s="52" t="b">
        <f t="shared" si="70"/>
        <v>0</v>
      </c>
      <c r="G386" s="224">
        <f t="shared" si="66"/>
        <v>46203</v>
      </c>
      <c r="H386" s="52">
        <f>VLOOKUP( $A386, Aop!$A$2:$P$453, 4, 0)</f>
        <v>645</v>
      </c>
      <c r="I386" s="52">
        <f t="shared" si="71"/>
        <v>2026</v>
      </c>
      <c r="J386" s="55"/>
      <c r="K386" s="52"/>
      <c r="L386" s="52"/>
      <c r="M386" s="55" t="str">
        <f t="shared" ca="1" si="57"/>
        <v/>
      </c>
      <c r="N386" s="55" t="str">
        <f t="shared" ref="N386:N408" ca="1" si="72">IF( VLOOKUP( $H386, INDIRECT( "Lookup_" &amp; $B386), IF( LEFT( $B386, 2) = "BS", S$2, S$1), 0) = "", "", VLOOKUP( $H386, INDIRECT( "Lookup_" &amp; $B386), IF( LEFT( $B386, 2) = "BS", S$2, S$1), 0))</f>
        <v/>
      </c>
    </row>
    <row r="387" spans="1:14" x14ac:dyDescent="0.3">
      <c r="A387" s="105">
        <v>397</v>
      </c>
      <c r="B387" s="52" t="str">
        <f>VLOOKUP( $A387, Aop!$A$2:$P$453, 2, 0)</f>
        <v>Aneks</v>
      </c>
      <c r="C387" s="55">
        <v>28</v>
      </c>
      <c r="D387" s="52" t="str">
        <f t="shared" si="68"/>
        <v>01040103</v>
      </c>
      <c r="E387" s="52" t="str">
        <f t="shared" si="69"/>
        <v>4400849160004</v>
      </c>
      <c r="F387" s="52" t="b">
        <f t="shared" si="70"/>
        <v>0</v>
      </c>
      <c r="G387" s="224">
        <f t="shared" si="66"/>
        <v>46203</v>
      </c>
      <c r="H387" s="52">
        <f>VLOOKUP( $A387, Aop!$A$2:$P$453, 4, 0)</f>
        <v>646</v>
      </c>
      <c r="I387" s="52">
        <f t="shared" si="71"/>
        <v>2026</v>
      </c>
      <c r="J387" s="55"/>
      <c r="K387" s="52"/>
      <c r="L387" s="52"/>
      <c r="M387" s="55">
        <f t="shared" ca="1" si="57"/>
        <v>344792</v>
      </c>
      <c r="N387" s="55">
        <f t="shared" ca="1" si="72"/>
        <v>324911</v>
      </c>
    </row>
    <row r="388" spans="1:14" x14ac:dyDescent="0.3">
      <c r="A388" s="105">
        <v>398</v>
      </c>
      <c r="B388" s="52" t="str">
        <f>VLOOKUP( $A388, Aop!$A$2:$P$453, 2, 0)</f>
        <v>Aneks</v>
      </c>
      <c r="C388" s="55">
        <v>28</v>
      </c>
      <c r="D388" s="52" t="str">
        <f t="shared" si="68"/>
        <v>01040103</v>
      </c>
      <c r="E388" s="52" t="str">
        <f t="shared" si="69"/>
        <v>4400849160004</v>
      </c>
      <c r="F388" s="52" t="b">
        <f t="shared" si="70"/>
        <v>0</v>
      </c>
      <c r="G388" s="224">
        <f t="shared" si="66"/>
        <v>46203</v>
      </c>
      <c r="H388" s="52">
        <f>VLOOKUP( $A388, Aop!$A$2:$P$453, 4, 0)</f>
        <v>647</v>
      </c>
      <c r="I388" s="52">
        <f t="shared" si="71"/>
        <v>2026</v>
      </c>
      <c r="J388" s="55"/>
      <c r="K388" s="52"/>
      <c r="L388" s="52"/>
      <c r="M388" s="55">
        <f t="shared" ca="1" si="57"/>
        <v>125814</v>
      </c>
      <c r="N388" s="55">
        <f t="shared" ca="1" si="72"/>
        <v>99494</v>
      </c>
    </row>
    <row r="389" spans="1:14" x14ac:dyDescent="0.3">
      <c r="A389" s="105">
        <v>399</v>
      </c>
      <c r="B389" s="52" t="str">
        <f>VLOOKUP( $A389, Aop!$A$2:$P$453, 2, 0)</f>
        <v>Aneks</v>
      </c>
      <c r="C389" s="55">
        <v>28</v>
      </c>
      <c r="D389" s="52" t="str">
        <f t="shared" si="68"/>
        <v>01040103</v>
      </c>
      <c r="E389" s="52" t="str">
        <f t="shared" si="69"/>
        <v>4400849160004</v>
      </c>
      <c r="F389" s="52" t="b">
        <f t="shared" si="70"/>
        <v>0</v>
      </c>
      <c r="G389" s="224">
        <f t="shared" si="66"/>
        <v>46203</v>
      </c>
      <c r="H389" s="52">
        <f>VLOOKUP( $A389, Aop!$A$2:$P$453, 4, 0)</f>
        <v>648</v>
      </c>
      <c r="I389" s="52">
        <f t="shared" si="71"/>
        <v>2026</v>
      </c>
      <c r="J389" s="55"/>
      <c r="K389" s="52"/>
      <c r="L389" s="52"/>
      <c r="M389" s="55">
        <f t="shared" ca="1" si="57"/>
        <v>4699</v>
      </c>
      <c r="N389" s="55">
        <f t="shared" ca="1" si="72"/>
        <v>9645</v>
      </c>
    </row>
    <row r="390" spans="1:14" x14ac:dyDescent="0.3">
      <c r="A390" s="105">
        <v>400</v>
      </c>
      <c r="B390" s="52" t="str">
        <f>VLOOKUP( $A390, Aop!$A$2:$P$453, 2, 0)</f>
        <v>Aneks</v>
      </c>
      <c r="C390" s="55">
        <v>28</v>
      </c>
      <c r="D390" s="52" t="str">
        <f t="shared" si="68"/>
        <v>01040103</v>
      </c>
      <c r="E390" s="52" t="str">
        <f t="shared" si="69"/>
        <v>4400849160004</v>
      </c>
      <c r="F390" s="52" t="b">
        <f t="shared" si="70"/>
        <v>0</v>
      </c>
      <c r="G390" s="224">
        <f t="shared" si="66"/>
        <v>46203</v>
      </c>
      <c r="H390" s="52">
        <f>VLOOKUP( $A390, Aop!$A$2:$P$453, 4, 0)</f>
        <v>649</v>
      </c>
      <c r="I390" s="52">
        <f t="shared" si="71"/>
        <v>2026</v>
      </c>
      <c r="J390" s="55"/>
      <c r="K390" s="52"/>
      <c r="L390" s="52"/>
      <c r="M390" s="55" t="str">
        <f t="shared" ca="1" si="57"/>
        <v/>
      </c>
      <c r="N390" s="55" t="str">
        <f t="shared" ca="1" si="72"/>
        <v/>
      </c>
    </row>
    <row r="391" spans="1:14" x14ac:dyDescent="0.3">
      <c r="A391" s="105">
        <v>401</v>
      </c>
      <c r="B391" s="52" t="str">
        <f>VLOOKUP( $A391, Aop!$A$2:$P$453, 2, 0)</f>
        <v>Aneks</v>
      </c>
      <c r="C391" s="55">
        <v>28</v>
      </c>
      <c r="D391" s="52" t="str">
        <f t="shared" si="68"/>
        <v>01040103</v>
      </c>
      <c r="E391" s="52" t="str">
        <f t="shared" si="69"/>
        <v>4400849160004</v>
      </c>
      <c r="F391" s="52" t="b">
        <f t="shared" si="70"/>
        <v>0</v>
      </c>
      <c r="G391" s="224">
        <f t="shared" si="66"/>
        <v>46203</v>
      </c>
      <c r="H391" s="52">
        <f>VLOOKUP( $A391, Aop!$A$2:$P$453, 4, 0)</f>
        <v>650</v>
      </c>
      <c r="I391" s="52">
        <f t="shared" si="71"/>
        <v>2026</v>
      </c>
      <c r="J391" s="55"/>
      <c r="K391" s="52"/>
      <c r="L391" s="52"/>
      <c r="M391" s="55">
        <f t="shared" ca="1" si="57"/>
        <v>21835</v>
      </c>
      <c r="N391" s="55">
        <f t="shared" ca="1" si="72"/>
        <v>13691</v>
      </c>
    </row>
    <row r="392" spans="1:14" x14ac:dyDescent="0.3">
      <c r="A392" s="105">
        <v>402</v>
      </c>
      <c r="B392" s="52" t="str">
        <f>VLOOKUP( $A392, Aop!$A$2:$P$453, 2, 0)</f>
        <v>Aneks</v>
      </c>
      <c r="C392" s="55">
        <v>28</v>
      </c>
      <c r="D392" s="52" t="str">
        <f t="shared" si="68"/>
        <v>01040103</v>
      </c>
      <c r="E392" s="52" t="str">
        <f t="shared" si="69"/>
        <v>4400849160004</v>
      </c>
      <c r="F392" s="52" t="b">
        <f t="shared" si="70"/>
        <v>0</v>
      </c>
      <c r="G392" s="224">
        <f t="shared" si="66"/>
        <v>46203</v>
      </c>
      <c r="H392" s="52">
        <f>VLOOKUP( $A392, Aop!$A$2:$P$453, 4, 0)</f>
        <v>651</v>
      </c>
      <c r="I392" s="52">
        <f t="shared" si="71"/>
        <v>2026</v>
      </c>
      <c r="J392" s="55"/>
      <c r="K392" s="52"/>
      <c r="L392" s="52"/>
      <c r="M392" s="55">
        <f t="shared" ca="1" si="57"/>
        <v>45234</v>
      </c>
      <c r="N392" s="55">
        <f t="shared" ca="1" si="72"/>
        <v>47299</v>
      </c>
    </row>
    <row r="393" spans="1:14" x14ac:dyDescent="0.3">
      <c r="A393" s="105">
        <v>403</v>
      </c>
      <c r="B393" s="52" t="str">
        <f>VLOOKUP( $A393, Aop!$A$2:$P$453, 2, 0)</f>
        <v>Aneks</v>
      </c>
      <c r="C393" s="55">
        <v>28</v>
      </c>
      <c r="D393" s="52" t="str">
        <f t="shared" si="68"/>
        <v>01040103</v>
      </c>
      <c r="E393" s="52" t="str">
        <f t="shared" si="69"/>
        <v>4400849160004</v>
      </c>
      <c r="F393" s="52" t="b">
        <f t="shared" si="70"/>
        <v>0</v>
      </c>
      <c r="G393" s="224">
        <f t="shared" si="66"/>
        <v>46203</v>
      </c>
      <c r="H393" s="52">
        <f>VLOOKUP( $A393, Aop!$A$2:$P$453, 4, 0)</f>
        <v>652</v>
      </c>
      <c r="I393" s="52">
        <f t="shared" si="71"/>
        <v>2026</v>
      </c>
      <c r="J393" s="55"/>
      <c r="K393" s="52"/>
      <c r="L393" s="52"/>
      <c r="M393" s="55">
        <f t="shared" ca="1" si="57"/>
        <v>9582</v>
      </c>
      <c r="N393" s="55">
        <f t="shared" ca="1" si="72"/>
        <v>8355</v>
      </c>
    </row>
    <row r="394" spans="1:14" x14ac:dyDescent="0.3">
      <c r="A394" s="105">
        <v>404</v>
      </c>
      <c r="B394" s="52" t="str">
        <f>VLOOKUP( $A394, Aop!$A$2:$P$453, 2, 0)</f>
        <v>Aneks</v>
      </c>
      <c r="C394" s="55">
        <v>28</v>
      </c>
      <c r="D394" s="52" t="str">
        <f t="shared" si="68"/>
        <v>01040103</v>
      </c>
      <c r="E394" s="52" t="str">
        <f t="shared" si="69"/>
        <v>4400849160004</v>
      </c>
      <c r="F394" s="52" t="b">
        <f t="shared" si="70"/>
        <v>0</v>
      </c>
      <c r="G394" s="224">
        <f t="shared" si="66"/>
        <v>46203</v>
      </c>
      <c r="H394" s="52">
        <f>VLOOKUP( $A394, Aop!$A$2:$P$453, 4, 0)</f>
        <v>653</v>
      </c>
      <c r="I394" s="52">
        <f t="shared" si="71"/>
        <v>2026</v>
      </c>
      <c r="J394" s="55"/>
      <c r="K394" s="52"/>
      <c r="L394" s="52"/>
      <c r="M394" s="55">
        <f t="shared" ca="1" si="57"/>
        <v>2846</v>
      </c>
      <c r="N394" s="55">
        <f t="shared" ca="1" si="72"/>
        <v>4473</v>
      </c>
    </row>
    <row r="395" spans="1:14" x14ac:dyDescent="0.3">
      <c r="A395" s="105">
        <v>405</v>
      </c>
      <c r="B395" s="52" t="str">
        <f>VLOOKUP( $A395, Aop!$A$2:$P$453, 2, 0)</f>
        <v>Aneks</v>
      </c>
      <c r="C395" s="55">
        <v>28</v>
      </c>
      <c r="D395" s="52" t="str">
        <f t="shared" si="68"/>
        <v>01040103</v>
      </c>
      <c r="E395" s="52" t="str">
        <f t="shared" si="69"/>
        <v>4400849160004</v>
      </c>
      <c r="F395" s="52" t="b">
        <f t="shared" si="70"/>
        <v>0</v>
      </c>
      <c r="G395" s="224">
        <f t="shared" si="66"/>
        <v>46203</v>
      </c>
      <c r="H395" s="52">
        <f>VLOOKUP( $A395, Aop!$A$2:$P$453, 4, 0)</f>
        <v>654</v>
      </c>
      <c r="I395" s="52">
        <f t="shared" si="71"/>
        <v>2026</v>
      </c>
      <c r="J395" s="55"/>
      <c r="K395" s="52"/>
      <c r="L395" s="52"/>
      <c r="M395" s="55" t="str">
        <f t="shared" ca="1" si="57"/>
        <v/>
      </c>
      <c r="N395" s="55" t="str">
        <f t="shared" ca="1" si="72"/>
        <v/>
      </c>
    </row>
    <row r="396" spans="1:14" x14ac:dyDescent="0.3">
      <c r="A396" s="105">
        <v>406</v>
      </c>
      <c r="B396" s="52" t="str">
        <f>VLOOKUP( $A396, Aop!$A$2:$P$453, 2, 0)</f>
        <v>Aneks</v>
      </c>
      <c r="C396" s="55">
        <v>28</v>
      </c>
      <c r="D396" s="52" t="str">
        <f t="shared" si="68"/>
        <v>01040103</v>
      </c>
      <c r="E396" s="52" t="str">
        <f t="shared" si="69"/>
        <v>4400849160004</v>
      </c>
      <c r="F396" s="52" t="b">
        <f t="shared" si="70"/>
        <v>0</v>
      </c>
      <c r="G396" s="224">
        <f t="shared" si="66"/>
        <v>46203</v>
      </c>
      <c r="H396" s="52">
        <f>VLOOKUP( $A396, Aop!$A$2:$P$453, 4, 0)</f>
        <v>655</v>
      </c>
      <c r="I396" s="52">
        <f t="shared" si="71"/>
        <v>2026</v>
      </c>
      <c r="J396" s="55"/>
      <c r="K396" s="52"/>
      <c r="L396" s="52"/>
      <c r="M396" s="55">
        <f t="shared" ca="1" si="57"/>
        <v>37446</v>
      </c>
      <c r="N396" s="55">
        <f t="shared" ca="1" si="72"/>
        <v>31924</v>
      </c>
    </row>
    <row r="397" spans="1:14" x14ac:dyDescent="0.3">
      <c r="A397" s="105">
        <v>407</v>
      </c>
      <c r="B397" s="52" t="str">
        <f>VLOOKUP( $A397, Aop!$A$2:$P$453, 2, 0)</f>
        <v>Aneks</v>
      </c>
      <c r="C397" s="55">
        <v>28</v>
      </c>
      <c r="D397" s="52" t="str">
        <f t="shared" si="68"/>
        <v>01040103</v>
      </c>
      <c r="E397" s="52" t="str">
        <f t="shared" si="69"/>
        <v>4400849160004</v>
      </c>
      <c r="F397" s="52" t="b">
        <f t="shared" si="70"/>
        <v>0</v>
      </c>
      <c r="G397" s="224">
        <f t="shared" si="66"/>
        <v>46203</v>
      </c>
      <c r="H397" s="52">
        <f>VLOOKUP( $A397, Aop!$A$2:$P$453, 4, 0)</f>
        <v>656</v>
      </c>
      <c r="I397" s="52">
        <f t="shared" si="71"/>
        <v>2026</v>
      </c>
      <c r="J397" s="55"/>
      <c r="K397" s="52"/>
      <c r="L397" s="52"/>
      <c r="M397" s="55">
        <f t="shared" ca="1" si="57"/>
        <v>102035</v>
      </c>
      <c r="N397" s="55">
        <f t="shared" ca="1" si="72"/>
        <v>119675</v>
      </c>
    </row>
    <row r="398" spans="1:14" x14ac:dyDescent="0.3">
      <c r="A398" s="105">
        <v>408</v>
      </c>
      <c r="B398" s="52" t="str">
        <f>VLOOKUP( $A398, Aop!$A$2:$P$453, 2, 0)</f>
        <v>Aneks</v>
      </c>
      <c r="C398" s="55">
        <v>28</v>
      </c>
      <c r="D398" s="52" t="str">
        <f t="shared" si="68"/>
        <v>01040103</v>
      </c>
      <c r="E398" s="52" t="str">
        <f t="shared" si="69"/>
        <v>4400849160004</v>
      </c>
      <c r="F398" s="52" t="b">
        <f t="shared" si="70"/>
        <v>0</v>
      </c>
      <c r="G398" s="224">
        <f t="shared" si="66"/>
        <v>46203</v>
      </c>
      <c r="H398" s="52">
        <f>VLOOKUP( $A398, Aop!$A$2:$P$453, 4, 0)</f>
        <v>657</v>
      </c>
      <c r="I398" s="52">
        <f t="shared" si="71"/>
        <v>2026</v>
      </c>
      <c r="J398" s="55"/>
      <c r="K398" s="52"/>
      <c r="L398" s="52"/>
      <c r="M398" s="55" t="str">
        <f t="shared" ca="1" si="57"/>
        <v/>
      </c>
      <c r="N398" s="55" t="str">
        <f t="shared" ca="1" si="72"/>
        <v/>
      </c>
    </row>
    <row r="399" spans="1:14" x14ac:dyDescent="0.3">
      <c r="A399" s="105">
        <v>409</v>
      </c>
      <c r="B399" s="52" t="str">
        <f>VLOOKUP( $A399, Aop!$A$2:$P$453, 2, 0)</f>
        <v>Aneks</v>
      </c>
      <c r="C399" s="55">
        <v>28</v>
      </c>
      <c r="D399" s="52" t="str">
        <f t="shared" si="68"/>
        <v>01040103</v>
      </c>
      <c r="E399" s="52" t="str">
        <f t="shared" si="69"/>
        <v>4400849160004</v>
      </c>
      <c r="F399" s="52" t="b">
        <f t="shared" si="70"/>
        <v>0</v>
      </c>
      <c r="G399" s="224">
        <f t="shared" si="66"/>
        <v>46203</v>
      </c>
      <c r="H399" s="52">
        <f>VLOOKUP( $A399, Aop!$A$2:$P$453, 4, 0)</f>
        <v>658</v>
      </c>
      <c r="I399" s="52">
        <f t="shared" si="71"/>
        <v>2026</v>
      </c>
      <c r="J399" s="55"/>
      <c r="K399" s="52"/>
      <c r="L399" s="52"/>
      <c r="M399" s="55">
        <f t="shared" ca="1" si="57"/>
        <v>1664756</v>
      </c>
      <c r="N399" s="55">
        <f t="shared" ca="1" si="72"/>
        <v>1425000</v>
      </c>
    </row>
    <row r="400" spans="1:14" x14ac:dyDescent="0.3">
      <c r="A400" s="105">
        <v>410</v>
      </c>
      <c r="B400" s="52" t="str">
        <f>VLOOKUP( $A400, Aop!$A$2:$P$453, 2, 0)</f>
        <v>Aneks</v>
      </c>
      <c r="C400" s="55">
        <v>28</v>
      </c>
      <c r="D400" s="52" t="str">
        <f t="shared" si="68"/>
        <v>01040103</v>
      </c>
      <c r="E400" s="52" t="str">
        <f t="shared" si="69"/>
        <v>4400849160004</v>
      </c>
      <c r="F400" s="52" t="b">
        <f t="shared" si="70"/>
        <v>0</v>
      </c>
      <c r="G400" s="224">
        <f t="shared" si="66"/>
        <v>46203</v>
      </c>
      <c r="H400" s="52">
        <f>VLOOKUP( $A400, Aop!$A$2:$P$453, 4, 0)</f>
        <v>659</v>
      </c>
      <c r="I400" s="52">
        <f t="shared" si="71"/>
        <v>2026</v>
      </c>
      <c r="J400" s="55"/>
      <c r="K400" s="52"/>
      <c r="L400" s="52"/>
      <c r="M400" s="55">
        <f t="shared" ca="1" si="57"/>
        <v>765051</v>
      </c>
      <c r="N400" s="55">
        <f t="shared" ca="1" si="72"/>
        <v>713732</v>
      </c>
    </row>
    <row r="401" spans="1:14" x14ac:dyDescent="0.3">
      <c r="A401" s="105">
        <v>411</v>
      </c>
      <c r="B401" s="52" t="str">
        <f>VLOOKUP( $A401, Aop!$A$2:$P$453, 2, 0)</f>
        <v>Aneks</v>
      </c>
      <c r="C401" s="55">
        <v>28</v>
      </c>
      <c r="D401" s="52" t="str">
        <f t="shared" si="68"/>
        <v>01040103</v>
      </c>
      <c r="E401" s="52" t="str">
        <f t="shared" si="69"/>
        <v>4400849160004</v>
      </c>
      <c r="F401" s="52" t="b">
        <f t="shared" si="70"/>
        <v>0</v>
      </c>
      <c r="G401" s="224">
        <f t="shared" si="66"/>
        <v>46203</v>
      </c>
      <c r="H401" s="52">
        <f>VLOOKUP( $A401, Aop!$A$2:$P$453, 4, 0)</f>
        <v>660</v>
      </c>
      <c r="I401" s="52">
        <f t="shared" si="71"/>
        <v>2026</v>
      </c>
      <c r="J401" s="55"/>
      <c r="K401" s="52"/>
      <c r="L401" s="52"/>
      <c r="M401" s="55">
        <f t="shared" ca="1" si="57"/>
        <v>183805</v>
      </c>
      <c r="N401" s="55">
        <f t="shared" ca="1" si="72"/>
        <v>51357</v>
      </c>
    </row>
    <row r="402" spans="1:14" x14ac:dyDescent="0.3">
      <c r="A402" s="105">
        <v>412</v>
      </c>
      <c r="B402" s="52" t="str">
        <f>VLOOKUP( $A402, Aop!$A$2:$P$453, 2, 0)</f>
        <v>Aneks</v>
      </c>
      <c r="C402" s="55">
        <v>28</v>
      </c>
      <c r="D402" s="52" t="str">
        <f t="shared" si="68"/>
        <v>01040103</v>
      </c>
      <c r="E402" s="52" t="str">
        <f t="shared" si="69"/>
        <v>4400849160004</v>
      </c>
      <c r="F402" s="52" t="b">
        <f t="shared" si="70"/>
        <v>0</v>
      </c>
      <c r="G402" s="224">
        <f t="shared" si="66"/>
        <v>46203</v>
      </c>
      <c r="H402" s="52">
        <f>VLOOKUP( $A402, Aop!$A$2:$P$453, 4, 0)</f>
        <v>661</v>
      </c>
      <c r="I402" s="52">
        <f t="shared" si="71"/>
        <v>2026</v>
      </c>
      <c r="J402" s="55"/>
      <c r="K402" s="52"/>
      <c r="L402" s="52"/>
      <c r="M402" s="55" t="str">
        <f t="shared" ca="1" si="57"/>
        <v/>
      </c>
      <c r="N402" s="55" t="str">
        <f t="shared" ca="1" si="72"/>
        <v/>
      </c>
    </row>
    <row r="403" spans="1:14" x14ac:dyDescent="0.3">
      <c r="A403" s="105">
        <v>413</v>
      </c>
      <c r="B403" s="52" t="str">
        <f>VLOOKUP( $A403, Aop!$A$2:$P$453, 2, 0)</f>
        <v>Aneks</v>
      </c>
      <c r="C403" s="55">
        <v>28</v>
      </c>
      <c r="D403" s="52" t="str">
        <f t="shared" si="68"/>
        <v>01040103</v>
      </c>
      <c r="E403" s="52" t="str">
        <f t="shared" si="69"/>
        <v>4400849160004</v>
      </c>
      <c r="F403" s="52" t="b">
        <f t="shared" si="70"/>
        <v>0</v>
      </c>
      <c r="G403" s="224">
        <f t="shared" si="66"/>
        <v>46203</v>
      </c>
      <c r="H403" s="52">
        <f>VLOOKUP( $A403, Aop!$A$2:$P$453, 4, 0)</f>
        <v>662</v>
      </c>
      <c r="I403" s="52">
        <f t="shared" si="71"/>
        <v>2026</v>
      </c>
      <c r="J403" s="55"/>
      <c r="K403" s="52"/>
      <c r="L403" s="52"/>
      <c r="M403" s="55">
        <f t="shared" ca="1" si="57"/>
        <v>5202</v>
      </c>
      <c r="N403" s="55" t="str">
        <f t="shared" ca="1" si="72"/>
        <v/>
      </c>
    </row>
    <row r="404" spans="1:14" x14ac:dyDescent="0.3">
      <c r="A404" s="105">
        <v>414</v>
      </c>
      <c r="B404" s="52" t="str">
        <f>VLOOKUP( $A404, Aop!$A$2:$P$453, 2, 0)</f>
        <v>Aneks</v>
      </c>
      <c r="C404" s="55">
        <v>28</v>
      </c>
      <c r="D404" s="52" t="str">
        <f t="shared" si="68"/>
        <v>01040103</v>
      </c>
      <c r="E404" s="52" t="str">
        <f t="shared" si="69"/>
        <v>4400849160004</v>
      </c>
      <c r="F404" s="52" t="b">
        <f t="shared" si="70"/>
        <v>0</v>
      </c>
      <c r="G404" s="224">
        <f t="shared" si="66"/>
        <v>46203</v>
      </c>
      <c r="H404" s="52">
        <f>VLOOKUP( $A404, Aop!$A$2:$P$453, 4, 0)</f>
        <v>663</v>
      </c>
      <c r="I404" s="52">
        <f t="shared" si="71"/>
        <v>2026</v>
      </c>
      <c r="J404" s="55"/>
      <c r="K404" s="52"/>
      <c r="L404" s="52"/>
      <c r="M404" s="55">
        <f t="shared" ca="1" si="57"/>
        <v>5202</v>
      </c>
      <c r="N404" s="55" t="str">
        <f t="shared" ca="1" si="72"/>
        <v/>
      </c>
    </row>
    <row r="405" spans="1:14" x14ac:dyDescent="0.3">
      <c r="A405" s="105">
        <v>415</v>
      </c>
      <c r="B405" s="52" t="str">
        <f>VLOOKUP( $A405, Aop!$A$2:$P$453, 2, 0)</f>
        <v>Aneks</v>
      </c>
      <c r="C405" s="55">
        <v>28</v>
      </c>
      <c r="D405" s="52" t="str">
        <f t="shared" si="68"/>
        <v>01040103</v>
      </c>
      <c r="E405" s="52" t="str">
        <f t="shared" si="69"/>
        <v>4400849160004</v>
      </c>
      <c r="F405" s="52" t="b">
        <f t="shared" si="70"/>
        <v>0</v>
      </c>
      <c r="G405" s="224">
        <f t="shared" si="66"/>
        <v>46203</v>
      </c>
      <c r="H405" s="52">
        <f>VLOOKUP( $A405, Aop!$A$2:$P$453, 4, 0)</f>
        <v>664</v>
      </c>
      <c r="I405" s="52">
        <f t="shared" si="71"/>
        <v>2026</v>
      </c>
      <c r="J405" s="55"/>
      <c r="K405" s="52"/>
      <c r="L405" s="52"/>
      <c r="M405" s="55" t="str">
        <f t="shared" ca="1" si="57"/>
        <v/>
      </c>
      <c r="N405" s="55" t="str">
        <f t="shared" ca="1" si="72"/>
        <v/>
      </c>
    </row>
    <row r="406" spans="1:14" x14ac:dyDescent="0.3">
      <c r="A406" s="105">
        <v>416</v>
      </c>
      <c r="B406" s="52" t="str">
        <f>VLOOKUP( $A406, Aop!$A$2:$P$453, 2, 0)</f>
        <v>Aneks</v>
      </c>
      <c r="C406" s="55">
        <v>28</v>
      </c>
      <c r="D406" s="52" t="str">
        <f t="shared" si="68"/>
        <v>01040103</v>
      </c>
      <c r="E406" s="52" t="str">
        <f t="shared" si="69"/>
        <v>4400849160004</v>
      </c>
      <c r="F406" s="52" t="b">
        <f t="shared" si="70"/>
        <v>0</v>
      </c>
      <c r="G406" s="224">
        <f t="shared" si="66"/>
        <v>46203</v>
      </c>
      <c r="H406" s="52">
        <f>VLOOKUP( $A406, Aop!$A$2:$P$453, 4, 0)</f>
        <v>665</v>
      </c>
      <c r="I406" s="52">
        <f t="shared" si="71"/>
        <v>2026</v>
      </c>
      <c r="J406" s="55"/>
      <c r="K406" s="52"/>
      <c r="L406" s="52"/>
      <c r="M406" s="55" t="str">
        <f t="shared" ca="1" si="57"/>
        <v/>
      </c>
      <c r="N406" s="55" t="str">
        <f t="shared" ca="1" si="72"/>
        <v/>
      </c>
    </row>
    <row r="407" spans="1:14" x14ac:dyDescent="0.3">
      <c r="A407" s="105">
        <v>417</v>
      </c>
      <c r="B407" s="52" t="str">
        <f>VLOOKUP( $A407, Aop!$A$2:$P$453, 2, 0)</f>
        <v>Aneks</v>
      </c>
      <c r="C407" s="55">
        <v>28</v>
      </c>
      <c r="D407" s="52" t="str">
        <f t="shared" si="68"/>
        <v>01040103</v>
      </c>
      <c r="E407" s="52" t="str">
        <f t="shared" si="69"/>
        <v>4400849160004</v>
      </c>
      <c r="F407" s="52" t="b">
        <f t="shared" si="70"/>
        <v>0</v>
      </c>
      <c r="G407" s="224">
        <f t="shared" si="66"/>
        <v>46203</v>
      </c>
      <c r="H407" s="52">
        <f>VLOOKUP( $A407, Aop!$A$2:$P$453, 4, 0)</f>
        <v>666</v>
      </c>
      <c r="I407" s="52">
        <f t="shared" si="71"/>
        <v>2026</v>
      </c>
      <c r="J407" s="55"/>
      <c r="K407" s="52"/>
      <c r="L407" s="52"/>
      <c r="M407" s="55">
        <f t="shared" ca="1" si="57"/>
        <v>298076</v>
      </c>
      <c r="N407" s="55" t="str">
        <f t="shared" ca="1" si="72"/>
        <v/>
      </c>
    </row>
    <row r="408" spans="1:14" x14ac:dyDescent="0.3">
      <c r="A408" s="105">
        <v>418</v>
      </c>
      <c r="B408" s="52" t="str">
        <f>VLOOKUP( $A408, Aop!$A$2:$P$453, 2, 0)</f>
        <v>Aneks</v>
      </c>
      <c r="C408" s="55">
        <v>28</v>
      </c>
      <c r="D408" s="52" t="str">
        <f t="shared" si="68"/>
        <v>01040103</v>
      </c>
      <c r="E408" s="52" t="str">
        <f t="shared" si="69"/>
        <v>4400849160004</v>
      </c>
      <c r="F408" s="52" t="b">
        <f t="shared" si="70"/>
        <v>0</v>
      </c>
      <c r="G408" s="224">
        <f t="shared" si="66"/>
        <v>46203</v>
      </c>
      <c r="H408" s="52">
        <f>VLOOKUP( $A408, Aop!$A$2:$P$453, 4, 0)</f>
        <v>667</v>
      </c>
      <c r="I408" s="52">
        <f t="shared" si="71"/>
        <v>2026</v>
      </c>
      <c r="J408" s="55"/>
      <c r="K408" s="52"/>
      <c r="L408" s="52"/>
      <c r="M408" s="55">
        <f t="shared" ref="M408" ca="1" si="73">IF( VLOOKUP( $H408, INDIRECT( "Lookup_" &amp; $B408), IF( LEFT( $B408, 2) = "BS", R$2, R$1), 0) = "", "", VLOOKUP( $H408, INDIRECT( "Lookup_" &amp; $B408), IF( LEFT( $B408, 2) = "BS", R$2, R$1), 0))</f>
        <v>172784</v>
      </c>
      <c r="N408" s="55">
        <f t="shared" ca="1" si="72"/>
        <v>176148</v>
      </c>
    </row>
  </sheetData>
  <sheetProtection algorithmName="SHA-512" hashValue="ng72DiAx+Qjj/DBMe5s8z5dDHAtbasr3nPDDlbaI89l9Z5tW1CgW1hdruoX2SGYnkwuFKGNaF9JDleirA70omw==" saltValue="UEIQZqo+6w1bjnEbL9WhpQ==" spinCount="100000" sheet="1" objects="1" scenarios="1"/>
  <pageMargins left="0.7" right="0.7" top="0.75" bottom="0.75" header="0.3" footer="0.3"/>
  <pageSetup paperSize="9" orientation="portrait" verticalDpi="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dimension ref="A1:S35"/>
  <sheetViews>
    <sheetView showGridLines="0" showRowColHeaders="0" workbookViewId="0">
      <selection activeCell="I2" sqref="I2"/>
    </sheetView>
  </sheetViews>
  <sheetFormatPr defaultRowHeight="13" x14ac:dyDescent="0.3"/>
  <cols>
    <col min="1" max="1" width="4.69921875" customWidth="1"/>
    <col min="3" max="4" width="24.09765625" customWidth="1"/>
    <col min="5" max="5" width="12.8984375" customWidth="1"/>
    <col min="6" max="6" width="9" customWidth="1"/>
    <col min="7" max="7" width="11" customWidth="1"/>
    <col min="8" max="8" width="10.8984375" customWidth="1"/>
    <col min="9" max="9" width="17.69921875" customWidth="1"/>
    <col min="10" max="17" width="11" customWidth="1"/>
  </cols>
  <sheetData>
    <row r="1" spans="1:19" ht="13.5" thickBot="1" x14ac:dyDescent="0.35">
      <c r="A1" s="108" t="s">
        <v>123</v>
      </c>
      <c r="B1" s="109" t="s">
        <v>249</v>
      </c>
      <c r="C1" s="110" t="s">
        <v>125</v>
      </c>
      <c r="D1" s="110" t="s">
        <v>55</v>
      </c>
      <c r="E1" s="105" t="s">
        <v>394</v>
      </c>
      <c r="F1" s="56" t="s">
        <v>74</v>
      </c>
      <c r="G1" s="111" t="s">
        <v>177</v>
      </c>
      <c r="H1" s="111" t="s">
        <v>332</v>
      </c>
      <c r="I1" s="111" t="s">
        <v>303</v>
      </c>
      <c r="J1" s="111" t="s">
        <v>304</v>
      </c>
      <c r="K1" s="111" t="s">
        <v>333</v>
      </c>
      <c r="L1" s="111" t="s">
        <v>334</v>
      </c>
      <c r="M1" s="111" t="s">
        <v>335</v>
      </c>
      <c r="N1" s="111" t="s">
        <v>336</v>
      </c>
      <c r="O1" s="111" t="s">
        <v>337</v>
      </c>
      <c r="P1" s="111" t="s">
        <v>338</v>
      </c>
      <c r="Q1" s="111" t="s">
        <v>339</v>
      </c>
      <c r="R1" s="111" t="s">
        <v>779</v>
      </c>
      <c r="S1" s="111" t="s">
        <v>780</v>
      </c>
    </row>
    <row r="2" spans="1:19" ht="13.5" thickTop="1" x14ac:dyDescent="0.3">
      <c r="A2" s="106">
        <v>419</v>
      </c>
      <c r="B2" s="107" t="str">
        <f>VLOOKUP( $A2, Aop!$A$2:$P$453, 2, 0)</f>
        <v>BPK</v>
      </c>
      <c r="C2" s="55" t="str">
        <f t="shared" ref="C2:C20" si="0">Podatak_MB</f>
        <v>01040103</v>
      </c>
      <c r="D2" s="55" t="str">
        <f t="shared" ref="D2:D20" si="1">Podatak_JIB</f>
        <v>4400849160004</v>
      </c>
      <c r="E2" s="55" t="b">
        <f t="shared" ref="E2:E20" si="2">Konsolidovan_izvjestaj</f>
        <v>0</v>
      </c>
      <c r="F2" s="11">
        <f>VLOOKUP( $A2, Aop!$A$2:$P$453, 4, 0)</f>
        <v>0</v>
      </c>
      <c r="G2" s="55">
        <f t="shared" ref="G2:G20" si="3">Godina</f>
        <v>2026</v>
      </c>
      <c r="H2" s="139">
        <f t="shared" ref="H2:H20" si="4">Datum_Broj</f>
        <v>46203</v>
      </c>
      <c r="I2" s="55">
        <v>30</v>
      </c>
      <c r="J2" s="52" t="s">
        <v>786</v>
      </c>
      <c r="K2" s="52" t="s">
        <v>786</v>
      </c>
      <c r="L2" s="52" t="s">
        <v>786</v>
      </c>
      <c r="M2" s="52" t="s">
        <v>786</v>
      </c>
      <c r="N2" s="52" t="s">
        <v>786</v>
      </c>
      <c r="O2" s="52" t="s">
        <v>786</v>
      </c>
      <c r="P2" s="52" t="s">
        <v>786</v>
      </c>
      <c r="Q2" s="52" t="s">
        <v>786</v>
      </c>
      <c r="R2" s="52" t="s">
        <v>786</v>
      </c>
      <c r="S2" s="52" t="s">
        <v>786</v>
      </c>
    </row>
    <row r="3" spans="1:19" x14ac:dyDescent="0.3">
      <c r="A3" s="106">
        <v>420</v>
      </c>
      <c r="B3" s="107" t="str">
        <f>VLOOKUP( $A3, Aop!$A$2:$P$453, 2, 0)</f>
        <v>BPK</v>
      </c>
      <c r="C3" s="55" t="str">
        <f t="shared" si="0"/>
        <v>01040103</v>
      </c>
      <c r="D3" s="55" t="str">
        <f t="shared" si="1"/>
        <v>4400849160004</v>
      </c>
      <c r="E3" s="55" t="b">
        <f t="shared" si="2"/>
        <v>0</v>
      </c>
      <c r="F3" s="11">
        <f>VLOOKUP( $A3, Aop!$A$2:$P$453, 4, 0)</f>
        <v>901</v>
      </c>
      <c r="G3" s="55">
        <f t="shared" si="3"/>
        <v>2026</v>
      </c>
      <c r="H3" s="139">
        <f t="shared" si="4"/>
        <v>46203</v>
      </c>
      <c r="I3" s="55">
        <v>30</v>
      </c>
      <c r="J3" s="52">
        <f t="shared" ref="J3:S19" ca="1" si="5">IF(VLOOKUP($F3,INDIRECT("Lookup_"&amp;$B3),J$1-1,0)="","",VLOOKUP($F3,INDIRECT("Lookup_"&amp;$B3),J$1-1,0))</f>
        <v>9603944</v>
      </c>
      <c r="K3" s="52" t="str">
        <f t="shared" ca="1" si="5"/>
        <v/>
      </c>
      <c r="L3" s="52">
        <f t="shared" ca="1" si="5"/>
        <v>267513</v>
      </c>
      <c r="M3" s="52">
        <f t="shared" ca="1" si="5"/>
        <v>6160233</v>
      </c>
      <c r="N3" s="52" t="str">
        <f t="shared" ca="1" si="5"/>
        <v/>
      </c>
      <c r="O3" s="52" t="str">
        <f t="shared" ca="1" si="5"/>
        <v/>
      </c>
      <c r="P3" s="52">
        <f t="shared" ca="1" si="5"/>
        <v>4801420</v>
      </c>
      <c r="Q3" s="52">
        <f t="shared" ca="1" si="5"/>
        <v>20833110</v>
      </c>
      <c r="R3" s="52" t="str">
        <f t="shared" ca="1" si="5"/>
        <v/>
      </c>
      <c r="S3" s="52">
        <f t="shared" ca="1" si="5"/>
        <v>20833110</v>
      </c>
    </row>
    <row r="4" spans="1:19" x14ac:dyDescent="0.3">
      <c r="A4" s="106">
        <v>421</v>
      </c>
      <c r="B4" s="107" t="str">
        <f>VLOOKUP( $A4, Aop!$A$2:$P$453, 2, 0)</f>
        <v>BPK</v>
      </c>
      <c r="C4" s="55" t="str">
        <f t="shared" si="0"/>
        <v>01040103</v>
      </c>
      <c r="D4" s="55" t="str">
        <f t="shared" si="1"/>
        <v>4400849160004</v>
      </c>
      <c r="E4" s="55" t="b">
        <f t="shared" si="2"/>
        <v>0</v>
      </c>
      <c r="F4" s="11">
        <f>VLOOKUP( $A4, Aop!$A$2:$P$453, 4, 0)</f>
        <v>0</v>
      </c>
      <c r="G4" s="55">
        <f t="shared" si="3"/>
        <v>2026</v>
      </c>
      <c r="H4" s="139">
        <f t="shared" si="4"/>
        <v>46203</v>
      </c>
      <c r="I4" s="55">
        <v>30</v>
      </c>
      <c r="J4" s="52" t="s">
        <v>786</v>
      </c>
      <c r="K4" s="52" t="s">
        <v>786</v>
      </c>
      <c r="L4" s="52" t="s">
        <v>786</v>
      </c>
      <c r="M4" s="52" t="s">
        <v>786</v>
      </c>
      <c r="N4" s="52" t="s">
        <v>786</v>
      </c>
      <c r="O4" s="52" t="s">
        <v>786</v>
      </c>
      <c r="P4" s="52" t="s">
        <v>786</v>
      </c>
      <c r="Q4" s="52" t="s">
        <v>786</v>
      </c>
      <c r="R4" s="52" t="s">
        <v>786</v>
      </c>
      <c r="S4" s="52" t="s">
        <v>786</v>
      </c>
    </row>
    <row r="5" spans="1:19" x14ac:dyDescent="0.3">
      <c r="A5" s="106">
        <v>422</v>
      </c>
      <c r="B5" s="107" t="str">
        <f>VLOOKUP( $A5, Aop!$A$2:$P$453, 2, 0)</f>
        <v>BPK</v>
      </c>
      <c r="C5" s="55" t="str">
        <f t="shared" si="0"/>
        <v>01040103</v>
      </c>
      <c r="D5" s="55" t="str">
        <f t="shared" si="1"/>
        <v>4400849160004</v>
      </c>
      <c r="E5" s="55" t="b">
        <f t="shared" si="2"/>
        <v>0</v>
      </c>
      <c r="F5" s="11">
        <f>VLOOKUP( $A5, Aop!$A$2:$P$453, 4, 0)</f>
        <v>902</v>
      </c>
      <c r="G5" s="55">
        <f t="shared" si="3"/>
        <v>2026</v>
      </c>
      <c r="H5" s="139">
        <f t="shared" si="4"/>
        <v>46203</v>
      </c>
      <c r="I5" s="55">
        <v>30</v>
      </c>
      <c r="J5" s="52" t="str">
        <f t="shared" ca="1" si="5"/>
        <v/>
      </c>
      <c r="K5" s="52" t="str">
        <f t="shared" ca="1" si="5"/>
        <v/>
      </c>
      <c r="L5" s="52" t="str">
        <f t="shared" ca="1" si="5"/>
        <v/>
      </c>
      <c r="M5" s="52" t="str">
        <f t="shared" ca="1" si="5"/>
        <v/>
      </c>
      <c r="N5" s="52" t="str">
        <f t="shared" ca="1" si="5"/>
        <v/>
      </c>
      <c r="O5" s="52" t="str">
        <f t="shared" ca="1" si="5"/>
        <v/>
      </c>
      <c r="P5" s="52" t="str">
        <f t="shared" ca="1" si="5"/>
        <v/>
      </c>
      <c r="Q5" s="52">
        <f t="shared" ca="1" si="5"/>
        <v>0</v>
      </c>
      <c r="R5" s="52" t="str">
        <f t="shared" ca="1" si="5"/>
        <v/>
      </c>
      <c r="S5" s="52">
        <f t="shared" ca="1" si="5"/>
        <v>0</v>
      </c>
    </row>
    <row r="6" spans="1:19" x14ac:dyDescent="0.3">
      <c r="A6" s="106">
        <v>423</v>
      </c>
      <c r="B6" s="107" t="str">
        <f>VLOOKUP( $A6, Aop!$A$2:$P$453, 2, 0)</f>
        <v>BPK</v>
      </c>
      <c r="C6" s="55" t="str">
        <f t="shared" si="0"/>
        <v>01040103</v>
      </c>
      <c r="D6" s="55" t="str">
        <f t="shared" si="1"/>
        <v>4400849160004</v>
      </c>
      <c r="E6" s="55" t="b">
        <f t="shared" si="2"/>
        <v>0</v>
      </c>
      <c r="F6" s="11">
        <f>VLOOKUP( $A6, Aop!$A$2:$P$453, 4, 0)</f>
        <v>903</v>
      </c>
      <c r="G6" s="55">
        <f t="shared" si="3"/>
        <v>2026</v>
      </c>
      <c r="H6" s="139">
        <f t="shared" si="4"/>
        <v>46203</v>
      </c>
      <c r="I6" s="55">
        <v>30</v>
      </c>
      <c r="J6" s="52" t="str">
        <f t="shared" ca="1" si="5"/>
        <v/>
      </c>
      <c r="K6" s="52" t="str">
        <f t="shared" ca="1" si="5"/>
        <v/>
      </c>
      <c r="L6" s="52" t="str">
        <f t="shared" ca="1" si="5"/>
        <v/>
      </c>
      <c r="M6" s="52" t="str">
        <f t="shared" ca="1" si="5"/>
        <v/>
      </c>
      <c r="N6" s="52" t="str">
        <f t="shared" ca="1" si="5"/>
        <v/>
      </c>
      <c r="O6" s="52" t="str">
        <f t="shared" ca="1" si="5"/>
        <v/>
      </c>
      <c r="P6" s="52" t="str">
        <f t="shared" ca="1" si="5"/>
        <v/>
      </c>
      <c r="Q6" s="52">
        <f t="shared" ca="1" si="5"/>
        <v>0</v>
      </c>
      <c r="R6" s="52" t="str">
        <f t="shared" ca="1" si="5"/>
        <v/>
      </c>
      <c r="S6" s="52">
        <f t="shared" ca="1" si="5"/>
        <v>0</v>
      </c>
    </row>
    <row r="7" spans="1:19" x14ac:dyDescent="0.3">
      <c r="A7" s="106">
        <v>424</v>
      </c>
      <c r="B7" s="107" t="str">
        <f>VLOOKUP( $A7, Aop!$A$2:$P$453, 2, 0)</f>
        <v>BPK</v>
      </c>
      <c r="C7" s="55" t="str">
        <f t="shared" si="0"/>
        <v>01040103</v>
      </c>
      <c r="D7" s="55" t="str">
        <f t="shared" si="1"/>
        <v>4400849160004</v>
      </c>
      <c r="E7" s="55" t="b">
        <f t="shared" si="2"/>
        <v>0</v>
      </c>
      <c r="F7" s="11">
        <f>VLOOKUP( $A7, Aop!$A$2:$P$453, 4, 0)</f>
        <v>904</v>
      </c>
      <c r="G7" s="55">
        <f t="shared" si="3"/>
        <v>2026</v>
      </c>
      <c r="H7" s="139">
        <f t="shared" si="4"/>
        <v>46203</v>
      </c>
      <c r="I7" s="55">
        <v>30</v>
      </c>
      <c r="J7" s="52">
        <f t="shared" ca="1" si="5"/>
        <v>9603944</v>
      </c>
      <c r="K7" s="52">
        <f t="shared" ca="1" si="5"/>
        <v>0</v>
      </c>
      <c r="L7" s="52">
        <f t="shared" ca="1" si="5"/>
        <v>267513</v>
      </c>
      <c r="M7" s="52">
        <f t="shared" ca="1" si="5"/>
        <v>6160233</v>
      </c>
      <c r="N7" s="52">
        <f t="shared" ca="1" si="5"/>
        <v>0</v>
      </c>
      <c r="O7" s="52">
        <f t="shared" ca="1" si="5"/>
        <v>0</v>
      </c>
      <c r="P7" s="52">
        <f t="shared" ca="1" si="5"/>
        <v>4801420</v>
      </c>
      <c r="Q7" s="52">
        <f t="shared" ca="1" si="5"/>
        <v>20833110</v>
      </c>
      <c r="R7" s="52">
        <f t="shared" ca="1" si="5"/>
        <v>0</v>
      </c>
      <c r="S7" s="52">
        <f t="shared" ca="1" si="5"/>
        <v>20833110</v>
      </c>
    </row>
    <row r="8" spans="1:19" x14ac:dyDescent="0.3">
      <c r="A8" s="106">
        <v>425</v>
      </c>
      <c r="B8" s="107" t="str">
        <f>VLOOKUP( $A8, Aop!$A$2:$P$453, 2, 0)</f>
        <v>BPK</v>
      </c>
      <c r="C8" s="55" t="str">
        <f t="shared" si="0"/>
        <v>01040103</v>
      </c>
      <c r="D8" s="55" t="str">
        <f t="shared" si="1"/>
        <v>4400849160004</v>
      </c>
      <c r="E8" s="55" t="b">
        <f t="shared" si="2"/>
        <v>0</v>
      </c>
      <c r="F8" s="11">
        <f>VLOOKUP( $A8, Aop!$A$2:$P$453, 4, 0)</f>
        <v>0</v>
      </c>
      <c r="G8" s="55">
        <f t="shared" si="3"/>
        <v>2026</v>
      </c>
      <c r="H8" s="139">
        <f t="shared" si="4"/>
        <v>46203</v>
      </c>
      <c r="I8" s="55">
        <v>30</v>
      </c>
      <c r="J8" s="52" t="s">
        <v>786</v>
      </c>
      <c r="K8" s="52" t="s">
        <v>786</v>
      </c>
      <c r="L8" s="52" t="s">
        <v>786</v>
      </c>
      <c r="M8" s="52" t="s">
        <v>786</v>
      </c>
      <c r="N8" s="52" t="s">
        <v>786</v>
      </c>
      <c r="O8" s="52" t="s">
        <v>786</v>
      </c>
      <c r="P8" s="52" t="s">
        <v>786</v>
      </c>
      <c r="Q8" s="52" t="s">
        <v>786</v>
      </c>
      <c r="R8" s="52" t="s">
        <v>786</v>
      </c>
      <c r="S8" s="52" t="s">
        <v>786</v>
      </c>
    </row>
    <row r="9" spans="1:19" x14ac:dyDescent="0.3">
      <c r="A9" s="106">
        <v>426</v>
      </c>
      <c r="B9" s="107" t="str">
        <f>VLOOKUP( $A9, Aop!$A$2:$P$453, 2, 0)</f>
        <v>BPK</v>
      </c>
      <c r="C9" s="55" t="str">
        <f t="shared" si="0"/>
        <v>01040103</v>
      </c>
      <c r="D9" s="55" t="str">
        <f t="shared" si="1"/>
        <v>4400849160004</v>
      </c>
      <c r="E9" s="55" t="b">
        <f t="shared" si="2"/>
        <v>0</v>
      </c>
      <c r="F9" s="11">
        <f>VLOOKUP( $A9, Aop!$A$2:$P$453, 4, 0)</f>
        <v>905</v>
      </c>
      <c r="G9" s="55">
        <f t="shared" si="3"/>
        <v>2026</v>
      </c>
      <c r="H9" s="139">
        <f t="shared" si="4"/>
        <v>46203</v>
      </c>
      <c r="I9" s="55">
        <v>30</v>
      </c>
      <c r="J9" s="52" t="str">
        <f t="shared" ca="1" si="5"/>
        <v/>
      </c>
      <c r="K9" s="52" t="str">
        <f t="shared" ca="1" si="5"/>
        <v/>
      </c>
      <c r="L9" s="52" t="str">
        <f t="shared" ca="1" si="5"/>
        <v/>
      </c>
      <c r="M9" s="52" t="str">
        <f t="shared" ca="1" si="5"/>
        <v/>
      </c>
      <c r="N9" s="52" t="str">
        <f t="shared" ca="1" si="5"/>
        <v/>
      </c>
      <c r="O9" s="52" t="str">
        <f t="shared" ca="1" si="5"/>
        <v/>
      </c>
      <c r="P9" s="52">
        <f t="shared" ca="1" si="5"/>
        <v>17497</v>
      </c>
      <c r="Q9" s="52">
        <f t="shared" ca="1" si="5"/>
        <v>17497</v>
      </c>
      <c r="R9" s="52" t="str">
        <f t="shared" ca="1" si="5"/>
        <v/>
      </c>
      <c r="S9" s="52">
        <f t="shared" ca="1" si="5"/>
        <v>17497</v>
      </c>
    </row>
    <row r="10" spans="1:19" x14ac:dyDescent="0.3">
      <c r="A10" s="106">
        <v>427</v>
      </c>
      <c r="B10" s="107" t="str">
        <f>VLOOKUP( $A10, Aop!$A$2:$P$453, 2, 0)</f>
        <v>BPK</v>
      </c>
      <c r="C10" s="55" t="str">
        <f t="shared" si="0"/>
        <v>01040103</v>
      </c>
      <c r="D10" s="55" t="str">
        <f t="shared" si="1"/>
        <v>4400849160004</v>
      </c>
      <c r="E10" s="55" t="b">
        <f t="shared" si="2"/>
        <v>0</v>
      </c>
      <c r="F10" s="11">
        <f>VLOOKUP( $A10, Aop!$A$2:$P$453, 4, 0)</f>
        <v>906</v>
      </c>
      <c r="G10" s="55">
        <f t="shared" si="3"/>
        <v>2026</v>
      </c>
      <c r="H10" s="139">
        <f t="shared" si="4"/>
        <v>46203</v>
      </c>
      <c r="I10" s="55">
        <v>30</v>
      </c>
      <c r="J10" s="52" t="str">
        <f t="shared" ca="1" si="5"/>
        <v/>
      </c>
      <c r="K10" s="52" t="str">
        <f t="shared" ca="1" si="5"/>
        <v/>
      </c>
      <c r="L10" s="52" t="str">
        <f t="shared" ca="1" si="5"/>
        <v/>
      </c>
      <c r="M10" s="52">
        <f t="shared" ca="1" si="5"/>
        <v>-13315</v>
      </c>
      <c r="N10" s="52" t="str">
        <f t="shared" ca="1" si="5"/>
        <v/>
      </c>
      <c r="O10" s="52" t="str">
        <f t="shared" ca="1" si="5"/>
        <v/>
      </c>
      <c r="P10" s="52" t="str">
        <f t="shared" ca="1" si="5"/>
        <v/>
      </c>
      <c r="Q10" s="52">
        <f t="shared" ca="1" si="5"/>
        <v>-13315</v>
      </c>
      <c r="R10" s="52" t="str">
        <f t="shared" ca="1" si="5"/>
        <v/>
      </c>
      <c r="S10" s="52">
        <f t="shared" ca="1" si="5"/>
        <v>-13315</v>
      </c>
    </row>
    <row r="11" spans="1:19" x14ac:dyDescent="0.3">
      <c r="A11" s="106">
        <v>428</v>
      </c>
      <c r="B11" s="107" t="str">
        <f>VLOOKUP( $A11, Aop!$A$2:$P$453, 2, 0)</f>
        <v>BPK</v>
      </c>
      <c r="C11" s="55" t="str">
        <f t="shared" si="0"/>
        <v>01040103</v>
      </c>
      <c r="D11" s="55" t="str">
        <f t="shared" si="1"/>
        <v>4400849160004</v>
      </c>
      <c r="E11" s="55" t="b">
        <f t="shared" si="2"/>
        <v>0</v>
      </c>
      <c r="F11" s="11">
        <f>VLOOKUP( $A11, Aop!$A$2:$P$453, 4, 0)</f>
        <v>907</v>
      </c>
      <c r="G11" s="55">
        <f t="shared" si="3"/>
        <v>2026</v>
      </c>
      <c r="H11" s="139">
        <f t="shared" si="4"/>
        <v>46203</v>
      </c>
      <c r="I11" s="55">
        <v>30</v>
      </c>
      <c r="J11" s="52">
        <f t="shared" ca="1" si="5"/>
        <v>0</v>
      </c>
      <c r="K11" s="52">
        <f t="shared" ca="1" si="5"/>
        <v>0</v>
      </c>
      <c r="L11" s="52">
        <f t="shared" ca="1" si="5"/>
        <v>0</v>
      </c>
      <c r="M11" s="52">
        <f t="shared" ca="1" si="5"/>
        <v>-13315</v>
      </c>
      <c r="N11" s="52">
        <f t="shared" ca="1" si="5"/>
        <v>0</v>
      </c>
      <c r="O11" s="52">
        <f t="shared" ca="1" si="5"/>
        <v>0</v>
      </c>
      <c r="P11" s="52">
        <f t="shared" ca="1" si="5"/>
        <v>17497</v>
      </c>
      <c r="Q11" s="52">
        <f t="shared" ca="1" si="5"/>
        <v>4182</v>
      </c>
      <c r="R11" s="52">
        <f t="shared" ca="1" si="5"/>
        <v>0</v>
      </c>
      <c r="S11" s="52">
        <f t="shared" ca="1" si="5"/>
        <v>4182</v>
      </c>
    </row>
    <row r="12" spans="1:19" x14ac:dyDescent="0.3">
      <c r="A12" s="106">
        <v>429</v>
      </c>
      <c r="B12" s="107" t="str">
        <f>VLOOKUP( $A12, Aop!$A$2:$P$453, 2, 0)</f>
        <v>BPK</v>
      </c>
      <c r="C12" s="55" t="str">
        <f t="shared" si="0"/>
        <v>01040103</v>
      </c>
      <c r="D12" s="55" t="str">
        <f t="shared" si="1"/>
        <v>4400849160004</v>
      </c>
      <c r="E12" s="55" t="b">
        <f t="shared" si="2"/>
        <v>0</v>
      </c>
      <c r="F12" s="11">
        <f>VLOOKUP( $A12, Aop!$A$2:$P$453, 4, 0)</f>
        <v>0</v>
      </c>
      <c r="G12" s="55">
        <f t="shared" si="3"/>
        <v>2026</v>
      </c>
      <c r="H12" s="139">
        <f t="shared" si="4"/>
        <v>46203</v>
      </c>
      <c r="I12" s="55">
        <v>30</v>
      </c>
      <c r="J12" s="52" t="s">
        <v>786</v>
      </c>
      <c r="K12" s="52" t="s">
        <v>786</v>
      </c>
      <c r="L12" s="52" t="s">
        <v>786</v>
      </c>
      <c r="M12" s="52" t="s">
        <v>786</v>
      </c>
      <c r="N12" s="52" t="s">
        <v>786</v>
      </c>
      <c r="O12" s="52" t="s">
        <v>786</v>
      </c>
      <c r="P12" s="52" t="s">
        <v>786</v>
      </c>
      <c r="Q12" s="52" t="s">
        <v>786</v>
      </c>
      <c r="R12" s="52" t="s">
        <v>786</v>
      </c>
      <c r="S12" s="52" t="s">
        <v>786</v>
      </c>
    </row>
    <row r="13" spans="1:19" x14ac:dyDescent="0.3">
      <c r="A13" s="106">
        <v>430</v>
      </c>
      <c r="B13" s="107" t="str">
        <f>VLOOKUP( $A13, Aop!$A$2:$P$453, 2, 0)</f>
        <v>BPK</v>
      </c>
      <c r="C13" s="55" t="str">
        <f t="shared" si="0"/>
        <v>01040103</v>
      </c>
      <c r="D13" s="55" t="str">
        <f t="shared" si="1"/>
        <v>4400849160004</v>
      </c>
      <c r="E13" s="55" t="b">
        <f t="shared" si="2"/>
        <v>0</v>
      </c>
      <c r="F13" s="11">
        <f>VLOOKUP( $A13, Aop!$A$2:$P$453, 4, 0)</f>
        <v>908</v>
      </c>
      <c r="G13" s="55">
        <f t="shared" si="3"/>
        <v>2026</v>
      </c>
      <c r="H13" s="139">
        <f t="shared" si="4"/>
        <v>46203</v>
      </c>
      <c r="I13" s="55">
        <v>30</v>
      </c>
      <c r="J13" s="52" t="str">
        <f t="shared" ca="1" si="5"/>
        <v/>
      </c>
      <c r="K13" s="52" t="str">
        <f t="shared" ca="1" si="5"/>
        <v/>
      </c>
      <c r="L13" s="52" t="str">
        <f t="shared" ca="1" si="5"/>
        <v/>
      </c>
      <c r="M13" s="52" t="str">
        <f t="shared" ca="1" si="5"/>
        <v/>
      </c>
      <c r="N13" s="52" t="str">
        <f t="shared" ca="1" si="5"/>
        <v/>
      </c>
      <c r="O13" s="52" t="str">
        <f t="shared" ca="1" si="5"/>
        <v/>
      </c>
      <c r="P13" s="52" t="str">
        <f t="shared" ca="1" si="5"/>
        <v/>
      </c>
      <c r="Q13" s="52">
        <f t="shared" ca="1" si="5"/>
        <v>0</v>
      </c>
      <c r="R13" s="52" t="str">
        <f t="shared" ca="1" si="5"/>
        <v/>
      </c>
      <c r="S13" s="52">
        <f t="shared" ca="1" si="5"/>
        <v>0</v>
      </c>
    </row>
    <row r="14" spans="1:19" x14ac:dyDescent="0.3">
      <c r="A14" s="106">
        <v>431</v>
      </c>
      <c r="B14" s="107" t="str">
        <f>VLOOKUP( $A14, Aop!$A$2:$P$453, 2, 0)</f>
        <v>BPK</v>
      </c>
      <c r="C14" s="55" t="str">
        <f t="shared" si="0"/>
        <v>01040103</v>
      </c>
      <c r="D14" s="55" t="str">
        <f t="shared" si="1"/>
        <v>4400849160004</v>
      </c>
      <c r="E14" s="55" t="b">
        <f t="shared" si="2"/>
        <v>0</v>
      </c>
      <c r="F14" s="11">
        <f>VLOOKUP( $A14, Aop!$A$2:$P$453, 4, 0)</f>
        <v>909</v>
      </c>
      <c r="G14" s="55">
        <f t="shared" si="3"/>
        <v>2026</v>
      </c>
      <c r="H14" s="139">
        <f t="shared" si="4"/>
        <v>46203</v>
      </c>
      <c r="I14" s="55">
        <v>30</v>
      </c>
      <c r="J14" s="52" t="str">
        <f t="shared" ca="1" si="5"/>
        <v/>
      </c>
      <c r="K14" s="52" t="str">
        <f t="shared" ca="1" si="5"/>
        <v/>
      </c>
      <c r="L14" s="52" t="str">
        <f t="shared" ca="1" si="5"/>
        <v/>
      </c>
      <c r="M14" s="52" t="str">
        <f t="shared" ca="1" si="5"/>
        <v/>
      </c>
      <c r="N14" s="52" t="str">
        <f t="shared" ca="1" si="5"/>
        <v/>
      </c>
      <c r="O14" s="52" t="str">
        <f t="shared" ca="1" si="5"/>
        <v/>
      </c>
      <c r="P14" s="52" t="str">
        <f t="shared" ca="1" si="5"/>
        <v/>
      </c>
      <c r="Q14" s="52">
        <f t="shared" ca="1" si="5"/>
        <v>0</v>
      </c>
      <c r="R14" s="52" t="str">
        <f t="shared" ca="1" si="5"/>
        <v/>
      </c>
      <c r="S14" s="52">
        <f t="shared" ca="1" si="5"/>
        <v>0</v>
      </c>
    </row>
    <row r="15" spans="1:19" x14ac:dyDescent="0.3">
      <c r="A15" s="106">
        <v>432</v>
      </c>
      <c r="B15" s="107" t="str">
        <f>VLOOKUP( $A15, Aop!$A$2:$P$453, 2, 0)</f>
        <v>BPK</v>
      </c>
      <c r="C15" s="55" t="str">
        <f t="shared" si="0"/>
        <v>01040103</v>
      </c>
      <c r="D15" s="55" t="str">
        <f t="shared" si="1"/>
        <v>4400849160004</v>
      </c>
      <c r="E15" s="55" t="b">
        <f t="shared" si="2"/>
        <v>0</v>
      </c>
      <c r="F15" s="11">
        <f>VLOOKUP( $A15, Aop!$A$2:$P$453, 4, 0)</f>
        <v>910</v>
      </c>
      <c r="G15" s="55">
        <f t="shared" si="3"/>
        <v>2026</v>
      </c>
      <c r="H15" s="139">
        <f t="shared" si="4"/>
        <v>46203</v>
      </c>
      <c r="I15" s="55">
        <v>30</v>
      </c>
      <c r="J15" s="52" t="str">
        <f t="shared" ca="1" si="5"/>
        <v/>
      </c>
      <c r="K15" s="52" t="str">
        <f t="shared" ca="1" si="5"/>
        <v/>
      </c>
      <c r="L15" s="52" t="str">
        <f t="shared" ca="1" si="5"/>
        <v/>
      </c>
      <c r="M15" s="52" t="str">
        <f t="shared" ca="1" si="5"/>
        <v/>
      </c>
      <c r="N15" s="52" t="str">
        <f t="shared" ca="1" si="5"/>
        <v/>
      </c>
      <c r="O15" s="52" t="str">
        <f t="shared" ca="1" si="5"/>
        <v/>
      </c>
      <c r="P15" s="52" t="str">
        <f t="shared" ca="1" si="5"/>
        <v/>
      </c>
      <c r="Q15" s="52">
        <f t="shared" ca="1" si="5"/>
        <v>0</v>
      </c>
      <c r="R15" s="52" t="str">
        <f t="shared" ca="1" si="5"/>
        <v/>
      </c>
      <c r="S15" s="52">
        <f t="shared" ca="1" si="5"/>
        <v>0</v>
      </c>
    </row>
    <row r="16" spans="1:19" x14ac:dyDescent="0.3">
      <c r="A16" s="106">
        <v>433</v>
      </c>
      <c r="B16" s="107" t="str">
        <f>VLOOKUP( $A16, Aop!$A$2:$P$453, 2, 0)</f>
        <v>BPK</v>
      </c>
      <c r="C16" s="55" t="str">
        <f t="shared" si="0"/>
        <v>01040103</v>
      </c>
      <c r="D16" s="55" t="str">
        <f t="shared" si="1"/>
        <v>4400849160004</v>
      </c>
      <c r="E16" s="55" t="b">
        <f t="shared" si="2"/>
        <v>0</v>
      </c>
      <c r="F16" s="11">
        <f>VLOOKUP( $A16, Aop!$A$2:$P$453, 4, 0)</f>
        <v>911</v>
      </c>
      <c r="G16" s="55">
        <f t="shared" si="3"/>
        <v>2026</v>
      </c>
      <c r="H16" s="139">
        <f t="shared" si="4"/>
        <v>46203</v>
      </c>
      <c r="I16" s="55">
        <v>30</v>
      </c>
      <c r="J16" s="52" t="str">
        <f t="shared" ca="1" si="5"/>
        <v/>
      </c>
      <c r="K16" s="52" t="str">
        <f t="shared" ca="1" si="5"/>
        <v/>
      </c>
      <c r="L16" s="52">
        <f t="shared" ca="1" si="5"/>
        <v>6453</v>
      </c>
      <c r="M16" s="52" t="str">
        <f t="shared" ca="1" si="5"/>
        <v/>
      </c>
      <c r="N16" s="52" t="str">
        <f t="shared" ca="1" si="5"/>
        <v/>
      </c>
      <c r="O16" s="52" t="str">
        <f t="shared" ca="1" si="5"/>
        <v/>
      </c>
      <c r="P16" s="52" t="str">
        <f t="shared" ca="1" si="5"/>
        <v/>
      </c>
      <c r="Q16" s="52">
        <f t="shared" ca="1" si="5"/>
        <v>6453</v>
      </c>
      <c r="R16" s="52" t="str">
        <f t="shared" ca="1" si="5"/>
        <v/>
      </c>
      <c r="S16" s="52">
        <f t="shared" ca="1" si="5"/>
        <v>6453</v>
      </c>
    </row>
    <row r="17" spans="1:19" x14ac:dyDescent="0.3">
      <c r="A17" s="106">
        <v>434</v>
      </c>
      <c r="B17" s="107" t="str">
        <f>VLOOKUP( $A17, Aop!$A$2:$P$453, 2, 0)</f>
        <v>BPK</v>
      </c>
      <c r="C17" s="55" t="str">
        <f t="shared" si="0"/>
        <v>01040103</v>
      </c>
      <c r="D17" s="55" t="str">
        <f t="shared" si="1"/>
        <v>4400849160004</v>
      </c>
      <c r="E17" s="55" t="b">
        <f t="shared" si="2"/>
        <v>0</v>
      </c>
      <c r="F17" s="11">
        <f>VLOOKUP( $A17, Aop!$A$2:$P$453, 4, 0)</f>
        <v>912</v>
      </c>
      <c r="G17" s="55">
        <f t="shared" si="3"/>
        <v>2026</v>
      </c>
      <c r="H17" s="139">
        <f t="shared" si="4"/>
        <v>46203</v>
      </c>
      <c r="I17" s="55">
        <v>30</v>
      </c>
      <c r="J17" s="52" t="str">
        <f t="shared" ca="1" si="5"/>
        <v/>
      </c>
      <c r="K17" s="52" t="str">
        <f t="shared" ca="1" si="5"/>
        <v/>
      </c>
      <c r="L17" s="52" t="str">
        <f t="shared" ca="1" si="5"/>
        <v/>
      </c>
      <c r="M17" s="52" t="str">
        <f t="shared" ca="1" si="5"/>
        <v/>
      </c>
      <c r="N17" s="52" t="str">
        <f t="shared" ca="1" si="5"/>
        <v/>
      </c>
      <c r="O17" s="52" t="str">
        <f t="shared" ca="1" si="5"/>
        <v/>
      </c>
      <c r="P17" s="52" t="str">
        <f t="shared" ca="1" si="5"/>
        <v/>
      </c>
      <c r="Q17" s="52">
        <f t="shared" ca="1" si="5"/>
        <v>0</v>
      </c>
      <c r="R17" s="52" t="str">
        <f t="shared" ca="1" si="5"/>
        <v/>
      </c>
      <c r="S17" s="52">
        <f t="shared" ca="1" si="5"/>
        <v>0</v>
      </c>
    </row>
    <row r="18" spans="1:19" x14ac:dyDescent="0.3">
      <c r="A18" s="106">
        <v>435</v>
      </c>
      <c r="B18" s="107" t="str">
        <f>VLOOKUP( $A18, Aop!$A$2:$P$453, 2, 0)</f>
        <v>BPK</v>
      </c>
      <c r="C18" s="55" t="str">
        <f t="shared" si="0"/>
        <v>01040103</v>
      </c>
      <c r="D18" s="55" t="str">
        <f t="shared" si="1"/>
        <v>4400849160004</v>
      </c>
      <c r="E18" s="55" t="b">
        <f t="shared" si="2"/>
        <v>0</v>
      </c>
      <c r="F18" s="11">
        <f>VLOOKUP( $A18, Aop!$A$2:$P$453, 4, 0)</f>
        <v>0</v>
      </c>
      <c r="G18" s="55">
        <f t="shared" si="3"/>
        <v>2026</v>
      </c>
      <c r="H18" s="139">
        <f t="shared" si="4"/>
        <v>46203</v>
      </c>
      <c r="I18" s="55">
        <v>30</v>
      </c>
      <c r="J18" s="52" t="s">
        <v>786</v>
      </c>
      <c r="K18" s="52" t="s">
        <v>786</v>
      </c>
      <c r="L18" s="52" t="s">
        <v>786</v>
      </c>
      <c r="M18" s="52" t="s">
        <v>786</v>
      </c>
      <c r="N18" s="52" t="s">
        <v>786</v>
      </c>
      <c r="O18" s="52" t="s">
        <v>786</v>
      </c>
      <c r="P18" s="52" t="s">
        <v>786</v>
      </c>
      <c r="Q18" s="52" t="s">
        <v>786</v>
      </c>
      <c r="R18" s="52" t="s">
        <v>786</v>
      </c>
      <c r="S18" s="52" t="s">
        <v>786</v>
      </c>
    </row>
    <row r="19" spans="1:19" x14ac:dyDescent="0.3">
      <c r="A19" s="106">
        <v>436</v>
      </c>
      <c r="B19" s="107" t="str">
        <f>VLOOKUP( $A19, Aop!$A$2:$P$453, 2, 0)</f>
        <v>BPK</v>
      </c>
      <c r="C19" s="55" t="str">
        <f t="shared" si="0"/>
        <v>01040103</v>
      </c>
      <c r="D19" s="55" t="str">
        <f t="shared" si="1"/>
        <v>4400849160004</v>
      </c>
      <c r="E19" s="55" t="b">
        <f t="shared" si="2"/>
        <v>0</v>
      </c>
      <c r="F19" s="11">
        <f>VLOOKUP( $A19, Aop!$A$2:$P$453, 4, 0)</f>
        <v>913</v>
      </c>
      <c r="G19" s="55">
        <f t="shared" si="3"/>
        <v>2026</v>
      </c>
      <c r="H19" s="139">
        <f t="shared" si="4"/>
        <v>46203</v>
      </c>
      <c r="I19" s="55">
        <v>30</v>
      </c>
      <c r="J19" s="52">
        <f t="shared" ca="1" si="5"/>
        <v>9603944</v>
      </c>
      <c r="K19" s="52">
        <f t="shared" ca="1" si="5"/>
        <v>0</v>
      </c>
      <c r="L19" s="52">
        <f t="shared" ca="1" si="5"/>
        <v>273966</v>
      </c>
      <c r="M19" s="52">
        <f t="shared" ca="1" si="5"/>
        <v>6146918</v>
      </c>
      <c r="N19" s="52">
        <f t="shared" ca="1" si="5"/>
        <v>0</v>
      </c>
      <c r="O19" s="52">
        <f t="shared" ca="1" si="5"/>
        <v>0</v>
      </c>
      <c r="P19" s="52">
        <f t="shared" ca="1" si="5"/>
        <v>4818917</v>
      </c>
      <c r="Q19" s="52">
        <f t="shared" ca="1" si="5"/>
        <v>20843745</v>
      </c>
      <c r="R19" s="52">
        <f t="shared" ca="1" si="5"/>
        <v>0</v>
      </c>
      <c r="S19" s="52">
        <f t="shared" ca="1" si="5"/>
        <v>20843745</v>
      </c>
    </row>
    <row r="20" spans="1:19" x14ac:dyDescent="0.3">
      <c r="A20" s="106">
        <v>437</v>
      </c>
      <c r="B20" s="112" t="str">
        <f>VLOOKUP( $A20, Aop!$A$2:$P$453, 2, 0)</f>
        <v>BPK</v>
      </c>
      <c r="C20" s="55" t="str">
        <f t="shared" si="0"/>
        <v>01040103</v>
      </c>
      <c r="D20" s="55" t="str">
        <f t="shared" si="1"/>
        <v>4400849160004</v>
      </c>
      <c r="E20" s="55" t="b">
        <f t="shared" si="2"/>
        <v>0</v>
      </c>
      <c r="F20" s="11">
        <f>VLOOKUP( $A20, Aop!$A$2:$P$453, 4, 0)</f>
        <v>0</v>
      </c>
      <c r="G20" s="55">
        <f t="shared" si="3"/>
        <v>2026</v>
      </c>
      <c r="H20" s="139">
        <f t="shared" si="4"/>
        <v>46203</v>
      </c>
      <c r="I20" s="55">
        <v>30</v>
      </c>
      <c r="J20" s="52" t="s">
        <v>786</v>
      </c>
      <c r="K20" s="52" t="s">
        <v>786</v>
      </c>
      <c r="L20" s="52" t="s">
        <v>786</v>
      </c>
      <c r="M20" s="52" t="s">
        <v>786</v>
      </c>
      <c r="N20" s="52" t="s">
        <v>786</v>
      </c>
      <c r="O20" s="52" t="s">
        <v>786</v>
      </c>
      <c r="P20" s="52" t="s">
        <v>786</v>
      </c>
      <c r="Q20" s="52" t="s">
        <v>786</v>
      </c>
      <c r="R20" s="52" t="s">
        <v>786</v>
      </c>
      <c r="S20" s="52" t="s">
        <v>786</v>
      </c>
    </row>
    <row r="21" spans="1:19" x14ac:dyDescent="0.3">
      <c r="A21" s="106">
        <v>438</v>
      </c>
      <c r="B21" s="225" t="str">
        <f>VLOOKUP( $A21, Aop!$A$2:$P$453, 2, 0)</f>
        <v>BPK</v>
      </c>
      <c r="C21" s="52" t="str">
        <f t="shared" ref="C21:C35" si="6">Podatak_MB</f>
        <v>01040103</v>
      </c>
      <c r="D21" s="52" t="str">
        <f t="shared" ref="D21:D35" si="7">Podatak_JIB</f>
        <v>4400849160004</v>
      </c>
      <c r="E21" s="52" t="b">
        <f t="shared" ref="E21:E35" si="8">Konsolidovan_izvjestaj</f>
        <v>0</v>
      </c>
      <c r="F21" s="11">
        <f>VLOOKUP( $A21, Aop!$A$2:$P$453, 4, 0)</f>
        <v>914</v>
      </c>
      <c r="G21" s="52">
        <f t="shared" ref="G21:G35" si="9">Godina</f>
        <v>2026</v>
      </c>
      <c r="H21" s="224">
        <f t="shared" ref="H21:H35" si="10">Datum_Broj</f>
        <v>46203</v>
      </c>
      <c r="I21" s="55">
        <v>30</v>
      </c>
      <c r="J21" s="52" t="str">
        <f t="shared" ref="J21:S23" ca="1" si="11">IF(VLOOKUP($F21,INDIRECT("Lookup_"&amp;$B21),J$1-1,0)="","",VLOOKUP($F21,INDIRECT("Lookup_"&amp;$B21),J$1-1,0))</f>
        <v/>
      </c>
      <c r="K21" s="52" t="str">
        <f t="shared" ca="1" si="11"/>
        <v/>
      </c>
      <c r="L21" s="52" t="str">
        <f t="shared" ca="1" si="11"/>
        <v/>
      </c>
      <c r="M21" s="52" t="str">
        <f t="shared" ca="1" si="11"/>
        <v/>
      </c>
      <c r="N21" s="52" t="str">
        <f t="shared" ca="1" si="11"/>
        <v/>
      </c>
      <c r="O21" s="52" t="str">
        <f t="shared" ca="1" si="11"/>
        <v/>
      </c>
      <c r="P21" s="52" t="str">
        <f t="shared" ca="1" si="11"/>
        <v/>
      </c>
      <c r="Q21" s="52">
        <f t="shared" ca="1" si="11"/>
        <v>0</v>
      </c>
      <c r="R21" s="52" t="str">
        <f t="shared" ca="1" si="11"/>
        <v/>
      </c>
      <c r="S21" s="52">
        <f t="shared" ca="1" si="11"/>
        <v>0</v>
      </c>
    </row>
    <row r="22" spans="1:19" x14ac:dyDescent="0.3">
      <c r="A22" s="106">
        <v>439</v>
      </c>
      <c r="B22" s="225" t="str">
        <f>VLOOKUP( $A22, Aop!$A$2:$P$453, 2, 0)</f>
        <v>BPK</v>
      </c>
      <c r="C22" s="52" t="str">
        <f t="shared" si="6"/>
        <v>01040103</v>
      </c>
      <c r="D22" s="52" t="str">
        <f t="shared" si="7"/>
        <v>4400849160004</v>
      </c>
      <c r="E22" s="52" t="b">
        <f t="shared" si="8"/>
        <v>0</v>
      </c>
      <c r="F22" s="11">
        <f>VLOOKUP( $A22, Aop!$A$2:$P$453, 4, 0)</f>
        <v>915</v>
      </c>
      <c r="G22" s="52">
        <f t="shared" si="9"/>
        <v>2026</v>
      </c>
      <c r="H22" s="224">
        <f t="shared" si="10"/>
        <v>46203</v>
      </c>
      <c r="I22" s="55">
        <v>30</v>
      </c>
      <c r="J22" s="52" t="s">
        <v>786</v>
      </c>
      <c r="K22" s="52" t="s">
        <v>786</v>
      </c>
      <c r="L22" s="52" t="s">
        <v>786</v>
      </c>
      <c r="M22" s="52" t="s">
        <v>786</v>
      </c>
      <c r="N22" s="52" t="s">
        <v>786</v>
      </c>
      <c r="O22" s="52" t="s">
        <v>786</v>
      </c>
      <c r="P22" s="52" t="s">
        <v>786</v>
      </c>
      <c r="Q22" s="52" t="s">
        <v>786</v>
      </c>
      <c r="R22" s="52" t="s">
        <v>786</v>
      </c>
      <c r="S22" s="52" t="s">
        <v>786</v>
      </c>
    </row>
    <row r="23" spans="1:19" x14ac:dyDescent="0.3">
      <c r="A23" s="106">
        <v>440</v>
      </c>
      <c r="B23" s="225" t="str">
        <f>VLOOKUP( $A23, Aop!$A$2:$P$453, 2, 0)</f>
        <v>BPK</v>
      </c>
      <c r="C23" s="52" t="str">
        <f t="shared" si="6"/>
        <v>01040103</v>
      </c>
      <c r="D23" s="52" t="str">
        <f t="shared" si="7"/>
        <v>4400849160004</v>
      </c>
      <c r="E23" s="52" t="b">
        <f t="shared" si="8"/>
        <v>0</v>
      </c>
      <c r="F23" s="11">
        <f>VLOOKUP( $A23, Aop!$A$2:$P$453, 4, 0)</f>
        <v>916</v>
      </c>
      <c r="G23" s="52">
        <f t="shared" si="9"/>
        <v>2026</v>
      </c>
      <c r="H23" s="224">
        <f t="shared" si="10"/>
        <v>46203</v>
      </c>
      <c r="I23" s="55">
        <v>30</v>
      </c>
      <c r="J23" s="52">
        <f t="shared" ca="1" si="11"/>
        <v>9603944</v>
      </c>
      <c r="K23" s="52">
        <f t="shared" ca="1" si="11"/>
        <v>0</v>
      </c>
      <c r="L23" s="52">
        <f t="shared" ca="1" si="11"/>
        <v>273966</v>
      </c>
      <c r="M23" s="52">
        <f t="shared" ca="1" si="11"/>
        <v>6146918</v>
      </c>
      <c r="N23" s="52">
        <f t="shared" ca="1" si="11"/>
        <v>0</v>
      </c>
      <c r="O23" s="52">
        <f t="shared" ca="1" si="11"/>
        <v>0</v>
      </c>
      <c r="P23" s="52">
        <f t="shared" ca="1" si="11"/>
        <v>4818917</v>
      </c>
      <c r="Q23" s="52">
        <f t="shared" ca="1" si="11"/>
        <v>20843745</v>
      </c>
      <c r="R23" s="52">
        <f t="shared" ca="1" si="11"/>
        <v>0</v>
      </c>
      <c r="S23" s="52">
        <f t="shared" ca="1" si="11"/>
        <v>20843745</v>
      </c>
    </row>
    <row r="24" spans="1:19" x14ac:dyDescent="0.3">
      <c r="A24" s="106">
        <v>441</v>
      </c>
      <c r="B24" s="225" t="str">
        <f>VLOOKUP( $A24, Aop!$A$2:$P$453, 2, 0)</f>
        <v>BPK</v>
      </c>
      <c r="C24" s="52" t="str">
        <f t="shared" si="6"/>
        <v>01040103</v>
      </c>
      <c r="D24" s="52" t="str">
        <f t="shared" si="7"/>
        <v>4400849160004</v>
      </c>
      <c r="E24" s="52" t="b">
        <f t="shared" si="8"/>
        <v>0</v>
      </c>
      <c r="F24" s="11">
        <f>VLOOKUP( $A24, Aop!$A$2:$P$453, 4, 0)</f>
        <v>0</v>
      </c>
      <c r="G24" s="52">
        <f t="shared" si="9"/>
        <v>2026</v>
      </c>
      <c r="H24" s="224">
        <f t="shared" si="10"/>
        <v>46203</v>
      </c>
      <c r="I24" s="55">
        <v>30</v>
      </c>
      <c r="J24" s="52" t="s">
        <v>786</v>
      </c>
      <c r="K24" s="52" t="s">
        <v>786</v>
      </c>
      <c r="L24" s="52" t="s">
        <v>786</v>
      </c>
      <c r="M24" s="52" t="s">
        <v>786</v>
      </c>
      <c r="N24" s="52" t="s">
        <v>786</v>
      </c>
      <c r="O24" s="52" t="s">
        <v>786</v>
      </c>
      <c r="P24" s="52" t="s">
        <v>786</v>
      </c>
      <c r="Q24" s="52" t="s">
        <v>786</v>
      </c>
      <c r="R24" s="52" t="s">
        <v>786</v>
      </c>
      <c r="S24" s="52" t="s">
        <v>786</v>
      </c>
    </row>
    <row r="25" spans="1:19" x14ac:dyDescent="0.3">
      <c r="A25" s="106">
        <v>442</v>
      </c>
      <c r="B25" s="225" t="str">
        <f>VLOOKUP( $A25, Aop!$A$2:$P$453, 2, 0)</f>
        <v>BPK</v>
      </c>
      <c r="C25" s="52" t="str">
        <f t="shared" ref="C25:C34" si="12">Podatak_MB</f>
        <v>01040103</v>
      </c>
      <c r="D25" s="52" t="str">
        <f t="shared" ref="D25:D34" si="13">Podatak_JIB</f>
        <v>4400849160004</v>
      </c>
      <c r="E25" s="52" t="b">
        <f t="shared" ref="E25:E34" si="14">Konsolidovan_izvjestaj</f>
        <v>0</v>
      </c>
      <c r="F25" s="11">
        <f>VLOOKUP( $A25, Aop!$A$2:$P$453, 4, 0)</f>
        <v>917</v>
      </c>
      <c r="G25" s="52">
        <f t="shared" ref="G25:G34" si="15">Godina</f>
        <v>2026</v>
      </c>
      <c r="H25" s="224">
        <f t="shared" ref="H25:H34" si="16">Datum_Broj</f>
        <v>46203</v>
      </c>
      <c r="I25" s="55">
        <v>30</v>
      </c>
      <c r="J25" s="52" t="str">
        <f t="shared" ref="J25:J34" ca="1" si="17">IF(VLOOKUP($F25,INDIRECT("Lookup_"&amp;$B25),J$1-1,0)="","",VLOOKUP($F25,INDIRECT("Lookup_"&amp;$B25),J$1-1,0))</f>
        <v/>
      </c>
      <c r="K25" s="52"/>
      <c r="L25" s="52"/>
      <c r="M25" s="52"/>
      <c r="N25" s="52"/>
      <c r="O25" s="52"/>
      <c r="P25" s="52"/>
      <c r="Q25" s="52"/>
      <c r="R25" s="52"/>
      <c r="S25" s="52"/>
    </row>
    <row r="26" spans="1:19" x14ac:dyDescent="0.3">
      <c r="A26" s="106">
        <v>443</v>
      </c>
      <c r="B26" s="225" t="str">
        <f>VLOOKUP( $A26, Aop!$A$2:$P$453, 2, 0)</f>
        <v>BPK</v>
      </c>
      <c r="C26" s="52" t="str">
        <f t="shared" si="12"/>
        <v>01040103</v>
      </c>
      <c r="D26" s="52" t="str">
        <f t="shared" si="13"/>
        <v>4400849160004</v>
      </c>
      <c r="E26" s="52" t="b">
        <f t="shared" si="14"/>
        <v>0</v>
      </c>
      <c r="F26" s="11">
        <f>VLOOKUP( $A26, Aop!$A$2:$P$453, 4, 0)</f>
        <v>918</v>
      </c>
      <c r="G26" s="52">
        <f t="shared" si="15"/>
        <v>2026</v>
      </c>
      <c r="H26" s="224">
        <f t="shared" si="16"/>
        <v>46203</v>
      </c>
      <c r="I26" s="55">
        <v>30</v>
      </c>
      <c r="J26" s="52" t="str">
        <f t="shared" ca="1" si="17"/>
        <v/>
      </c>
      <c r="K26" s="52"/>
      <c r="L26" s="52"/>
      <c r="M26" s="52"/>
      <c r="N26" s="52"/>
      <c r="O26" s="52"/>
      <c r="P26" s="52"/>
      <c r="Q26" s="52"/>
      <c r="R26" s="52"/>
      <c r="S26" s="52"/>
    </row>
    <row r="27" spans="1:19" x14ac:dyDescent="0.3">
      <c r="A27" s="106">
        <v>444</v>
      </c>
      <c r="B27" s="225" t="str">
        <f>VLOOKUP( $A27, Aop!$A$2:$P$453, 2, 0)</f>
        <v>BPK</v>
      </c>
      <c r="C27" s="52" t="str">
        <f t="shared" si="12"/>
        <v>01040103</v>
      </c>
      <c r="D27" s="52" t="str">
        <f t="shared" si="13"/>
        <v>4400849160004</v>
      </c>
      <c r="E27" s="52" t="b">
        <f t="shared" si="14"/>
        <v>0</v>
      </c>
      <c r="F27" s="11">
        <f>VLOOKUP( $A27, Aop!$A$2:$P$453, 4, 0)</f>
        <v>919</v>
      </c>
      <c r="G27" s="52">
        <f t="shared" si="15"/>
        <v>2026</v>
      </c>
      <c r="H27" s="224">
        <f t="shared" si="16"/>
        <v>46203</v>
      </c>
      <c r="I27" s="55">
        <v>30</v>
      </c>
      <c r="J27" s="52">
        <f t="shared" ca="1" si="17"/>
        <v>0</v>
      </c>
      <c r="K27" s="52"/>
      <c r="L27" s="52"/>
      <c r="M27" s="52"/>
      <c r="N27" s="52"/>
      <c r="O27" s="52"/>
      <c r="P27" s="52"/>
      <c r="Q27" s="52"/>
      <c r="R27" s="52"/>
      <c r="S27" s="52"/>
    </row>
    <row r="28" spans="1:19" x14ac:dyDescent="0.3">
      <c r="A28" s="106">
        <v>445</v>
      </c>
      <c r="B28" s="225" t="str">
        <f>VLOOKUP( $A28, Aop!$A$2:$P$453, 2, 0)</f>
        <v>BPK</v>
      </c>
      <c r="C28" s="52" t="str">
        <f t="shared" si="12"/>
        <v>01040103</v>
      </c>
      <c r="D28" s="52" t="str">
        <f t="shared" si="13"/>
        <v>4400849160004</v>
      </c>
      <c r="E28" s="52" t="b">
        <f t="shared" si="14"/>
        <v>0</v>
      </c>
      <c r="F28" s="11">
        <f>VLOOKUP( $A28, Aop!$A$2:$P$453, 4, 0)</f>
        <v>0</v>
      </c>
      <c r="G28" s="52">
        <f t="shared" si="15"/>
        <v>2026</v>
      </c>
      <c r="H28" s="224">
        <f t="shared" si="16"/>
        <v>46203</v>
      </c>
      <c r="I28" s="55">
        <v>30</v>
      </c>
      <c r="J28" s="52" t="str">
        <f t="shared" ca="1" si="17"/>
        <v/>
      </c>
      <c r="K28" s="52"/>
      <c r="L28" s="52"/>
      <c r="M28" s="52"/>
      <c r="N28" s="52"/>
      <c r="O28" s="52"/>
      <c r="P28" s="52"/>
      <c r="Q28" s="52"/>
      <c r="R28" s="52"/>
      <c r="S28" s="52"/>
    </row>
    <row r="29" spans="1:19" x14ac:dyDescent="0.3">
      <c r="A29" s="106">
        <v>446</v>
      </c>
      <c r="B29" s="225" t="str">
        <f>VLOOKUP( $A29, Aop!$A$2:$P$453, 2, 0)</f>
        <v>BPK</v>
      </c>
      <c r="C29" s="52" t="str">
        <f t="shared" si="12"/>
        <v>01040103</v>
      </c>
      <c r="D29" s="52" t="str">
        <f t="shared" si="13"/>
        <v>4400849160004</v>
      </c>
      <c r="E29" s="52" t="b">
        <f t="shared" si="14"/>
        <v>0</v>
      </c>
      <c r="F29" s="11">
        <f>VLOOKUP( $A29, Aop!$A$2:$P$453, 4, 0)</f>
        <v>920</v>
      </c>
      <c r="G29" s="52">
        <f t="shared" si="15"/>
        <v>2026</v>
      </c>
      <c r="H29" s="224">
        <f t="shared" si="16"/>
        <v>46203</v>
      </c>
      <c r="I29" s="55">
        <v>30</v>
      </c>
      <c r="J29" s="52" t="str">
        <f t="shared" ca="1" si="17"/>
        <v/>
      </c>
      <c r="K29" s="52"/>
      <c r="L29" s="52"/>
      <c r="M29" s="52"/>
      <c r="N29" s="52"/>
      <c r="O29" s="52"/>
      <c r="P29" s="52"/>
      <c r="Q29" s="52"/>
      <c r="R29" s="52"/>
      <c r="S29" s="52"/>
    </row>
    <row r="30" spans="1:19" x14ac:dyDescent="0.3">
      <c r="A30" s="106">
        <v>447</v>
      </c>
      <c r="B30" s="225" t="str">
        <f>VLOOKUP( $A30, Aop!$A$2:$P$453, 2, 0)</f>
        <v>BPK</v>
      </c>
      <c r="C30" s="52" t="str">
        <f t="shared" si="12"/>
        <v>01040103</v>
      </c>
      <c r="D30" s="52" t="str">
        <f t="shared" si="13"/>
        <v>4400849160004</v>
      </c>
      <c r="E30" s="52" t="b">
        <f t="shared" si="14"/>
        <v>0</v>
      </c>
      <c r="F30" s="11">
        <f>VLOOKUP( $A30, Aop!$A$2:$P$453, 4, 0)</f>
        <v>921</v>
      </c>
      <c r="G30" s="52">
        <f t="shared" si="15"/>
        <v>2026</v>
      </c>
      <c r="H30" s="224">
        <f t="shared" si="16"/>
        <v>46203</v>
      </c>
      <c r="I30" s="55">
        <v>30</v>
      </c>
      <c r="J30" s="52" t="str">
        <f t="shared" ca="1" si="17"/>
        <v/>
      </c>
      <c r="K30" s="52"/>
      <c r="L30" s="52"/>
      <c r="M30" s="52"/>
      <c r="N30" s="52"/>
      <c r="O30" s="52"/>
      <c r="P30" s="52"/>
      <c r="Q30" s="52"/>
      <c r="R30" s="52"/>
      <c r="S30" s="52"/>
    </row>
    <row r="31" spans="1:19" x14ac:dyDescent="0.3">
      <c r="A31" s="106">
        <v>448</v>
      </c>
      <c r="B31" s="225" t="str">
        <f>VLOOKUP( $A31, Aop!$A$2:$P$453, 2, 0)</f>
        <v>BPK</v>
      </c>
      <c r="C31" s="52" t="str">
        <f t="shared" si="12"/>
        <v>01040103</v>
      </c>
      <c r="D31" s="52" t="str">
        <f t="shared" si="13"/>
        <v>4400849160004</v>
      </c>
      <c r="E31" s="52" t="b">
        <f t="shared" si="14"/>
        <v>0</v>
      </c>
      <c r="F31" s="11">
        <f>VLOOKUP( $A31, Aop!$A$2:$P$453, 4, 0)</f>
        <v>922</v>
      </c>
      <c r="G31" s="52">
        <f t="shared" si="15"/>
        <v>2026</v>
      </c>
      <c r="H31" s="224">
        <f t="shared" si="16"/>
        <v>46203</v>
      </c>
      <c r="I31" s="55">
        <v>30</v>
      </c>
      <c r="J31" s="52" t="str">
        <f t="shared" ca="1" si="17"/>
        <v/>
      </c>
      <c r="K31" s="52"/>
      <c r="L31" s="52"/>
      <c r="M31" s="52"/>
      <c r="N31" s="52"/>
      <c r="O31" s="52"/>
      <c r="P31" s="52"/>
      <c r="Q31" s="52"/>
      <c r="R31" s="52"/>
      <c r="S31" s="52"/>
    </row>
    <row r="32" spans="1:19" x14ac:dyDescent="0.3">
      <c r="A32" s="106">
        <v>449</v>
      </c>
      <c r="B32" s="225" t="str">
        <f>VLOOKUP( $A32, Aop!$A$2:$P$453, 2, 0)</f>
        <v>BPK</v>
      </c>
      <c r="C32" s="52" t="str">
        <f t="shared" si="12"/>
        <v>01040103</v>
      </c>
      <c r="D32" s="52" t="str">
        <f t="shared" si="13"/>
        <v>4400849160004</v>
      </c>
      <c r="E32" s="52" t="b">
        <f t="shared" si="14"/>
        <v>0</v>
      </c>
      <c r="F32" s="11">
        <f>VLOOKUP( $A32, Aop!$A$2:$P$453, 4, 0)</f>
        <v>923</v>
      </c>
      <c r="G32" s="52">
        <f t="shared" si="15"/>
        <v>2026</v>
      </c>
      <c r="H32" s="224">
        <f t="shared" si="16"/>
        <v>46203</v>
      </c>
      <c r="I32" s="55">
        <v>30</v>
      </c>
      <c r="J32" s="52" t="str">
        <f t="shared" ca="1" si="17"/>
        <v/>
      </c>
      <c r="K32" s="52"/>
      <c r="L32" s="52"/>
      <c r="M32" s="52"/>
      <c r="N32" s="52"/>
      <c r="O32" s="52"/>
      <c r="P32" s="52"/>
      <c r="Q32" s="52"/>
      <c r="R32" s="52"/>
      <c r="S32" s="52"/>
    </row>
    <row r="33" spans="1:19" x14ac:dyDescent="0.3">
      <c r="A33" s="106">
        <v>450</v>
      </c>
      <c r="B33" s="225" t="str">
        <f>VLOOKUP( $A33, Aop!$A$2:$P$453, 2, 0)</f>
        <v>BPK</v>
      </c>
      <c r="C33" s="52" t="str">
        <f t="shared" si="12"/>
        <v>01040103</v>
      </c>
      <c r="D33" s="52" t="str">
        <f t="shared" si="13"/>
        <v>4400849160004</v>
      </c>
      <c r="E33" s="52" t="b">
        <f t="shared" si="14"/>
        <v>0</v>
      </c>
      <c r="F33" s="11">
        <f>VLOOKUP( $A33, Aop!$A$2:$P$453, 4, 0)</f>
        <v>924</v>
      </c>
      <c r="G33" s="52">
        <f t="shared" si="15"/>
        <v>2026</v>
      </c>
      <c r="H33" s="224">
        <f t="shared" si="16"/>
        <v>46203</v>
      </c>
      <c r="I33" s="55">
        <v>30</v>
      </c>
      <c r="J33" s="52" t="str">
        <f t="shared" ca="1" si="17"/>
        <v/>
      </c>
      <c r="K33" s="52"/>
      <c r="L33" s="52"/>
      <c r="M33" s="52"/>
      <c r="N33" s="52"/>
      <c r="O33" s="52"/>
      <c r="P33" s="52"/>
      <c r="Q33" s="52"/>
      <c r="R33" s="52"/>
      <c r="S33" s="52"/>
    </row>
    <row r="34" spans="1:19" x14ac:dyDescent="0.3">
      <c r="A34" s="106">
        <v>451</v>
      </c>
      <c r="B34" s="225" t="str">
        <f>VLOOKUP( $A34, Aop!$A$2:$P$453, 2, 0)</f>
        <v>BPK</v>
      </c>
      <c r="C34" s="52" t="str">
        <f t="shared" si="12"/>
        <v>01040103</v>
      </c>
      <c r="D34" s="52" t="str">
        <f t="shared" si="13"/>
        <v>4400849160004</v>
      </c>
      <c r="E34" s="52" t="b">
        <f t="shared" si="14"/>
        <v>0</v>
      </c>
      <c r="F34" s="11">
        <f>VLOOKUP( $A34, Aop!$A$2:$P$453, 4, 0)</f>
        <v>0</v>
      </c>
      <c r="G34" s="52">
        <f t="shared" si="15"/>
        <v>2026</v>
      </c>
      <c r="H34" s="224">
        <f t="shared" si="16"/>
        <v>46203</v>
      </c>
      <c r="I34" s="55">
        <v>30</v>
      </c>
      <c r="J34" s="52" t="str">
        <f t="shared" ca="1" si="17"/>
        <v/>
      </c>
      <c r="K34" s="52"/>
      <c r="L34" s="52"/>
      <c r="M34" s="52"/>
      <c r="N34" s="52"/>
      <c r="O34" s="52"/>
      <c r="P34" s="52"/>
      <c r="Q34" s="52"/>
      <c r="R34" s="52"/>
      <c r="S34" s="52"/>
    </row>
    <row r="35" spans="1:19" x14ac:dyDescent="0.3">
      <c r="A35" s="106">
        <v>452</v>
      </c>
      <c r="B35" s="225" t="str">
        <f>VLOOKUP( $A35, Aop!$A$2:$P$453, 2, 0)</f>
        <v>BPK</v>
      </c>
      <c r="C35" s="52" t="str">
        <f t="shared" si="6"/>
        <v>01040103</v>
      </c>
      <c r="D35" s="52" t="str">
        <f t="shared" si="7"/>
        <v>4400849160004</v>
      </c>
      <c r="E35" s="52" t="b">
        <f t="shared" si="8"/>
        <v>0</v>
      </c>
      <c r="F35" s="11">
        <f>VLOOKUP( $A35, Aop!$A$2:$P$453, 4, 0)</f>
        <v>925</v>
      </c>
      <c r="G35" s="52">
        <f t="shared" si="9"/>
        <v>2026</v>
      </c>
      <c r="H35" s="224">
        <f t="shared" si="10"/>
        <v>46203</v>
      </c>
      <c r="I35" s="55">
        <v>30</v>
      </c>
      <c r="J35" s="52">
        <f t="shared" ref="J35:S35" ca="1" si="18">IF(VLOOKUP($F35,INDIRECT("Lookup_"&amp;$B35),J$1-1,0)="","",VLOOKUP($F35,INDIRECT("Lookup_"&amp;$B35),J$1-1,0))</f>
        <v>9603944</v>
      </c>
      <c r="K35" s="52">
        <f t="shared" ca="1" si="18"/>
        <v>0</v>
      </c>
      <c r="L35" s="52">
        <f t="shared" ca="1" si="18"/>
        <v>274841</v>
      </c>
      <c r="M35" s="52">
        <f t="shared" ca="1" si="18"/>
        <v>6146918</v>
      </c>
      <c r="N35" s="52">
        <f t="shared" ca="1" si="18"/>
        <v>0</v>
      </c>
      <c r="O35" s="52">
        <f t="shared" ca="1" si="18"/>
        <v>0</v>
      </c>
      <c r="P35" s="52">
        <f t="shared" ca="1" si="18"/>
        <v>5885955</v>
      </c>
      <c r="Q35" s="52">
        <f t="shared" ca="1" si="18"/>
        <v>21911658</v>
      </c>
      <c r="R35" s="52">
        <f t="shared" ca="1" si="18"/>
        <v>0</v>
      </c>
      <c r="S35" s="52">
        <f t="shared" ca="1" si="18"/>
        <v>21911658</v>
      </c>
    </row>
  </sheetData>
  <sheetProtection algorithmName="SHA-512" hashValue="N8KQiGhchAFVwnrPHbY6mQoOo7hLUP0jKjZu+ZYE8DGcKxZ2fYr9qrVJP2XphdFIvQx7TuGlhVCu8L6EDhdnZg==" saltValue="QZ1mApl38IRyH1yX1ZNq9w==" spinCount="100000" sheet="1" objects="1" scenarios="1"/>
  <phoneticPr fontId="27" type="noConversion"/>
  <pageMargins left="0.7" right="0.7" top="0.75" bottom="0.75" header="0.3" footer="0.3"/>
  <pageSetup paperSize="9" orientation="portrait" verticalDpi="200" r:id="rId1"/>
  <tableParts count="1">
    <tablePart r:id="rId2"/>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tabColor theme="9"/>
    <pageSetUpPr autoPageBreaks="0"/>
  </sheetPr>
  <dimension ref="B1:W441"/>
  <sheetViews>
    <sheetView showGridLines="0" showRowColHeaders="0" zoomScale="115" zoomScaleNormal="115" zoomScaleSheetLayoutView="100" workbookViewId="0">
      <pane ySplit="1" topLeftCell="A353" activePane="bottomLeft" state="frozen"/>
      <selection activeCell="K31" sqref="K31"/>
      <selection pane="bottomLeft" activeCell="I429" sqref="I429"/>
    </sheetView>
  </sheetViews>
  <sheetFormatPr defaultColWidth="9.09765625" defaultRowHeight="13" x14ac:dyDescent="0.3"/>
  <cols>
    <col min="1" max="1" width="9.09765625" style="8"/>
    <col min="2" max="3" width="8.296875" style="8" customWidth="1"/>
    <col min="4" max="4" width="10" style="8" customWidth="1"/>
    <col min="5" max="11" width="9.59765625" style="8" customWidth="1"/>
    <col min="12" max="13" width="10.59765625" style="8" customWidth="1"/>
    <col min="14" max="14" width="9.59765625" style="8" customWidth="1"/>
    <col min="15" max="15" width="9.765625E-2" style="8" customWidth="1"/>
    <col min="16" max="16" width="12.59765625" style="8" hidden="1" customWidth="1"/>
    <col min="17" max="17" width="12.3984375" style="8" bestFit="1" customWidth="1"/>
    <col min="18" max="18" width="8.59765625" style="8" bestFit="1" customWidth="1"/>
    <col min="19" max="19" width="13.09765625" style="8" bestFit="1" customWidth="1"/>
    <col min="20" max="20" width="13.296875" style="8" bestFit="1" customWidth="1"/>
    <col min="21" max="16384" width="9.09765625" style="8"/>
  </cols>
  <sheetData>
    <row r="1" spans="2:23" ht="29.25" customHeight="1" x14ac:dyDescent="0.3">
      <c r="B1" s="174" t="s">
        <v>761</v>
      </c>
      <c r="C1" s="174" t="s">
        <v>74</v>
      </c>
      <c r="D1" s="174" t="s">
        <v>971</v>
      </c>
      <c r="E1" s="174" t="s">
        <v>762</v>
      </c>
      <c r="F1" s="174" t="s">
        <v>763</v>
      </c>
      <c r="G1" s="174" t="s">
        <v>764</v>
      </c>
      <c r="H1" s="174" t="s">
        <v>765</v>
      </c>
      <c r="I1" s="174" t="s">
        <v>766</v>
      </c>
      <c r="J1" s="174" t="s">
        <v>767</v>
      </c>
      <c r="K1" s="174" t="s">
        <v>768</v>
      </c>
      <c r="L1" s="174" t="s">
        <v>769</v>
      </c>
      <c r="M1" s="174" t="s">
        <v>1600</v>
      </c>
      <c r="N1" s="174" t="s">
        <v>1601</v>
      </c>
      <c r="O1" s="174" t="s">
        <v>2458</v>
      </c>
      <c r="P1" s="174" t="s">
        <v>249</v>
      </c>
      <c r="Q1" s="231" t="s">
        <v>2877</v>
      </c>
    </row>
    <row r="2" spans="2:23" x14ac:dyDescent="0.3">
      <c r="B2" s="84">
        <f>VLOOKUP( T_ApifImport[[#This Row],[Bilans]], T_Bilansi[], 4, 0)</f>
        <v>25</v>
      </c>
      <c r="C2" s="229">
        <f>VLOOKUP( T_ApifImport[[#This Row],[ld]], T_Aop[], 4, 0)</f>
        <v>1</v>
      </c>
      <c r="D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36643000</v>
      </c>
      <c r="F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20678055</v>
      </c>
      <c r="G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15964945</v>
      </c>
      <c r="H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15453839</v>
      </c>
      <c r="I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 s="9">
        <v>1</v>
      </c>
      <c r="P2" s="230" t="s">
        <v>771</v>
      </c>
      <c r="Q2" s="8" t="s">
        <v>778</v>
      </c>
    </row>
    <row r="3" spans="2:23" x14ac:dyDescent="0.3">
      <c r="B3" s="84">
        <f>VLOOKUP( T_ApifImport[[#This Row],[Bilans]], T_Bilansi[], 4, 0)</f>
        <v>25</v>
      </c>
      <c r="C3" s="229">
        <f>VLOOKUP( T_ApifImport[[#This Row],[ld]], T_Aop[], 4, 0)</f>
        <v>2</v>
      </c>
      <c r="D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v>
      </c>
      <c r="E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318004</v>
      </c>
      <c r="F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238462</v>
      </c>
      <c r="G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79542</v>
      </c>
      <c r="H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87239</v>
      </c>
      <c r="I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 s="9">
        <v>2</v>
      </c>
      <c r="P3" s="230" t="s">
        <v>771</v>
      </c>
    </row>
    <row r="4" spans="2:23" x14ac:dyDescent="0.3">
      <c r="B4" s="84">
        <f>VLOOKUP( T_ApifImport[[#This Row],[Bilans]], T_Bilansi[], 4, 0)</f>
        <v>25</v>
      </c>
      <c r="C4" s="229">
        <f>VLOOKUP( T_ApifImport[[#This Row],[ld]], T_Aop[], 4, 0)</f>
        <v>3</v>
      </c>
      <c r="D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 s="9">
        <v>3</v>
      </c>
      <c r="P4" s="230" t="s">
        <v>771</v>
      </c>
    </row>
    <row r="5" spans="2:23" x14ac:dyDescent="0.3">
      <c r="B5" s="84">
        <f>VLOOKUP( T_ApifImport[[#This Row],[Bilans]], T_Bilansi[], 4, 0)</f>
        <v>25</v>
      </c>
      <c r="C5" s="229">
        <f>VLOOKUP( T_ApifImport[[#This Row],[ld]], T_Aop[], 4, 0)</f>
        <v>4</v>
      </c>
      <c r="D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v>
      </c>
      <c r="E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3537</v>
      </c>
      <c r="F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1739</v>
      </c>
      <c r="G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1798</v>
      </c>
      <c r="H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1975</v>
      </c>
      <c r="I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 s="9">
        <v>4</v>
      </c>
      <c r="P5" s="230" t="s">
        <v>771</v>
      </c>
    </row>
    <row r="6" spans="2:23" x14ac:dyDescent="0.3">
      <c r="B6" s="84">
        <f>VLOOKUP( T_ApifImport[[#This Row],[Bilans]], T_Bilansi[], 4, 0)</f>
        <v>25</v>
      </c>
      <c r="C6" s="229">
        <f>VLOOKUP( T_ApifImport[[#This Row],[ld]], T_Aop[], 4, 0)</f>
        <v>5</v>
      </c>
      <c r="D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 s="9">
        <v>5</v>
      </c>
      <c r="P6" s="230" t="s">
        <v>771</v>
      </c>
    </row>
    <row r="7" spans="2:23" x14ac:dyDescent="0.3">
      <c r="B7" s="84">
        <f>VLOOKUP( T_ApifImport[[#This Row],[Bilans]], T_Bilansi[], 4, 0)</f>
        <v>25</v>
      </c>
      <c r="C7" s="229">
        <f>VLOOKUP( T_ApifImport[[#This Row],[ld]], T_Aop[], 4, 0)</f>
        <v>6</v>
      </c>
      <c r="D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v>
      </c>
      <c r="E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314467</v>
      </c>
      <c r="F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236723</v>
      </c>
      <c r="G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77744</v>
      </c>
      <c r="H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85264</v>
      </c>
      <c r="I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 s="9">
        <v>6</v>
      </c>
      <c r="P7" s="230" t="s">
        <v>771</v>
      </c>
    </row>
    <row r="8" spans="2:23" x14ac:dyDescent="0.3">
      <c r="B8" s="84">
        <f>VLOOKUP( T_ApifImport[[#This Row],[Bilans]], T_Bilansi[], 4, 0)</f>
        <v>25</v>
      </c>
      <c r="C8" s="229">
        <f>VLOOKUP( T_ApifImport[[#This Row],[ld]], T_Aop[], 4, 0)</f>
        <v>7</v>
      </c>
      <c r="D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 s="9">
        <v>7</v>
      </c>
      <c r="P8" s="230" t="s">
        <v>771</v>
      </c>
    </row>
    <row r="9" spans="2:23" x14ac:dyDescent="0.3">
      <c r="B9" s="84">
        <f>VLOOKUP( T_ApifImport[[#This Row],[Bilans]], T_Bilansi[], 4, 0)</f>
        <v>25</v>
      </c>
      <c r="C9" s="229">
        <f>VLOOKUP( T_ApifImport[[#This Row],[ld]], T_Aop[], 4, 0)</f>
        <v>8</v>
      </c>
      <c r="D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v>
      </c>
      <c r="E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36322996</v>
      </c>
      <c r="F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20439593</v>
      </c>
      <c r="G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15883403</v>
      </c>
      <c r="H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15364600</v>
      </c>
      <c r="I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 s="9">
        <v>8</v>
      </c>
      <c r="P9" s="230" t="s">
        <v>771</v>
      </c>
    </row>
    <row r="10" spans="2:23" x14ac:dyDescent="0.3">
      <c r="B10" s="84">
        <f>VLOOKUP( T_ApifImport[[#This Row],[Bilans]], T_Bilansi[], 4, 0)</f>
        <v>25</v>
      </c>
      <c r="C10" s="229">
        <f>VLOOKUP( T_ApifImport[[#This Row],[ld]], T_Aop[], 4, 0)</f>
        <v>9</v>
      </c>
      <c r="D1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v>
      </c>
      <c r="E1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8550400</v>
      </c>
      <c r="F1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8550400</v>
      </c>
      <c r="H1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8550400</v>
      </c>
      <c r="I1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 s="9">
        <v>9</v>
      </c>
      <c r="P10" s="230" t="s">
        <v>771</v>
      </c>
    </row>
    <row r="11" spans="2:23" x14ac:dyDescent="0.3">
      <c r="B11" s="84">
        <f>VLOOKUP( T_ApifImport[[#This Row],[Bilans]], T_Bilansi[], 4, 0)</f>
        <v>25</v>
      </c>
      <c r="C11" s="229">
        <f>VLOOKUP( T_ApifImport[[#This Row],[ld]], T_Aop[], 4, 0)</f>
        <v>10</v>
      </c>
      <c r="D11"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v>
      </c>
      <c r="E1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9760230</v>
      </c>
      <c r="F1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6382866</v>
      </c>
      <c r="G1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3377364</v>
      </c>
      <c r="H1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3528053</v>
      </c>
      <c r="I1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 s="9">
        <v>10</v>
      </c>
      <c r="P11" s="230" t="s">
        <v>771</v>
      </c>
    </row>
    <row r="12" spans="2:23" x14ac:dyDescent="0.3">
      <c r="B12" s="84">
        <f>VLOOKUP( T_ApifImport[[#This Row],[Bilans]], T_Bilansi[], 4, 0)</f>
        <v>25</v>
      </c>
      <c r="C12" s="229">
        <f>VLOOKUP( T_ApifImport[[#This Row],[ld]], T_Aop[], 4, 0)</f>
        <v>11</v>
      </c>
      <c r="D1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v>
      </c>
      <c r="E1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18012366</v>
      </c>
      <c r="F1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14056727</v>
      </c>
      <c r="G1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3955639</v>
      </c>
      <c r="H1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3286147</v>
      </c>
      <c r="I1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 s="9">
        <v>11</v>
      </c>
      <c r="P12" s="230" t="s">
        <v>771</v>
      </c>
    </row>
    <row r="13" spans="2:23" x14ac:dyDescent="0.3">
      <c r="B13" s="84">
        <f>VLOOKUP( T_ApifImport[[#This Row],[Bilans]], T_Bilansi[], 4, 0)</f>
        <v>25</v>
      </c>
      <c r="C13" s="229">
        <f>VLOOKUP( T_ApifImport[[#This Row],[ld]], T_Aop[], 4, 0)</f>
        <v>12</v>
      </c>
      <c r="D1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 s="9">
        <v>12</v>
      </c>
      <c r="P13" s="230" t="s">
        <v>771</v>
      </c>
    </row>
    <row r="14" spans="2:23" x14ac:dyDescent="0.3">
      <c r="B14" s="84">
        <f>VLOOKUP( T_ApifImport[[#This Row],[Bilans]], T_Bilansi[], 4, 0)</f>
        <v>25</v>
      </c>
      <c r="C14" s="229">
        <f>VLOOKUP( T_ApifImport[[#This Row],[ld]], T_Aop[], 4, 0)</f>
        <v>13</v>
      </c>
      <c r="D1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 s="9">
        <v>13</v>
      </c>
      <c r="P14" s="230" t="s">
        <v>771</v>
      </c>
    </row>
    <row r="15" spans="2:23" x14ac:dyDescent="0.3">
      <c r="B15" s="84">
        <f>VLOOKUP( T_ApifImport[[#This Row],[Bilans]], T_Bilansi[], 4, 0)</f>
        <v>25</v>
      </c>
      <c r="C15" s="229">
        <f>VLOOKUP( T_ApifImport[[#This Row],[ld]], T_Aop[], 4, 0)</f>
        <v>14</v>
      </c>
      <c r="D1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 s="9">
        <v>14</v>
      </c>
      <c r="P15" s="230" t="s">
        <v>771</v>
      </c>
      <c r="Q15" s="509"/>
      <c r="R15" s="509"/>
      <c r="S15" s="509"/>
      <c r="T15" s="509"/>
      <c r="U15" s="509"/>
      <c r="V15" s="509"/>
      <c r="W15" s="509"/>
    </row>
    <row r="16" spans="2:23" x14ac:dyDescent="0.3">
      <c r="B16" s="84">
        <f>VLOOKUP( T_ApifImport[[#This Row],[Bilans]], T_Bilansi[], 4, 0)</f>
        <v>25</v>
      </c>
      <c r="C16" s="229">
        <f>VLOOKUP( T_ApifImport[[#This Row],[ld]], T_Aop[], 4, 0)</f>
        <v>15</v>
      </c>
      <c r="D1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v>
      </c>
      <c r="E1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 s="9">
        <v>15</v>
      </c>
      <c r="P16" s="230" t="s">
        <v>771</v>
      </c>
      <c r="Q16" s="8" t="s">
        <v>776</v>
      </c>
      <c r="R16" s="509"/>
      <c r="S16" s="509"/>
      <c r="T16" s="509"/>
      <c r="U16" s="509"/>
      <c r="V16" s="509"/>
      <c r="W16" s="509"/>
    </row>
    <row r="17" spans="2:17" x14ac:dyDescent="0.3">
      <c r="B17" s="84">
        <f>VLOOKUP( T_ApifImport[[#This Row],[Bilans]], T_Bilansi[], 4, 0)</f>
        <v>25</v>
      </c>
      <c r="C17" s="229">
        <f>VLOOKUP( T_ApifImport[[#This Row],[ld]], T_Aop[], 4, 0)</f>
        <v>16</v>
      </c>
      <c r="D1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 s="9">
        <v>16</v>
      </c>
      <c r="P17" s="230" t="s">
        <v>771</v>
      </c>
      <c r="Q17" s="8" t="s">
        <v>777</v>
      </c>
    </row>
    <row r="18" spans="2:17" x14ac:dyDescent="0.3">
      <c r="B18" s="84">
        <f>VLOOKUP( T_ApifImport[[#This Row],[Bilans]], T_Bilansi[], 4, 0)</f>
        <v>25</v>
      </c>
      <c r="C18" s="229">
        <f>VLOOKUP( T_ApifImport[[#This Row],[ld]], T_Aop[], 4, 0)</f>
        <v>17</v>
      </c>
      <c r="D1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4</v>
      </c>
      <c r="E1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2000</v>
      </c>
      <c r="F1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2000</v>
      </c>
      <c r="H1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2000</v>
      </c>
      <c r="I1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 s="9">
        <v>17</v>
      </c>
      <c r="P18" s="230" t="s">
        <v>771</v>
      </c>
    </row>
    <row r="19" spans="2:17" x14ac:dyDescent="0.3">
      <c r="B19" s="84">
        <f>VLOOKUP( T_ApifImport[[#This Row],[Bilans]], T_Bilansi[], 4, 0)</f>
        <v>25</v>
      </c>
      <c r="C19" s="229">
        <f>VLOOKUP( T_ApifImport[[#This Row],[ld]], T_Aop[], 4, 0)</f>
        <v>18</v>
      </c>
      <c r="D1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4</v>
      </c>
      <c r="E1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2000</v>
      </c>
      <c r="F1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2000</v>
      </c>
      <c r="H1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2000</v>
      </c>
      <c r="I1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 s="9">
        <v>18</v>
      </c>
      <c r="P19" s="230" t="s">
        <v>771</v>
      </c>
    </row>
    <row r="20" spans="2:17" x14ac:dyDescent="0.3">
      <c r="B20" s="84">
        <f>VLOOKUP( T_ApifImport[[#This Row],[Bilans]], T_Bilansi[], 4, 0)</f>
        <v>25</v>
      </c>
      <c r="C20" s="229">
        <f>VLOOKUP( T_ApifImport[[#This Row],[ld]], T_Aop[], 4, 0)</f>
        <v>19</v>
      </c>
      <c r="D2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 s="9">
        <v>19</v>
      </c>
      <c r="P20" s="230" t="s">
        <v>771</v>
      </c>
    </row>
    <row r="21" spans="2:17" x14ac:dyDescent="0.3">
      <c r="B21" s="84">
        <f>IF(AND([0]!Godina=2026,MID(Osnovni_podaci!D20,3,1)="s",Osnovni_podaci!L24=6,Osnovni_podaci!G24=0,MID(Osnovni_podaci!D20,3,1)="s",MID(Osnovni_podaci!D20,8,1)=" "),VLOOKUP( T_ApifImport[[#This Row],[Bilans]], T_Bilansi[], 4, 0),A1)</f>
        <v>25</v>
      </c>
      <c r="C21" s="229">
        <f>VLOOKUP( T_ApifImport[[#This Row],[ld]], T_Aop[], 4, 0)</f>
        <v>20</v>
      </c>
      <c r="D21"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 s="9">
        <v>20</v>
      </c>
      <c r="P21" s="230" t="s">
        <v>771</v>
      </c>
    </row>
    <row r="22" spans="2:17" x14ac:dyDescent="0.3">
      <c r="B22" s="84">
        <f>IF(AND([0]!Godina=2026,MID(Osnovni_podaci!D20,3,1)="s",Osnovni_podaci!L24=6,Osnovni_podaci!G24=0,MID(Osnovni_podaci!D20,3,1)="s",MID(Osnovni_podaci!D20,8,1)=" "),VLOOKUP( T_ApifImport[[#This Row],[Bilans]], T_Bilansi[], 4, 0),A1)</f>
        <v>25</v>
      </c>
      <c r="C22" s="229">
        <f>VLOOKUP( T_ApifImport[[#This Row],[ld]], T_Aop[], 4, 0)</f>
        <v>21</v>
      </c>
      <c r="D22"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 s="9">
        <v>21</v>
      </c>
      <c r="P22" s="230" t="s">
        <v>771</v>
      </c>
    </row>
    <row r="23" spans="2:17" x14ac:dyDescent="0.3">
      <c r="B23" s="84">
        <f>IF(AND([0]!Godina=2026,MID(Osnovni_podaci!D20,3,1)="s",Osnovni_podaci!L24=6,Osnovni_podaci!G24=0,MID(Osnovni_podaci!D20,3,1)="s",MID(Osnovni_podaci!D20,8,1)=" "),VLOOKUP( T_ApifImport[[#This Row],[Bilans]], T_Bilansi[], 4, 0),A1)</f>
        <v>25</v>
      </c>
      <c r="C23" s="229">
        <f>VLOOKUP( T_ApifImport[[#This Row],[ld]], T_Aop[], 4, 0)</f>
        <v>22</v>
      </c>
      <c r="D23"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5</v>
      </c>
      <c r="E2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 s="9">
        <v>22</v>
      </c>
      <c r="P23" s="230" t="s">
        <v>771</v>
      </c>
    </row>
    <row r="24" spans="2:17" x14ac:dyDescent="0.3">
      <c r="B24" s="84">
        <f>IF(AND([0]!Godina=2026,MID(Osnovni_podaci!D20,3,1)="s",Osnovni_podaci!L24=6,Osnovni_podaci!G24=0,MID(Osnovni_podaci!D20,3,1)="s",MID(Osnovni_podaci!D20,8,1)=" "),VLOOKUP( T_ApifImport[[#This Row],[Bilans]], T_Bilansi[], 4, 0),A1)</f>
        <v>25</v>
      </c>
      <c r="C24" s="229">
        <f>VLOOKUP( T_ApifImport[[#This Row],[ld]], T_Aop[], 4, 0)</f>
        <v>23</v>
      </c>
      <c r="D24"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 s="9">
        <v>23</v>
      </c>
      <c r="P24" s="230" t="s">
        <v>771</v>
      </c>
    </row>
    <row r="25" spans="2:17" x14ac:dyDescent="0.3">
      <c r="B25" s="84">
        <f>IF(AND([0]!Godina=2026,MID(Osnovni_podaci!D20,3,1)="s",Osnovni_podaci!L24=6,Osnovni_podaci!G24=0,MID(Osnovni_podaci!D20,3,1)="s",MID(Osnovni_podaci!D20,8,1)=" "),VLOOKUP( T_ApifImport[[#This Row],[Bilans]], T_Bilansi[], 4, 0),A1)</f>
        <v>25</v>
      </c>
      <c r="C25" s="229">
        <f>VLOOKUP( T_ApifImport[[#This Row],[ld]], T_Aop[], 4, 0)</f>
        <v>24</v>
      </c>
      <c r="D25"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 s="9">
        <v>24</v>
      </c>
      <c r="P25" s="230" t="s">
        <v>771</v>
      </c>
    </row>
    <row r="26" spans="2:17" x14ac:dyDescent="0.3">
      <c r="B26" s="84">
        <f>IF(AND([0]!Godina=2026,MID(Osnovni_podaci!D20,3,1)="s",Osnovni_podaci!L24=6,Osnovni_podaci!G24=0,MID(Osnovni_podaci!D20,3,1)="s",MID(Osnovni_podaci!D20,8,1)=" "),VLOOKUP( T_ApifImport[[#This Row],[Bilans]], T_Bilansi[], 4, 0),A1)</f>
        <v>25</v>
      </c>
      <c r="C26" s="229">
        <f>VLOOKUP( T_ApifImport[[#This Row],[ld]], T_Aop[], 4, 0)</f>
        <v>25</v>
      </c>
      <c r="D26"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 s="9">
        <v>25</v>
      </c>
      <c r="P26" s="230" t="s">
        <v>771</v>
      </c>
    </row>
    <row r="27" spans="2:17" x14ac:dyDescent="0.3">
      <c r="B27" s="84">
        <f>IF(AND([0]!Godina=2026,MID(Osnovni_podaci!D20,3,1)="s",Osnovni_podaci!L24=6,Osnovni_podaci!G24=0,MID(Osnovni_podaci!D20,3,1)="s",MID(Osnovni_podaci!D20,8,1)=" "),VLOOKUP( T_ApifImport[[#This Row],[Bilans]], T_Bilansi[], 4, 0),A1)</f>
        <v>25</v>
      </c>
      <c r="C27" s="229">
        <f>VLOOKUP( T_ApifImport[[#This Row],[ld]], T_Aop[], 4, 0)</f>
        <v>26</v>
      </c>
      <c r="D27"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 s="9">
        <v>26</v>
      </c>
      <c r="P27" s="230" t="s">
        <v>771</v>
      </c>
    </row>
    <row r="28" spans="2:17" x14ac:dyDescent="0.3">
      <c r="B28" s="84">
        <f>IF(AND([0]!Godina=2026,MID(Osnovni_podaci!D20,3,1)="s",Osnovni_podaci!L24=6,Osnovni_podaci!G24=0,MID(Osnovni_podaci!D20,3,1)="s",MID(Osnovni_podaci!D20,8,1)=" "),VLOOKUP( T_ApifImport[[#This Row],[Bilans]], T_Bilansi[], 4, 0),A1)</f>
        <v>25</v>
      </c>
      <c r="C28" s="229">
        <f>VLOOKUP( T_ApifImport[[#This Row],[ld]], T_Aop[], 4, 0)</f>
        <v>27</v>
      </c>
      <c r="D28" s="229"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 s="9">
        <v>27</v>
      </c>
      <c r="P28" s="230" t="s">
        <v>771</v>
      </c>
    </row>
    <row r="29" spans="2:17" x14ac:dyDescent="0.3">
      <c r="B29" s="44">
        <f>IF(AND([0]!Godina=2026,MID(Osnovni_podaci!D20,3,1)="s",Osnovni_podaci!L24=6,Osnovni_podaci!G24=0,MID(Osnovni_podaci!D20,3,1)="s",MID(Osnovni_podaci!D20,8,1)=" "),VLOOKUP( T_ApifImport[[#This Row],[Bilans]], T_Bilansi[], 4, 0),A1)</f>
        <v>25</v>
      </c>
      <c r="C29" s="227">
        <f>VLOOKUP( T_ApifImport[[#This Row],[ld]], T_Aop[], 4, 0)</f>
        <v>28</v>
      </c>
      <c r="D2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 s="8">
        <v>28</v>
      </c>
      <c r="P29" s="228" t="s">
        <v>771</v>
      </c>
    </row>
    <row r="30" spans="2:17" x14ac:dyDescent="0.3">
      <c r="B30" s="44">
        <f>IF(AND([0]!Godina=2026,MID(Osnovni_podaci!D20,3,1)="s",Osnovni_podaci!L24=6,Osnovni_podaci!G24=0,MID(Osnovni_podaci!D20,3,1)="s",MID(Osnovni_podaci!D20,8,1)=" "),VLOOKUP( T_ApifImport[[#This Row],[Bilans]], T_Bilansi[], 4, 0),A1)</f>
        <v>25</v>
      </c>
      <c r="C30" s="227">
        <f>VLOOKUP( T_ApifImport[[#This Row],[ld]], T_Aop[], 4, 0)</f>
        <v>29</v>
      </c>
      <c r="D3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 s="8">
        <v>29</v>
      </c>
      <c r="P30" s="228" t="s">
        <v>771</v>
      </c>
    </row>
    <row r="31" spans="2:17" x14ac:dyDescent="0.3">
      <c r="B31" s="44">
        <f>IF(AND([0]!Godina=2026,MID(Osnovni_podaci!D20,3,1)="s",Osnovni_podaci!L24=6,Osnovni_podaci!G24=0,MID(Osnovni_podaci!D20,3,1)="s",MID(Osnovni_podaci!D20,8,1)=" "),VLOOKUP( T_ApifImport[[#This Row],[Bilans]], T_Bilansi[], 4, 0),A1)</f>
        <v>25</v>
      </c>
      <c r="C31" s="227">
        <f>VLOOKUP( T_ApifImport[[#This Row],[ld]], T_Aop[], 4, 0)</f>
        <v>30</v>
      </c>
      <c r="D3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 s="8">
        <v>30</v>
      </c>
      <c r="P31" s="228" t="s">
        <v>771</v>
      </c>
    </row>
    <row r="32" spans="2:17" x14ac:dyDescent="0.3">
      <c r="B32" s="44">
        <f>IF(AND([0]!Godina=2026,MID(Osnovni_podaci!D20,3,1)="s",Osnovni_podaci!L24=6,Osnovni_podaci!G24=0,MID(Osnovni_podaci!D20,3,1)="s",MID(Osnovni_podaci!D20,8,1)=" "),VLOOKUP( T_ApifImport[[#This Row],[Bilans]], T_Bilansi[], 4, 0),A1)</f>
        <v>25</v>
      </c>
      <c r="C32" s="227">
        <f>VLOOKUP( T_ApifImport[[#This Row],[ld]], T_Aop[], 4, 0)</f>
        <v>31</v>
      </c>
      <c r="D3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 s="8">
        <v>31</v>
      </c>
      <c r="P32" s="228" t="s">
        <v>771</v>
      </c>
    </row>
    <row r="33" spans="2:16" x14ac:dyDescent="0.3">
      <c r="B33" s="44">
        <f>IF(AND([0]!Godina=2026,MID(Osnovni_podaci!D20,3,1)="s",Osnovni_podaci!L24=6,Osnovni_podaci!G24=0,MID(Osnovni_podaci!D20,3,1)="s",MID(Osnovni_podaci!D20,8,1)=" "),VLOOKUP( T_ApifImport[[#This Row],[Bilans]], T_Bilansi[], 4, 0),A1)</f>
        <v>25</v>
      </c>
      <c r="C33" s="227">
        <f>VLOOKUP( T_ApifImport[[#This Row],[ld]], T_Aop[], 4, 0)</f>
        <v>32</v>
      </c>
      <c r="D3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 s="8">
        <v>32</v>
      </c>
      <c r="P33" s="228" t="s">
        <v>771</v>
      </c>
    </row>
    <row r="34" spans="2:16" x14ac:dyDescent="0.3">
      <c r="B34" s="44">
        <f>IF(AND([0]!Godina=2026,MID(Osnovni_podaci!D20,3,1)="s",Osnovni_podaci!L24=6,Osnovni_podaci!G24=0,MID(Osnovni_podaci!D20,3,1)="s",MID(Osnovni_podaci!D20,8,1)=" "),VLOOKUP( T_ApifImport[[#This Row],[Bilans]], T_Bilansi[], 4, 0),A1)</f>
        <v>25</v>
      </c>
      <c r="C34" s="227">
        <f>VLOOKUP( T_ApifImport[[#This Row],[ld]], T_Aop[], 4, 0)</f>
        <v>33</v>
      </c>
      <c r="D3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 s="8">
        <v>33</v>
      </c>
      <c r="P34" s="228" t="s">
        <v>771</v>
      </c>
    </row>
    <row r="35" spans="2:16" x14ac:dyDescent="0.3">
      <c r="B35" s="44">
        <f>IF(AND([0]!Godina=2026,MID(Osnovni_podaci!D20,3,1)="s",Osnovni_podaci!L24=6,Osnovni_podaci!G24=0,MID(Osnovni_podaci!D20,3,1)="s",MID(Osnovni_podaci!D20,8,1)=" "),VLOOKUP( T_ApifImport[[#This Row],[Bilans]], T_Bilansi[], 4, 0),A1)</f>
        <v>25</v>
      </c>
      <c r="C35" s="227">
        <f>VLOOKUP( T_ApifImport[[#This Row],[ld]], T_Aop[], 4, 0)</f>
        <v>34</v>
      </c>
      <c r="D3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 s="8">
        <v>34</v>
      </c>
      <c r="P35" s="228" t="s">
        <v>771</v>
      </c>
    </row>
    <row r="36" spans="2:16" x14ac:dyDescent="0.3">
      <c r="B36" s="44">
        <f>IF(AND([0]!Godina=2026,MID(Osnovni_podaci!D20,3,1)="s",Osnovni_podaci!L24=6,Osnovni_podaci!G24=0,MID(Osnovni_podaci!D20,3,1)="s",MID(Osnovni_podaci!D20,8,1)=" "),VLOOKUP( T_ApifImport[[#This Row],[Bilans]], T_Bilansi[], 4, 0),A1)</f>
        <v>25</v>
      </c>
      <c r="C36" s="227">
        <f>VLOOKUP( T_ApifImport[[#This Row],[ld]], T_Aop[], 4, 0)</f>
        <v>35</v>
      </c>
      <c r="D3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 s="8">
        <v>35</v>
      </c>
      <c r="P36" s="228" t="s">
        <v>771</v>
      </c>
    </row>
    <row r="37" spans="2:16" x14ac:dyDescent="0.3">
      <c r="B37" s="44">
        <f>IF(AND([0]!Godina=2026,MID(Osnovni_podaci!D20,3,1)="s",Osnovni_podaci!L24=6,Osnovni_podaci!G24=0,MID(Osnovni_podaci!D20,3,1)="s",MID(Osnovni_podaci!D20,8,1)=" "),VLOOKUP( T_ApifImport[[#This Row],[Bilans]], T_Bilansi[], 4, 0),A1)</f>
        <v>25</v>
      </c>
      <c r="C37" s="227">
        <f>VLOOKUP( T_ApifImport[[#This Row],[ld]], T_Aop[], 4, 0)</f>
        <v>36</v>
      </c>
      <c r="D3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17188098</v>
      </c>
      <c r="F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5229878</v>
      </c>
      <c r="G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11958220</v>
      </c>
      <c r="H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9829153</v>
      </c>
      <c r="I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 s="8">
        <v>36</v>
      </c>
      <c r="P37" s="228" t="s">
        <v>771</v>
      </c>
    </row>
    <row r="38" spans="2:16" x14ac:dyDescent="0.3">
      <c r="B38" s="44">
        <f>IF(AND([0]!Godina=2026,MID(Osnovni_podaci!D20,3,1)="s",Osnovni_podaci!L24=6,Osnovni_podaci!G24=0,MID(Osnovni_podaci!D20,3,1)="s",MID(Osnovni_podaci!D20,8,1)=" "),VLOOKUP( T_ApifImport[[#This Row],[Bilans]], T_Bilansi[], 4, 0),A1)</f>
        <v>25</v>
      </c>
      <c r="C38" s="227">
        <f>VLOOKUP( T_ApifImport[[#This Row],[ld]], T_Aop[], 4, 0)</f>
        <v>37</v>
      </c>
      <c r="D3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915072</v>
      </c>
      <c r="F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915072</v>
      </c>
      <c r="H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1215593</v>
      </c>
      <c r="I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 s="8">
        <v>37</v>
      </c>
      <c r="P38" s="228" t="s">
        <v>771</v>
      </c>
    </row>
    <row r="39" spans="2:16" x14ac:dyDescent="0.3">
      <c r="B39" s="44">
        <f>IF(AND([0]!Godina=2026,MID(Osnovni_podaci!D20,3,1)="s",Osnovni_podaci!L24=6,Osnovni_podaci!G24=0,MID(Osnovni_podaci!D20,3,1)="s",MID(Osnovni_podaci!D20,8,1)=" "),VLOOKUP( T_ApifImport[[#This Row],[Bilans]], T_Bilansi[], 4, 0),A1)</f>
        <v>25</v>
      </c>
      <c r="C39" s="227">
        <f>VLOOKUP( T_ApifImport[[#This Row],[ld]], T_Aop[], 4, 0)</f>
        <v>38</v>
      </c>
      <c r="D3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6</v>
      </c>
      <c r="E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486452</v>
      </c>
      <c r="F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486452</v>
      </c>
      <c r="H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466724</v>
      </c>
      <c r="I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 s="8">
        <v>38</v>
      </c>
      <c r="P39" s="228" t="s">
        <v>771</v>
      </c>
    </row>
    <row r="40" spans="2:16" x14ac:dyDescent="0.3">
      <c r="B40" s="44">
        <f>IF(AND([0]!Godina=2026,MID(Osnovni_podaci!D20,3,1)="s",Osnovni_podaci!L24=6,Osnovni_podaci!G24=0,MID(Osnovni_podaci!D20,3,1)="s",MID(Osnovni_podaci!D20,8,1)=" "),VLOOKUP( T_ApifImport[[#This Row],[Bilans]], T_Bilansi[], 4, 0),A1)</f>
        <v>25</v>
      </c>
      <c r="C40" s="227">
        <f>VLOOKUP( T_ApifImport[[#This Row],[ld]], T_Aop[], 4, 0)</f>
        <v>39</v>
      </c>
      <c r="D4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 s="8">
        <v>39</v>
      </c>
      <c r="P40" s="228" t="s">
        <v>771</v>
      </c>
    </row>
    <row r="41" spans="2:16" x14ac:dyDescent="0.3">
      <c r="B41" s="44">
        <f>IF(AND([0]!Godina=2026,MID(Osnovni_podaci!D20,3,1)="s",Osnovni_podaci!L24=6,Osnovni_podaci!G24=0,MID(Osnovni_podaci!D20,3,1)="s",MID(Osnovni_podaci!D20,8,1)=" "),VLOOKUP( T_ApifImport[[#This Row],[Bilans]], T_Bilansi[], 4, 0),A1)</f>
        <v>25</v>
      </c>
      <c r="C41" s="227">
        <f>VLOOKUP( T_ApifImport[[#This Row],[ld]], T_Aop[], 4, 0)</f>
        <v>40</v>
      </c>
      <c r="D4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 s="8">
        <v>40</v>
      </c>
      <c r="P41" s="228" t="s">
        <v>771</v>
      </c>
    </row>
    <row r="42" spans="2:16" x14ac:dyDescent="0.3">
      <c r="B42" s="44">
        <f>IF(AND([0]!Godina=2026,MID(Osnovni_podaci!D20,3,1)="s",Osnovni_podaci!L24=6,Osnovni_podaci!G24=0,MID(Osnovni_podaci!D20,3,1)="s",MID(Osnovni_podaci!D20,8,1)=" "),VLOOKUP( T_ApifImport[[#This Row],[Bilans]], T_Bilansi[], 4, 0),A1)</f>
        <v>25</v>
      </c>
      <c r="C42" s="227">
        <f>VLOOKUP( T_ApifImport[[#This Row],[ld]], T_Aop[], 4, 0)</f>
        <v>41</v>
      </c>
      <c r="D4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6</v>
      </c>
      <c r="E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26679</v>
      </c>
      <c r="F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26679</v>
      </c>
      <c r="H4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22941</v>
      </c>
      <c r="I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2" s="8">
        <v>41</v>
      </c>
      <c r="P42" s="228" t="s">
        <v>771</v>
      </c>
    </row>
    <row r="43" spans="2:16" x14ac:dyDescent="0.3">
      <c r="B43" s="44">
        <f>IF(AND([0]!Godina=2026,MID(Osnovni_podaci!D20,3,1)="s",Osnovni_podaci!L24=6,Osnovni_podaci!G24=0,MID(Osnovni_podaci!D20,3,1)="s",MID(Osnovni_podaci!D20,8,1)=" "),VLOOKUP( T_ApifImport[[#This Row],[Bilans]], T_Bilansi[], 4, 0),A1)</f>
        <v>25</v>
      </c>
      <c r="C43" s="227">
        <f>VLOOKUP( T_ApifImport[[#This Row],[ld]], T_Aop[], 4, 0)</f>
        <v>42</v>
      </c>
      <c r="D4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3" s="8">
        <v>42</v>
      </c>
      <c r="P43" s="228" t="s">
        <v>771</v>
      </c>
    </row>
    <row r="44" spans="2:16" x14ac:dyDescent="0.3">
      <c r="B44" s="44">
        <f>IF(AND([0]!Godina=2026,MID(Osnovni_podaci!D20,3,1)="s",Osnovni_podaci!L24=6,Osnovni_podaci!G24=0,MID(Osnovni_podaci!D20,3,1)="s",MID(Osnovni_podaci!D20,8,1)=" "),VLOOKUP( T_ApifImport[[#This Row],[Bilans]], T_Bilansi[], 4, 0),A1)</f>
        <v>25</v>
      </c>
      <c r="C44" s="227">
        <f>VLOOKUP( T_ApifImport[[#This Row],[ld]], T_Aop[], 4, 0)</f>
        <v>43</v>
      </c>
      <c r="D4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6</v>
      </c>
      <c r="E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401941</v>
      </c>
      <c r="F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401941</v>
      </c>
      <c r="H4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725928</v>
      </c>
      <c r="I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4" s="8">
        <v>43</v>
      </c>
      <c r="P44" s="228" t="s">
        <v>771</v>
      </c>
    </row>
    <row r="45" spans="2:16" x14ac:dyDescent="0.3">
      <c r="B45" s="44">
        <f>IF(AND([0]!Godina=2026,MID(Osnovni_podaci!D20,3,1)="s",Osnovni_podaci!L24=6,Osnovni_podaci!G24=0,MID(Osnovni_podaci!D20,3,1)="s",MID(Osnovni_podaci!D20,8,1)=" "),VLOOKUP( T_ApifImport[[#This Row],[Bilans]], T_Bilansi[], 4, 0),A1)</f>
        <v>25</v>
      </c>
      <c r="C45" s="227">
        <f>VLOOKUP( T_ApifImport[[#This Row],[ld]], T_Aop[], 4, 0)</f>
        <v>44</v>
      </c>
      <c r="D4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16273026</v>
      </c>
      <c r="F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5229878</v>
      </c>
      <c r="G4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11043148</v>
      </c>
      <c r="H4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8613560</v>
      </c>
      <c r="I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5" s="8">
        <v>44</v>
      </c>
      <c r="P45" s="228" t="s">
        <v>771</v>
      </c>
    </row>
    <row r="46" spans="2:16" x14ac:dyDescent="0.3">
      <c r="B46" s="44">
        <f>IF(AND([0]!Godina=2026,MID(Osnovni_podaci!D20,3,1)="s",Osnovni_podaci!L24=6,Osnovni_podaci!G24=0,MID(Osnovni_podaci!D20,3,1)="s",MID(Osnovni_podaci!D20,8,1)=" "),VLOOKUP( T_ApifImport[[#This Row],[Bilans]], T_Bilansi[], 4, 0),A1)</f>
        <v>25</v>
      </c>
      <c r="C46" s="227">
        <f>VLOOKUP( T_ApifImport[[#This Row],[ld]], T_Aop[], 4, 0)</f>
        <v>45</v>
      </c>
      <c r="D4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11942234</v>
      </c>
      <c r="F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5229878</v>
      </c>
      <c r="G4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6712356</v>
      </c>
      <c r="H4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5236990</v>
      </c>
      <c r="I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6" s="8">
        <v>45</v>
      </c>
      <c r="P46" s="228" t="s">
        <v>771</v>
      </c>
    </row>
    <row r="47" spans="2:16" x14ac:dyDescent="0.3">
      <c r="B47" s="44">
        <f>IF(AND([0]!Godina=2026,MID(Osnovni_podaci!D20,3,1)="s",Osnovni_podaci!L24=6,Osnovni_podaci!G24=0,MID(Osnovni_podaci!D20,3,1)="s",MID(Osnovni_podaci!D20,8,1)=" "),VLOOKUP( T_ApifImport[[#This Row],[Bilans]], T_Bilansi[], 4, 0),A1)</f>
        <v>25</v>
      </c>
      <c r="C47" s="227">
        <f>VLOOKUP( T_ApifImport[[#This Row],[ld]], T_Aop[], 4, 0)</f>
        <v>46</v>
      </c>
      <c r="D4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3562606</v>
      </c>
      <c r="F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1434210</v>
      </c>
      <c r="G4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2128396</v>
      </c>
      <c r="H4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2116065</v>
      </c>
      <c r="I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7" s="8">
        <v>46</v>
      </c>
      <c r="P47" s="228" t="s">
        <v>771</v>
      </c>
    </row>
    <row r="48" spans="2:16" x14ac:dyDescent="0.3">
      <c r="B48" s="44">
        <f>IF(AND([0]!Godina=2026,MID(Osnovni_podaci!D20,3,1)="s",Osnovni_podaci!L24=6,Osnovni_podaci!G24=0,MID(Osnovni_podaci!D20,3,1)="s",MID(Osnovni_podaci!D20,8,1)=" "),VLOOKUP( T_ApifImport[[#This Row],[Bilans]], T_Bilansi[], 4, 0),A1)</f>
        <v>25</v>
      </c>
      <c r="C48" s="227">
        <f>VLOOKUP( T_ApifImport[[#This Row],[ld]], T_Aop[], 4, 0)</f>
        <v>47</v>
      </c>
      <c r="D4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7940418</v>
      </c>
      <c r="F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3795668</v>
      </c>
      <c r="G4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4144750</v>
      </c>
      <c r="H4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2618594</v>
      </c>
      <c r="I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8" s="8">
        <v>47</v>
      </c>
      <c r="P48" s="228" t="s">
        <v>771</v>
      </c>
    </row>
    <row r="49" spans="2:16" x14ac:dyDescent="0.3">
      <c r="B49" s="44">
        <f>IF(AND([0]!Godina=2026,MID(Osnovni_podaci!D20,3,1)="s",Osnovni_podaci!L24=6,Osnovni_podaci!G24=0,MID(Osnovni_podaci!D20,3,1)="s",MID(Osnovni_podaci!D20,8,1)=" "),VLOOKUP( T_ApifImport[[#This Row],[Bilans]], T_Bilansi[], 4, 0),A1)</f>
        <v>25</v>
      </c>
      <c r="C49" s="227">
        <f>VLOOKUP( T_ApifImport[[#This Row],[ld]], T_Aop[], 4, 0)</f>
        <v>48</v>
      </c>
      <c r="D4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9" s="8">
        <v>48</v>
      </c>
      <c r="P49" s="228" t="s">
        <v>771</v>
      </c>
    </row>
    <row r="50" spans="2:16" x14ac:dyDescent="0.3">
      <c r="B50" s="44">
        <f>IF(AND([0]!Godina=2026,MID(Osnovni_podaci!D20,3,1)="s",Osnovni_podaci!L24=6,Osnovni_podaci!G24=0,MID(Osnovni_podaci!D20,3,1)="s",MID(Osnovni_podaci!D20,8,1)=" "),VLOOKUP( T_ApifImport[[#This Row],[Bilans]], T_Bilansi[], 4, 0),A1)</f>
        <v>25</v>
      </c>
      <c r="C50" s="227">
        <f>IF(AND([0]!Godina=2026,MID(Osnovni_podaci!D20,3,1)="s",Osnovni_podaci!L24=6,Osnovni_podaci!G24=0,MID(Osnovni_podaci!D20,3,1)="s",MID(Osnovni_podaci!D20,8,1)=" "),VLOOKUP( T_ApifImport[[#This Row],[ld]], T_Aop[], 4, 0),A1)</f>
        <v>49</v>
      </c>
      <c r="D5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0" s="8">
        <v>49</v>
      </c>
      <c r="P50" s="228" t="s">
        <v>771</v>
      </c>
    </row>
    <row r="51" spans="2:16" x14ac:dyDescent="0.3">
      <c r="B51" s="44">
        <f>IF(AND([0]!Godina=2026,MID(Osnovni_podaci!D20,3,1)="s",Osnovni_podaci!L24=6,Osnovni_podaci!G24=0,MID(Osnovni_podaci!D20,3,1)="s",MID(Osnovni_podaci!D20,8,1)=" "),VLOOKUP( T_ApifImport[[#This Row],[Bilans]], T_Bilansi[], 4, 0),A1)</f>
        <v>25</v>
      </c>
      <c r="C51" s="227">
        <f>IF(AND([0]!Godina=2026,MID(Osnovni_podaci!D20,3,1)="s",Osnovni_podaci!L24=6,Osnovni_podaci!G24=0,MID(Osnovni_podaci!D20,3,1)="s",MID(Osnovni_podaci!D20,8,1)=" "),VLOOKUP( T_ApifImport[[#This Row],[ld]], T_Aop[], 4, 0),A1)</f>
        <v>50</v>
      </c>
      <c r="D5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439210</v>
      </c>
      <c r="F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439210</v>
      </c>
      <c r="H5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441859</v>
      </c>
      <c r="I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1" s="8">
        <v>50</v>
      </c>
      <c r="P51" s="228" t="s">
        <v>771</v>
      </c>
    </row>
    <row r="52" spans="2:16" x14ac:dyDescent="0.3">
      <c r="B52" s="44">
        <f>IF(AND([0]!Godina=2026,MID(Osnovni_podaci!D20,3,1)="s",Osnovni_podaci!L24=6,Osnovni_podaci!G24=0,MID(Osnovni_podaci!D20,3,1)="s",MID(Osnovni_podaci!D20,8,1)=" "),VLOOKUP( T_ApifImport[[#This Row],[Bilans]], T_Bilansi[], 4, 0),A1)</f>
        <v>25</v>
      </c>
      <c r="C52" s="227">
        <f>IF(AND([0]!Godina=2026,MID(Osnovni_podaci!D20,3,1)="s",Osnovni_podaci!L24=6,Osnovni_podaci!G24=0,MID(Osnovni_podaci!D20,3,1)="s",MID(Osnovni_podaci!D20,8,1)=" "),VLOOKUP( T_ApifImport[[#This Row],[ld]], T_Aop[], 4, 0),A1)</f>
        <v>51</v>
      </c>
      <c r="D5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60472</v>
      </c>
      <c r="I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2" s="8">
        <v>51</v>
      </c>
      <c r="P52" s="228" t="s">
        <v>771</v>
      </c>
    </row>
    <row r="53" spans="2:16" x14ac:dyDescent="0.3">
      <c r="B53" s="44">
        <f>IF(AND([0]!Godina=2026,MID(Osnovni_podaci!D20,3,1)="s",Osnovni_podaci!L24=6,Osnovni_podaci!G24=0,MID(Osnovni_podaci!D20,3,1)="s",MID(Osnovni_podaci!D20,8,1)=" "),VLOOKUP( T_ApifImport[[#This Row],[Bilans]], T_Bilansi[], 4, 0),A1)</f>
        <v>25</v>
      </c>
      <c r="C53" s="227">
        <f>IF(AND([0]!Godina=2026,MID(Osnovni_podaci!D20,3,1)="s",Osnovni_podaci!L24=6,Osnovni_podaci!G24=0,MID(Osnovni_podaci!D20,3,1)="s",MID(Osnovni_podaci!D20,8,1)=" "),VLOOKUP( T_ApifImport[[#This Row],[ld]], T_Aop[], 4, 0),A1)</f>
        <v>52</v>
      </c>
      <c r="D5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2608750</v>
      </c>
      <c r="F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2608750</v>
      </c>
      <c r="H5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2533750</v>
      </c>
      <c r="I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3" s="8">
        <v>52</v>
      </c>
      <c r="P53" s="228" t="s">
        <v>771</v>
      </c>
    </row>
    <row r="54" spans="2:16" x14ac:dyDescent="0.3">
      <c r="B54" s="44">
        <f>IF(AND([0]!Godina=2026,MID(Osnovni_podaci!D20,3,1)="s",Osnovni_podaci!L24=6,Osnovni_podaci!G24=0,MID(Osnovni_podaci!D20,3,1)="s",MID(Osnovni_podaci!D20,8,1)=" "),VLOOKUP( T_ApifImport[[#This Row],[Bilans]], T_Bilansi[], 4, 0),A1)</f>
        <v>25</v>
      </c>
      <c r="C54" s="227">
        <f>IF(AND([0]!Godina=2026,MID(Osnovni_podaci!D20,3,1)="s",Osnovni_podaci!L24=6,Osnovni_podaci!G24=0,MID(Osnovni_podaci!D20,3,1)="s",MID(Osnovni_podaci!D20,8,1)=" "),VLOOKUP( T_ApifImport[[#This Row],[ld]], T_Aop[], 4, 0),A1)</f>
        <v>53</v>
      </c>
      <c r="D5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2608750</v>
      </c>
      <c r="F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2608750</v>
      </c>
      <c r="H5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2533750</v>
      </c>
      <c r="I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4" s="8">
        <v>53</v>
      </c>
      <c r="P54" s="228" t="s">
        <v>771</v>
      </c>
    </row>
    <row r="55" spans="2:16" x14ac:dyDescent="0.3">
      <c r="B55" s="44">
        <f>IF(AND([0]!Godina=2026,MID(Osnovni_podaci!D20,3,1)="s",Osnovni_podaci!L24=6,Osnovni_podaci!G24=0,MID(Osnovni_podaci!D20,3,1)="s",MID(Osnovni_podaci!D20,8,1)=" "),VLOOKUP( T_ApifImport[[#This Row],[Bilans]], T_Bilansi[], 4, 0),A1)</f>
        <v>25</v>
      </c>
      <c r="C55" s="227">
        <f>IF(AND([0]!Godina=2026,MID(Osnovni_podaci!D20,3,1)="s",Osnovni_podaci!L24=6,Osnovni_podaci!G24=0,MID(Osnovni_podaci!D20,3,1)="s",MID(Osnovni_podaci!D20,8,1)=" "),VLOOKUP( T_ApifImport[[#This Row],[ld]], T_Aop[], 4, 0),A1)</f>
        <v>54</v>
      </c>
      <c r="D5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5" s="8">
        <v>54</v>
      </c>
      <c r="P55" s="228" t="s">
        <v>771</v>
      </c>
    </row>
    <row r="56" spans="2:16" x14ac:dyDescent="0.3">
      <c r="B56" s="44">
        <f>IF(AND([0]!Godina=2026,MID(Osnovni_podaci!D20,3,1)="s",Osnovni_podaci!L24=6,Osnovni_podaci!G24=0,MID(Osnovni_podaci!D20,3,1)="s",MID(Osnovni_podaci!D20,8,1)=" "),VLOOKUP( T_ApifImport[[#This Row],[Bilans]], T_Bilansi[], 4, 0),A1)</f>
        <v>25</v>
      </c>
      <c r="C56" s="227">
        <f>IF(AND([0]!Godina=2026,MID(Osnovni_podaci!D20,3,1)="s",Osnovni_podaci!L24=6,Osnovni_podaci!G24=0,MID(Osnovni_podaci!D20,3,1)="s",MID(Osnovni_podaci!D20,8,1)=" "),VLOOKUP( T_ApifImport[[#This Row],[ld]], T_Aop[], 4, 0),A1)</f>
        <v>55</v>
      </c>
      <c r="D5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2608750</v>
      </c>
      <c r="F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2608750</v>
      </c>
      <c r="H5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2533750</v>
      </c>
      <c r="I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6" s="8">
        <v>55</v>
      </c>
      <c r="P56" s="228" t="s">
        <v>771</v>
      </c>
    </row>
    <row r="57" spans="2:16" x14ac:dyDescent="0.3">
      <c r="B57" s="44">
        <f>IF(AND([0]!Godina=2026,MID(Osnovni_podaci!D20,3,1)="s",Osnovni_podaci!L24=6,Osnovni_podaci!G24=0,MID(Osnovni_podaci!D20,3,1)="s",MID(Osnovni_podaci!D20,8,1)=" "),VLOOKUP( T_ApifImport[[#This Row],[Bilans]], T_Bilansi[], 4, 0),A1)</f>
        <v>25</v>
      </c>
      <c r="C57" s="227">
        <f>IF(AND([0]!Godina=2026,MID(Osnovni_podaci!D20,3,1)="s",Osnovni_podaci!L24=6,Osnovni_podaci!G24=0,MID(Osnovni_podaci!D20,3,1)="s",MID(Osnovni_podaci!D20,8,1)=" "),VLOOKUP( T_ApifImport[[#This Row],[ld]], T_Aop[], 4, 0),A1)</f>
        <v>56</v>
      </c>
      <c r="D5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7" s="8">
        <v>56</v>
      </c>
      <c r="P57" s="228" t="s">
        <v>771</v>
      </c>
    </row>
    <row r="58" spans="2:16" x14ac:dyDescent="0.3">
      <c r="B58" s="44">
        <f>IF(AND([0]!Godina=2026,MID(Osnovni_podaci!D20,3,1)="s",Osnovni_podaci!L24=6,Osnovni_podaci!G24=0,MID(Osnovni_podaci!D20,3,1)="s",MID(Osnovni_podaci!D20,8,1)=" "),VLOOKUP( T_ApifImport[[#This Row],[Bilans]], T_Bilansi[], 4, 0),A1)</f>
        <v>25</v>
      </c>
      <c r="C58" s="227">
        <f>IF(AND([0]!Godina=2026,MID(Osnovni_podaci!D20,3,1)="s",Osnovni_podaci!L24=6,Osnovni_podaci!G24=0,MID(Osnovni_podaci!D20,3,1)="s",MID(Osnovni_podaci!D20,8,1)=" "),VLOOKUP( T_ApifImport[[#This Row],[ld]], T_Aop[], 4, 0),A1)</f>
        <v>57</v>
      </c>
      <c r="D5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8" s="8">
        <v>57</v>
      </c>
      <c r="P58" s="228" t="s">
        <v>771</v>
      </c>
    </row>
    <row r="59" spans="2:16" x14ac:dyDescent="0.3">
      <c r="B59" s="44">
        <f>IF(AND([0]!Godina=2026,MID(Osnovni_podaci!D20,3,1)="s",Osnovni_podaci!L24=6,Osnovni_podaci!G24=0,MID(Osnovni_podaci!D20,3,1)="s",MID(Osnovni_podaci!D20,8,1)=" "),VLOOKUP( T_ApifImport[[#This Row],[Bilans]], T_Bilansi[], 4, 0),A1)</f>
        <v>25</v>
      </c>
      <c r="C59" s="227">
        <f>IF(AND([0]!Godina=2026,MID(Osnovni_podaci!D20,3,1)="s",Osnovni_podaci!L24=6,Osnovni_podaci!G24=0,MID(Osnovni_podaci!D20,3,1)="s",MID(Osnovni_podaci!D20,8,1)=" "),VLOOKUP( T_ApifImport[[#This Row],[ld]], T_Aop[], 4, 0),A1)</f>
        <v>58</v>
      </c>
      <c r="D5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9" s="8">
        <v>58</v>
      </c>
      <c r="P59" s="228" t="s">
        <v>771</v>
      </c>
    </row>
    <row r="60" spans="2:16" x14ac:dyDescent="0.3">
      <c r="B60" s="44">
        <f>IF(AND([0]!Godina=2026,MID(Osnovni_podaci!D20,3,1)="s",Osnovni_podaci!L24=6,Osnovni_podaci!G24=0,MID(Osnovni_podaci!D20,3,1)="s",MID(Osnovni_podaci!D20,8,1)=" "),VLOOKUP( T_ApifImport[[#This Row],[Bilans]], T_Bilansi[], 4, 0),A1)</f>
        <v>25</v>
      </c>
      <c r="C60" s="227">
        <f>IF(AND([0]!Godina=2026,MID(Osnovni_podaci!D20,3,1)="s",Osnovni_podaci!L24=6,Osnovni_podaci!G24=0,MID(Osnovni_podaci!D20,3,1)="s",MID(Osnovni_podaci!D20,8,1)=" "),VLOOKUP( T_ApifImport[[#This Row],[ld]], T_Aop[], 4, 0),A1)</f>
        <v>59</v>
      </c>
      <c r="D6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0" s="8">
        <v>59</v>
      </c>
      <c r="P60" s="228" t="s">
        <v>771</v>
      </c>
    </row>
    <row r="61" spans="2:16" x14ac:dyDescent="0.3">
      <c r="B61" s="44">
        <f>IF(AND([0]!Godina=2026,MID(Osnovni_podaci!D20,3,1)="s",Osnovni_podaci!L24=6,Osnovni_podaci!G24=0,MID(Osnovni_podaci!D20,3,1)="s",MID(Osnovni_podaci!D20,8,1)=" "),VLOOKUP( T_ApifImport[[#This Row],[Bilans]], T_Bilansi[], 4, 0),A1)</f>
        <v>25</v>
      </c>
      <c r="C61" s="227">
        <f>IF(AND([0]!Godina=2026,MID(Osnovni_podaci!D20,3,1)="s",Osnovni_podaci!L24=6,Osnovni_podaci!G24=0,MID(Osnovni_podaci!D20,3,1)="s",MID(Osnovni_podaci!D20,8,1)=" "),VLOOKUP( T_ApifImport[[#This Row],[ld]], T_Aop[], 4, 0),A1)</f>
        <v>60</v>
      </c>
      <c r="D6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1" s="8">
        <v>60</v>
      </c>
      <c r="P61" s="228" t="s">
        <v>771</v>
      </c>
    </row>
    <row r="62" spans="2:16" x14ac:dyDescent="0.3">
      <c r="B62" s="44">
        <f>IF(AND([0]!Godina=2026,MID(Osnovni_podaci!D20,3,1)="s",Osnovni_podaci!L24=6,Osnovni_podaci!G24=0,MID(Osnovni_podaci!D20,3,1)="s",MID(Osnovni_podaci!D20,8,1)=" "),VLOOKUP( T_ApifImport[[#This Row],[Bilans]], T_Bilansi[], 4, 0),A1)</f>
        <v>25</v>
      </c>
      <c r="C62" s="227">
        <f>IF(AND([0]!Godina=2026,MID(Osnovni_podaci!D20,3,1)="s",Osnovni_podaci!L24=6,Osnovni_podaci!G24=0,MID(Osnovni_podaci!D20,3,1)="s",MID(Osnovni_podaci!D20,8,1)=" "),VLOOKUP( T_ApifImport[[#This Row],[ld]], T_Aop[], 4, 0),A1)</f>
        <v>61</v>
      </c>
      <c r="D6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8</v>
      </c>
      <c r="E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250689</v>
      </c>
      <c r="F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250689</v>
      </c>
      <c r="H6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197935</v>
      </c>
      <c r="I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2" s="8">
        <v>61</v>
      </c>
      <c r="P62" s="228" t="s">
        <v>771</v>
      </c>
    </row>
    <row r="63" spans="2:16" x14ac:dyDescent="0.3">
      <c r="B63" s="44">
        <f>IF(AND([0]!Godina=2026,MID(Osnovni_podaci!D20,3,1)="s",Osnovni_podaci!L24=6,Osnovni_podaci!G24=0,MID(Osnovni_podaci!D20,3,1)="s",MID(Osnovni_podaci!D20,8,1)=" "),VLOOKUP( T_ApifImport[[#This Row],[Bilans]], T_Bilansi[], 4, 0),A1)</f>
        <v>25</v>
      </c>
      <c r="C63" s="227">
        <f>IF(AND([0]!Godina=2026,MID(Osnovni_podaci!D20,3,1)="s",Osnovni_podaci!L24=6,Osnovni_podaci!G24=0,MID(Osnovni_podaci!D20,3,1)="s",MID(Osnovni_podaci!D20,8,1)=" "),VLOOKUP( T_ApifImport[[#This Row],[ld]], T_Aop[], 4, 0),A1)</f>
        <v>62</v>
      </c>
      <c r="D6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3" s="8">
        <v>62</v>
      </c>
      <c r="P63" s="228" t="s">
        <v>771</v>
      </c>
    </row>
    <row r="64" spans="2:16" x14ac:dyDescent="0.3">
      <c r="B64" s="44">
        <f>IF(AND([0]!Godina=2026,MID(Osnovni_podaci!D20,3,1)="s",Osnovni_podaci!L24=6,Osnovni_podaci!G24=0,MID(Osnovni_podaci!D20,3,1)="s",MID(Osnovni_podaci!D20,8,1)=" "),VLOOKUP( T_ApifImport[[#This Row],[Bilans]], T_Bilansi[], 4, 0),A1)</f>
        <v>25</v>
      </c>
      <c r="C64" s="227">
        <f>IF(AND([0]!Godina=2026,MID(Osnovni_podaci!D20,3,1)="s",Osnovni_podaci!L24=6,Osnovni_podaci!G24=0,MID(Osnovni_podaci!D20,3,1)="s",MID(Osnovni_podaci!D20,8,1)=" "),VLOOKUP( T_ApifImport[[#This Row],[ld]], T_Aop[], 4, 0),A1)</f>
        <v>63</v>
      </c>
      <c r="D6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8</v>
      </c>
      <c r="E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250689</v>
      </c>
      <c r="F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250689</v>
      </c>
      <c r="H6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197935</v>
      </c>
      <c r="I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4" s="8">
        <v>63</v>
      </c>
      <c r="P64" s="228" t="s">
        <v>771</v>
      </c>
    </row>
    <row r="65" spans="2:16" x14ac:dyDescent="0.3">
      <c r="B65" s="44">
        <f>IF(AND([0]!Godina=2026,MID(Osnovni_podaci!D20,3,1)="s",Osnovni_podaci!L24=6,Osnovni_podaci!G24=0,MID(Osnovni_podaci!D20,3,1)="s",MID(Osnovni_podaci!D20,8,1)=" "),VLOOKUP( T_ApifImport[[#This Row],[Bilans]], T_Bilansi[], 4, 0),A1)</f>
        <v>25</v>
      </c>
      <c r="C65" s="227">
        <f>IF(AND([0]!Godina=2026,MID(Osnovni_podaci!D20,3,1)="s",Osnovni_podaci!L24=6,Osnovni_podaci!G24=0,MID(Osnovni_podaci!D20,3,1)="s",MID(Osnovni_podaci!D20,8,1)=" "),VLOOKUP( T_ApifImport[[#This Row],[ld]], T_Aop[], 4, 0),A1)</f>
        <v>64</v>
      </c>
      <c r="D6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27881</v>
      </c>
      <c r="I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5" s="8">
        <v>64</v>
      </c>
      <c r="P65" s="228" t="s">
        <v>771</v>
      </c>
    </row>
    <row r="66" spans="2:16" x14ac:dyDescent="0.3">
      <c r="B66" s="44">
        <f>IF(AND([0]!Godina=2026,MID(Osnovni_podaci!D20,3,1)="s",Osnovni_podaci!L24=6,Osnovni_podaci!G24=0,MID(Osnovni_podaci!D20,3,1)="s",MID(Osnovni_podaci!D20,8,1)=" "),VLOOKUP( T_ApifImport[[#This Row],[Bilans]], T_Bilansi[], 4, 0),A1)</f>
        <v>25</v>
      </c>
      <c r="C66" s="227">
        <f>IF(AND([0]!Godina=2026,MID(Osnovni_podaci!D20,3,1)="s",Osnovni_podaci!L24=6,Osnovni_podaci!G24=0,MID(Osnovni_podaci!D20,3,1)="s",MID(Osnovni_podaci!D20,8,1)=" "),VLOOKUP( T_ApifImport[[#This Row],[ld]], T_Aop[], 4, 0),A1)</f>
        <v>65</v>
      </c>
      <c r="D6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1471353</v>
      </c>
      <c r="F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1471353</v>
      </c>
      <c r="H6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617004</v>
      </c>
      <c r="I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6" s="8">
        <v>65</v>
      </c>
      <c r="P66" s="228" t="s">
        <v>771</v>
      </c>
    </row>
    <row r="67" spans="2:16" x14ac:dyDescent="0.3">
      <c r="B67" s="44">
        <f>IF(AND([0]!Godina=2026,MID(Osnovni_podaci!D20,3,1)="s",Osnovni_podaci!L24=6,Osnovni_podaci!G24=0,MID(Osnovni_podaci!D20,3,1)="s",MID(Osnovni_podaci!D20,8,1)=" "),VLOOKUP( T_ApifImport[[#This Row],[Bilans]], T_Bilansi[], 4, 0),A1)</f>
        <v>25</v>
      </c>
      <c r="C67" s="229">
        <f>IF(AND([0]!Godina=2026,MID(Osnovni_podaci!D20,3,1)="s",Osnovni_podaci!L24=6,Osnovni_podaci!G24=0,MID(Osnovni_podaci!D20,3,1)="s",MID(Osnovni_podaci!D20,8,1)=" "),VLOOKUP( T_ApifImport[[#This Row],[ld]], T_Aop[], 4, 0),A1)</f>
        <v>66</v>
      </c>
      <c r="D6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53831098</v>
      </c>
      <c r="F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25907933</v>
      </c>
      <c r="G6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27923165</v>
      </c>
      <c r="H6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25282992</v>
      </c>
      <c r="I6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7" s="8">
        <v>66</v>
      </c>
      <c r="P67" s="230" t="s">
        <v>771</v>
      </c>
    </row>
    <row r="68" spans="2:16" x14ac:dyDescent="0.3">
      <c r="B68" s="506">
        <f>IF(AND([0]!Godina=2026,MID(Osnovni_podaci!D20,3,1)="s",Osnovni_podaci!L24=6,Osnovni_podaci!G24=0,MID(Osnovni_podaci!D20,3,1)="s",MID(Osnovni_podaci!D20,8,1)=" "),VLOOKUP( T_ApifImport[[#This Row],[Bilans]], T_Bilansi[], 4, 0),A1)</f>
        <v>25</v>
      </c>
      <c r="C68" s="229">
        <f>IF(AND([0]!Godina=2026,MID(Osnovni_podaci!D20,3,1)="s",Osnovni_podaci!L24=6,Osnovni_podaci!G24=0,MID(Osnovni_podaci!D20,3,1)="s",MID(Osnovni_podaci!D20,8,1)=" "),VLOOKUP( T_ApifImport[[#This Row],[ld]], T_Aop[], 4, 0),A1)</f>
        <v>67</v>
      </c>
      <c r="D6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8" s="8">
        <v>67</v>
      </c>
      <c r="P68" s="230" t="s">
        <v>771</v>
      </c>
    </row>
    <row r="69" spans="2:16" x14ac:dyDescent="0.3">
      <c r="B69" s="44">
        <f>IF(AND([0]!Godina=2026,MID(Osnovni_podaci!D20,3,1)="s",Osnovni_podaci!L24=6,Osnovni_podaci!G24=0,MID(Osnovni_podaci!D20,3,1)="s",MID(Osnovni_podaci!D20,8,1)=" "),VLOOKUP( T_ApifImport[[#This Row],[Bilans]], T_Bilansi[], 4, 0),A1)</f>
        <v>26</v>
      </c>
      <c r="C69" s="227">
        <f>IF(AND([0]!Godina=2026,MID(Osnovni_podaci!D20,3,1)="s",Osnovni_podaci!L24=6,Osnovni_podaci!G24=0,MID(Osnovni_podaci!D20,3,1)="s",MID(Osnovni_podaci!D20,8,1)=" "),VLOOKUP( T_ApifImport[[#This Row],[ld]], T_Aop[], 4, 0),A1)</f>
        <v>101</v>
      </c>
      <c r="D6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9</v>
      </c>
      <c r="E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21911658</v>
      </c>
      <c r="F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20843745</v>
      </c>
      <c r="G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9" s="8">
        <v>68</v>
      </c>
      <c r="P69" s="228" t="s">
        <v>770</v>
      </c>
    </row>
    <row r="70" spans="2:16" x14ac:dyDescent="0.3">
      <c r="B70" s="44">
        <f>IF(AND([0]!Godina=2026,MID(Osnovni_podaci!D20,3,1)="s",Osnovni_podaci!L24=6,Osnovni_podaci!G24=0,MID(Osnovni_podaci!D20,3,1)="s",MID(Osnovni_podaci!D20,8,1)=" "),VLOOKUP( T_ApifImport[[#This Row],[Bilans]], T_Bilansi[], 4, 0),A1)</f>
        <v>26</v>
      </c>
      <c r="C70" s="227">
        <f>IF(AND([0]!Godina=2026,MID(Osnovni_podaci!D20,3,1)="s",Osnovni_podaci!L24=6,Osnovni_podaci!G24=0,MID(Osnovni_podaci!D20,3,1)="s",MID(Osnovni_podaci!D20,8,1)=" "),VLOOKUP( T_ApifImport[[#This Row],[ld]], T_Aop[], 4, 0),A1)</f>
        <v>102</v>
      </c>
      <c r="D7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9603944</v>
      </c>
      <c r="G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0" s="8">
        <v>69</v>
      </c>
      <c r="P70" s="228" t="s">
        <v>770</v>
      </c>
    </row>
    <row r="71" spans="2:16" x14ac:dyDescent="0.3">
      <c r="B71" s="44">
        <f>IF(AND([0]!Godina=2026,MID(Osnovni_podaci!D20,3,1)="s",Osnovni_podaci!L24=6,Osnovni_podaci!G24=0,MID(Osnovni_podaci!D20,3,1)="s",MID(Osnovni_podaci!D20,8,1)=" "),VLOOKUP( T_ApifImport[[#This Row],[Bilans]], T_Bilansi[], 4, 0),A1)</f>
        <v>26</v>
      </c>
      <c r="C71" s="227">
        <f>IF(AND([0]!Godina=2026,MID(Osnovni_podaci!D20,3,1)="s",Osnovni_podaci!L24=6,Osnovni_podaci!G24=0,MID(Osnovni_podaci!D20,3,1)="s",MID(Osnovni_podaci!D20,8,1)=" "),VLOOKUP( T_ApifImport[[#This Row],[ld]], T_Aop[], 4, 0),A1)</f>
        <v>103</v>
      </c>
      <c r="D7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9603944</v>
      </c>
      <c r="G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1" s="8">
        <v>70</v>
      </c>
      <c r="P71" s="228" t="s">
        <v>770</v>
      </c>
    </row>
    <row r="72" spans="2:16" x14ac:dyDescent="0.3">
      <c r="B72" s="44">
        <f>IF(AND([0]!Godina=2026,MID(Osnovni_podaci!D20,3,1)="s",Osnovni_podaci!L24=6,Osnovni_podaci!G24=0,MID(Osnovni_podaci!D20,3,1)="s",MID(Osnovni_podaci!D20,8,1)=" "),VLOOKUP( T_ApifImport[[#This Row],[Bilans]], T_Bilansi[], 4, 0),A1)</f>
        <v>26</v>
      </c>
      <c r="C72" s="227">
        <f>IF(AND([0]!Godina=2026,MID(Osnovni_podaci!D20,3,1)="s",Osnovni_podaci!L24=6,Osnovni_podaci!G24=0,MID(Osnovni_podaci!D20,3,1)="s",MID(Osnovni_podaci!D20,8,1)=" "),VLOOKUP( T_ApifImport[[#This Row],[ld]], T_Aop[], 4, 0),A1)</f>
        <v>104</v>
      </c>
      <c r="D7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9603944</v>
      </c>
      <c r="G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2" s="8">
        <v>71</v>
      </c>
      <c r="P72" s="228" t="s">
        <v>770</v>
      </c>
    </row>
    <row r="73" spans="2:16" x14ac:dyDescent="0.3">
      <c r="B73" s="44">
        <f>IF(AND([0]!Godina=2026,MID(Osnovni_podaci!D20,3,1)="s",Osnovni_podaci!L24=6,Osnovni_podaci!G24=0,MID(Osnovni_podaci!D20,3,1)="s",MID(Osnovni_podaci!D20,8,1)=" "),VLOOKUP( T_ApifImport[[#This Row],[Bilans]], T_Bilansi[], 4, 0),A1)</f>
        <v>26</v>
      </c>
      <c r="C73" s="227">
        <f>IF(AND([0]!Godina=2026,MID(Osnovni_podaci!D20,3,1)="s",Osnovni_podaci!L24=6,Osnovni_podaci!G24=0,MID(Osnovni_podaci!D20,3,1)="s",MID(Osnovni_podaci!D20,8,1)=" "),VLOOKUP( T_ApifImport[[#This Row],[ld]], T_Aop[], 4, 0),A1)</f>
        <v>105</v>
      </c>
      <c r="D7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3" s="8">
        <v>72</v>
      </c>
      <c r="P73" s="228" t="s">
        <v>770</v>
      </c>
    </row>
    <row r="74" spans="2:16" x14ac:dyDescent="0.3">
      <c r="B74" s="44">
        <f>IF(AND([0]!Godina=2026,MID(Osnovni_podaci!D20,3,1)="s",Osnovni_podaci!L24=6,Osnovni_podaci!G24=0,MID(Osnovni_podaci!D20,3,1)="s",MID(Osnovni_podaci!D20,8,1)=" "),VLOOKUP( T_ApifImport[[#This Row],[Bilans]], T_Bilansi[], 4, 0),A1)</f>
        <v>26</v>
      </c>
      <c r="C74" s="227">
        <f>IF(AND([0]!Godina=2026,MID(Osnovni_podaci!D20,3,1)="s",Osnovni_podaci!L24=6,Osnovni_podaci!G24=0,MID(Osnovni_podaci!D20,3,1)="s",MID(Osnovni_podaci!D20,8,1)=" "),VLOOKUP( T_ApifImport[[#This Row],[ld]], T_Aop[], 4, 0),A1)</f>
        <v>106</v>
      </c>
      <c r="D7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4" s="8">
        <v>73</v>
      </c>
      <c r="P74" s="228" t="s">
        <v>770</v>
      </c>
    </row>
    <row r="75" spans="2:16" x14ac:dyDescent="0.3">
      <c r="B75" s="44">
        <f>IF(AND([0]!Godina=2026,MID(Osnovni_podaci!D20,3,1)="s",Osnovni_podaci!L24=6,Osnovni_podaci!G24=0,MID(Osnovni_podaci!D20,3,1)="s",MID(Osnovni_podaci!D20,8,1)=" "),VLOOKUP( T_ApifImport[[#This Row],[Bilans]], T_Bilansi[], 4, 0),A1)</f>
        <v>26</v>
      </c>
      <c r="C75" s="227">
        <f>IF(AND([0]!Godina=2026,MID(Osnovni_podaci!D20,3,1)="s",Osnovni_podaci!L24=6,Osnovni_podaci!G24=0,MID(Osnovni_podaci!D20,3,1)="s",MID(Osnovni_podaci!D20,8,1)=" "),VLOOKUP( T_ApifImport[[#This Row],[ld]], T_Aop[], 4, 0),A1)</f>
        <v>107</v>
      </c>
      <c r="D7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5" s="8">
        <v>74</v>
      </c>
      <c r="P75" s="228" t="s">
        <v>770</v>
      </c>
    </row>
    <row r="76" spans="2:16" x14ac:dyDescent="0.3">
      <c r="B76" s="44">
        <f>IF(AND([0]!Godina=2026,MID(Osnovni_podaci!D20,3,1)="s",Osnovni_podaci!L24=6,Osnovni_podaci!G24=0,MID(Osnovni_podaci!D20,3,1)="s",MID(Osnovni_podaci!D20,8,1)=" "),VLOOKUP( T_ApifImport[[#This Row],[Bilans]], T_Bilansi[], 4, 0),A1)</f>
        <v>26</v>
      </c>
      <c r="C76" s="227">
        <f>IF(AND([0]!Godina=2026,MID(Osnovni_podaci!D20,3,1)="s",Osnovni_podaci!L24=6,Osnovni_podaci!G24=0,MID(Osnovni_podaci!D20,3,1)="s",MID(Osnovni_podaci!D20,8,1)=" "),VLOOKUP( T_ApifImport[[#This Row],[ld]], T_Aop[], 4, 0),A1)</f>
        <v>108</v>
      </c>
      <c r="D7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6" s="8">
        <v>75</v>
      </c>
      <c r="P76" s="228" t="s">
        <v>770</v>
      </c>
    </row>
    <row r="77" spans="2:16" x14ac:dyDescent="0.3">
      <c r="B77" s="44">
        <f>IF(AND([0]!Godina=2026,MID(Osnovni_podaci!D20,3,1)="s",Osnovni_podaci!L24=6,Osnovni_podaci!G24=0,MID(Osnovni_podaci!D20,3,1)="s",MID(Osnovni_podaci!D20,8,1)=" "),VLOOKUP( T_ApifImport[[#This Row],[Bilans]], T_Bilansi[], 4, 0),A1)</f>
        <v>26</v>
      </c>
      <c r="C77" s="227">
        <f>IF(AND([0]!Godina=2026,MID(Osnovni_podaci!D20,3,1)="s",Osnovni_podaci!L24=6,Osnovni_podaci!G24=0,MID(Osnovni_podaci!D20,3,1)="s",MID(Osnovni_podaci!D20,8,1)=" "),VLOOKUP( T_ApifImport[[#This Row],[ld]], T_Aop[], 4, 0),A1)</f>
        <v>109</v>
      </c>
      <c r="D7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7" s="8">
        <v>76</v>
      </c>
      <c r="P77" s="228" t="s">
        <v>770</v>
      </c>
    </row>
    <row r="78" spans="2:16" x14ac:dyDescent="0.3">
      <c r="B78" s="44">
        <f>IF(AND([0]!Godina=2026,MID(Osnovni_podaci!D20,3,1)="s",Osnovni_podaci!L24=6,Osnovni_podaci!G24=0,MID(Osnovni_podaci!D20,3,1)="s",MID(Osnovni_podaci!D20,8,1)=" "),VLOOKUP( T_ApifImport[[#This Row],[Bilans]], T_Bilansi[], 4, 0),A1)</f>
        <v>26</v>
      </c>
      <c r="C78" s="227">
        <f>IF(AND([0]!Godina=2026,MID(Osnovni_podaci!D20,3,1)="s",Osnovni_podaci!L24=6,Osnovni_podaci!G24=0,MID(Osnovni_podaci!D20,3,1)="s",MID(Osnovni_podaci!D20,8,1)=" "),VLOOKUP( T_ApifImport[[#This Row],[ld]], T_Aop[], 4, 0),A1)</f>
        <v>110</v>
      </c>
      <c r="D7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8" s="8">
        <v>77</v>
      </c>
      <c r="P78" s="228" t="s">
        <v>770</v>
      </c>
    </row>
    <row r="79" spans="2:16" x14ac:dyDescent="0.3">
      <c r="B79" s="44">
        <f>IF(AND([0]!Godina=2026,MID(Osnovni_podaci!D20,3,1)="s",Osnovni_podaci!L24=6,Osnovni_podaci!G24=0,MID(Osnovni_podaci!D20,3,1)="s",MID(Osnovni_podaci!D20,8,1)=" "),VLOOKUP( T_ApifImport[[#This Row],[Bilans]], T_Bilansi[], 4, 0),A1)</f>
        <v>26</v>
      </c>
      <c r="C79" s="227">
        <f>IF(AND([0]!Godina=2026,MID(Osnovni_podaci!D20,3,1)="s",Osnovni_podaci!L24=6,Osnovni_podaci!G24=0,MID(Osnovni_podaci!D20,3,1)="s",MID(Osnovni_podaci!D20,8,1)=" "),VLOOKUP( T_ApifImport[[#This Row],[ld]], T_Aop[], 4, 0),A1)</f>
        <v>111</v>
      </c>
      <c r="D7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9" s="8">
        <v>78</v>
      </c>
      <c r="P79" s="228" t="s">
        <v>770</v>
      </c>
    </row>
    <row r="80" spans="2:16" x14ac:dyDescent="0.3">
      <c r="B80" s="44">
        <f>IF(AND([0]!Godina=2026,MID(Osnovni_podaci!D20,3,1)="s",Osnovni_podaci!L24=6,Osnovni_podaci!G24=0,MID(Osnovni_podaci!D20,3,1)="s",MID(Osnovni_podaci!D20,8,1)=" "),VLOOKUP( T_ApifImport[[#This Row],[Bilans]], T_Bilansi[], 4, 0),A1)</f>
        <v>26</v>
      </c>
      <c r="C80" s="227">
        <f>IF(AND([0]!Godina=2026,MID(Osnovni_podaci!D20,3,1)="s",Osnovni_podaci!L24=6,Osnovni_podaci!G24=0,MID(Osnovni_podaci!D20,3,1)="s",MID(Osnovni_podaci!D20,8,1)=" "),VLOOKUP( T_ApifImport[[#This Row],[ld]], T_Aop[], 4, 0),A1)</f>
        <v>112</v>
      </c>
      <c r="D8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0" s="8">
        <v>79</v>
      </c>
      <c r="P80" s="228" t="s">
        <v>770</v>
      </c>
    </row>
    <row r="81" spans="2:16" x14ac:dyDescent="0.3">
      <c r="B81" s="44">
        <f>IF(AND([0]!Godina=2026,MID(Osnovni_podaci!D20,3,1)="s",Osnovni_podaci!L24=6,Osnovni_podaci!G24=0,MID(Osnovni_podaci!D20,3,1)="s",MID(Osnovni_podaci!D20,8,1)=" "),VLOOKUP( T_ApifImport[[#This Row],[Bilans]], T_Bilansi[], 4, 0),A1)</f>
        <v>26</v>
      </c>
      <c r="C81" s="227">
        <f>IF(AND([0]!Godina=2026,MID(Osnovni_podaci!D20,3,1)="s",Osnovni_podaci!L24=6,Osnovni_podaci!G24=0,MID(Osnovni_podaci!D20,3,1)="s",MID(Osnovni_podaci!D20,8,1)=" "),VLOOKUP( T_ApifImport[[#This Row],[ld]], T_Aop[], 4, 0),A1)</f>
        <v>113</v>
      </c>
      <c r="D8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1" s="8">
        <v>80</v>
      </c>
      <c r="P81" s="228" t="s">
        <v>770</v>
      </c>
    </row>
    <row r="82" spans="2:16" x14ac:dyDescent="0.3">
      <c r="B82" s="44">
        <f>IF(AND([0]!Godina=2026,MID(Osnovni_podaci!D20,3,1)="s",Osnovni_podaci!L24=6,Osnovni_podaci!G24=0,MID(Osnovni_podaci!D20,3,1)="s",MID(Osnovni_podaci!D20,8,1)=" "),VLOOKUP( T_ApifImport[[#This Row],[Bilans]], T_Bilansi[], 4, 0),A1)</f>
        <v>26</v>
      </c>
      <c r="C82" s="227">
        <f>IF(AND([0]!Godina=2026,MID(Osnovni_podaci!D20,3,1)="s",Osnovni_podaci!L24=6,Osnovni_podaci!G24=0,MID(Osnovni_podaci!D20,3,1)="s",MID(Osnovni_podaci!D20,8,1)=" "),VLOOKUP( T_ApifImport[[#This Row],[ld]], T_Aop[], 4, 0),A1)</f>
        <v>114</v>
      </c>
      <c r="D8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2" s="8">
        <v>81</v>
      </c>
      <c r="P82" s="228" t="s">
        <v>770</v>
      </c>
    </row>
    <row r="83" spans="2:16" x14ac:dyDescent="0.3">
      <c r="B83" s="44">
        <f>IF(AND([0]!Godina=2026,MID(Osnovni_podaci!D20,3,1)="s",Osnovni_podaci!L24=6,Osnovni_podaci!G24=0,MID(Osnovni_podaci!D20,3,1)="s",MID(Osnovni_podaci!D20,8,1)=" "),VLOOKUP( T_ApifImport[[#This Row],[Bilans]], T_Bilansi[], 4, 0),A1)</f>
        <v>26</v>
      </c>
      <c r="C83" s="227">
        <f>IF(AND([0]!Godina=2026,MID(Osnovni_podaci!D20,3,1)="s",Osnovni_podaci!L24=6,Osnovni_podaci!G24=0,MID(Osnovni_podaci!D20,3,1)="s",MID(Osnovni_podaci!D20,8,1)=" "),VLOOKUP( T_ApifImport[[#This Row],[ld]], T_Aop[], 4, 0),A1)</f>
        <v>115</v>
      </c>
      <c r="D8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274841</v>
      </c>
      <c r="F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273966</v>
      </c>
      <c r="G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3" s="8">
        <v>82</v>
      </c>
      <c r="P83" s="228" t="s">
        <v>770</v>
      </c>
    </row>
    <row r="84" spans="2:16" x14ac:dyDescent="0.3">
      <c r="B84" s="44">
        <f>IF(AND([0]!Godina=2026,MID(Osnovni_podaci!D20,3,1)="s",Osnovni_podaci!L24=6,Osnovni_podaci!G24=0,MID(Osnovni_podaci!D20,3,1)="s",MID(Osnovni_podaci!D20,8,1)=" "),VLOOKUP( T_ApifImport[[#This Row],[Bilans]], T_Bilansi[], 4, 0),A1)</f>
        <v>26</v>
      </c>
      <c r="C84" s="227">
        <f>IF(AND([0]!Godina=2026,MID(Osnovni_podaci!D20,3,1)="s",Osnovni_podaci!L24=6,Osnovni_podaci!G24=0,MID(Osnovni_podaci!D20,3,1)="s",MID(Osnovni_podaci!D20,8,1)=" "),VLOOKUP( T_ApifImport[[#This Row],[ld]], T_Aop[], 4, 0),A1)</f>
        <v>116</v>
      </c>
      <c r="D8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274841</v>
      </c>
      <c r="F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273966</v>
      </c>
      <c r="G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4" s="8">
        <v>83</v>
      </c>
      <c r="P84" s="228" t="s">
        <v>770</v>
      </c>
    </row>
    <row r="85" spans="2:16" x14ac:dyDescent="0.3">
      <c r="B85" s="44">
        <f>IF(AND([0]!Godina=2026,MID(Osnovni_podaci!D20,3,1)="s",Osnovni_podaci!L24=6,Osnovni_podaci!G24=0,MID(Osnovni_podaci!D20,3,1)="s",MID(Osnovni_podaci!D20,8,1)=" "),VLOOKUP( T_ApifImport[[#This Row],[Bilans]], T_Bilansi[], 4, 0),A1)</f>
        <v>26</v>
      </c>
      <c r="C85" s="227">
        <f>IF(AND([0]!Godina=2026,MID(Osnovni_podaci!D20,3,1)="s",Osnovni_podaci!L24=6,Osnovni_podaci!G24=0,MID(Osnovni_podaci!D20,3,1)="s",MID(Osnovni_podaci!D20,8,1)=" "),VLOOKUP( T_ApifImport[[#This Row],[ld]], T_Aop[], 4, 0),A1)</f>
        <v>117</v>
      </c>
      <c r="D8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5" s="8">
        <v>84</v>
      </c>
      <c r="P85" s="228" t="s">
        <v>770</v>
      </c>
    </row>
    <row r="86" spans="2:16" x14ac:dyDescent="0.3">
      <c r="B86" s="44">
        <f>IF(AND([0]!Godina=2026,MID(Osnovni_podaci!D20,3,1)="s",Osnovni_podaci!L24=6,Osnovni_podaci!G24=0,MID(Osnovni_podaci!D20,3,1)="s",MID(Osnovni_podaci!D20,8,1)=" "),VLOOKUP( T_ApifImport[[#This Row],[Bilans]], T_Bilansi[], 4, 0),A1)</f>
        <v>26</v>
      </c>
      <c r="C86" s="227">
        <f>IF(AND([0]!Godina=2026,MID(Osnovni_podaci!D20,3,1)="s",Osnovni_podaci!L24=6,Osnovni_podaci!G24=0,MID(Osnovni_podaci!D20,3,1)="s",MID(Osnovni_podaci!D20,8,1)=" "),VLOOKUP( T_ApifImport[[#This Row],[ld]], T_Aop[], 4, 0),A1)</f>
        <v>118</v>
      </c>
      <c r="D8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6" s="8">
        <v>85</v>
      </c>
      <c r="P86" s="228" t="s">
        <v>770</v>
      </c>
    </row>
    <row r="87" spans="2:16" x14ac:dyDescent="0.3">
      <c r="B87" s="44">
        <f>IF(AND([0]!Godina=2026,MID(Osnovni_podaci!D20,3,1)="s",Osnovni_podaci!L24=6,Osnovni_podaci!G24=0,MID(Osnovni_podaci!D20,3,1)="s",MID(Osnovni_podaci!D20,8,1)=" "),VLOOKUP( T_ApifImport[[#This Row],[Bilans]], T_Bilansi[], 4, 0),A1)</f>
        <v>26</v>
      </c>
      <c r="C87" s="227">
        <f>IF(AND([0]!Godina=2026,MID(Osnovni_podaci!D20,3,1)="s",Osnovni_podaci!L24=6,Osnovni_podaci!G24=0,MID(Osnovni_podaci!D20,3,1)="s",MID(Osnovni_podaci!D20,8,1)=" "),VLOOKUP( T_ApifImport[[#This Row],[ld]], T_Aop[], 4, 0),A1)</f>
        <v>119</v>
      </c>
      <c r="D8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6146918</v>
      </c>
      <c r="F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6146918</v>
      </c>
      <c r="G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7" s="8">
        <v>86</v>
      </c>
      <c r="P87" s="228" t="s">
        <v>770</v>
      </c>
    </row>
    <row r="88" spans="2:16" x14ac:dyDescent="0.3">
      <c r="B88" s="44">
        <f>IF(AND([0]!Godina=2026,MID(Osnovni_podaci!D20,3,1)="s",Osnovni_podaci!L24=6,Osnovni_podaci!G24=0,MID(Osnovni_podaci!D20,3,1)="s",MID(Osnovni_podaci!D20,8,1)=" "),VLOOKUP( T_ApifImport[[#This Row],[Bilans]], T_Bilansi[], 4, 0),A1)</f>
        <v>26</v>
      </c>
      <c r="C88" s="227">
        <f>IF(AND([0]!Godina=2026,MID(Osnovni_podaci!D20,3,1)="s",Osnovni_podaci!L24=6,Osnovni_podaci!G24=0,MID(Osnovni_podaci!D20,3,1)="s",MID(Osnovni_podaci!D20,8,1)=" "),VLOOKUP( T_ApifImport[[#This Row],[ld]], T_Aop[], 4, 0),A1)</f>
        <v>120</v>
      </c>
      <c r="D8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6146918</v>
      </c>
      <c r="F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6146918</v>
      </c>
      <c r="G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8" s="8">
        <v>87</v>
      </c>
      <c r="P88" s="228" t="s">
        <v>770</v>
      </c>
    </row>
    <row r="89" spans="2:16" x14ac:dyDescent="0.3">
      <c r="B89" s="44">
        <f>IF(AND([0]!Godina=2026,MID(Osnovni_podaci!D20,3,1)="s",Osnovni_podaci!L24=6,Osnovni_podaci!G24=0,MID(Osnovni_podaci!D20,3,1)="s",MID(Osnovni_podaci!D20,8,1)=" "),VLOOKUP( T_ApifImport[[#This Row],[Bilans]], T_Bilansi[], 4, 0),A1)</f>
        <v>26</v>
      </c>
      <c r="C89" s="227">
        <f>IF(AND([0]!Godina=2026,MID(Osnovni_podaci!D20,3,1)="s",Osnovni_podaci!L24=6,Osnovni_podaci!G24=0,MID(Osnovni_podaci!D20,3,1)="s",MID(Osnovni_podaci!D20,8,1)=" "),VLOOKUP( T_ApifImport[[#This Row],[ld]], T_Aop[], 4, 0),A1)</f>
        <v>121</v>
      </c>
      <c r="D8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9" s="8">
        <v>88</v>
      </c>
      <c r="P89" s="228" t="s">
        <v>770</v>
      </c>
    </row>
    <row r="90" spans="2:16" x14ac:dyDescent="0.3">
      <c r="B90" s="44">
        <f>IF(AND([0]!Godina=2026,MID(Osnovni_podaci!D20,3,1)="s",Osnovni_podaci!L24=6,Osnovni_podaci!G24=0,MID(Osnovni_podaci!D20,3,1)="s",MID(Osnovni_podaci!D20,8,1)=" "),VLOOKUP( T_ApifImport[[#This Row],[Bilans]], T_Bilansi[], 4, 0),A1)</f>
        <v>26</v>
      </c>
      <c r="C90" s="227">
        <f>IF(AND([0]!Godina=2026,MID(Osnovni_podaci!D20,3,1)="s",Osnovni_podaci!L24=6,Osnovni_podaci!G24=0,MID(Osnovni_podaci!D20,3,1)="s",MID(Osnovni_podaci!D20,8,1)=" "),VLOOKUP( T_ApifImport[[#This Row],[ld]], T_Aop[], 4, 0),A1)</f>
        <v>122</v>
      </c>
      <c r="D9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0" s="8">
        <v>89</v>
      </c>
      <c r="P90" s="228" t="s">
        <v>770</v>
      </c>
    </row>
    <row r="91" spans="2:16" x14ac:dyDescent="0.3">
      <c r="B91" s="44">
        <f>IF(AND([0]!Godina=2026,MID(Osnovni_podaci!D20,3,1)="s",Osnovni_podaci!L24=6,Osnovni_podaci!G24=0,MID(Osnovni_podaci!D20,3,1)="s",MID(Osnovni_podaci!D20,8,1)=" "),VLOOKUP( T_ApifImport[[#This Row],[Bilans]], T_Bilansi[], 4, 0),A1)</f>
        <v>26</v>
      </c>
      <c r="C91" s="227">
        <f>IF(AND([0]!Godina=2026,MID(Osnovni_podaci!D20,3,1)="s",Osnovni_podaci!L24=6,Osnovni_podaci!G24=0,MID(Osnovni_podaci!D20,3,1)="s",MID(Osnovni_podaci!D20,8,1)=" "),VLOOKUP( T_ApifImport[[#This Row],[ld]], T_Aop[], 4, 0),A1)</f>
        <v>123</v>
      </c>
      <c r="D91"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1" s="8">
        <v>90</v>
      </c>
      <c r="P91" s="228" t="s">
        <v>770</v>
      </c>
    </row>
    <row r="92" spans="2:16" x14ac:dyDescent="0.3">
      <c r="B92" s="44">
        <f>IF(AND([0]!Godina=2026,MID(Osnovni_podaci!D20,3,1)="s",Osnovni_podaci!L24=6,Osnovni_podaci!G24=0,MID(Osnovni_podaci!D20,3,1)="s",MID(Osnovni_podaci!D20,8,1)=" "),VLOOKUP( T_ApifImport[[#This Row],[Bilans]], T_Bilansi[], 4, 0),A1)</f>
        <v>26</v>
      </c>
      <c r="C92" s="227">
        <f>IF(AND([0]!Godina=2026,MID(Osnovni_podaci!D20,3,1)="s",Osnovni_podaci!L24=6,Osnovni_podaci!G24=0,MID(Osnovni_podaci!D20,3,1)="s",MID(Osnovni_podaci!D20,8,1)=" "),VLOOKUP( T_ApifImport[[#This Row],[ld]], T_Aop[], 4, 0),A1)</f>
        <v>124</v>
      </c>
      <c r="D92"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5885955</v>
      </c>
      <c r="F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4818917</v>
      </c>
      <c r="G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2" s="8">
        <v>91</v>
      </c>
      <c r="P92" s="228" t="s">
        <v>770</v>
      </c>
    </row>
    <row r="93" spans="2:16" x14ac:dyDescent="0.3">
      <c r="B93" s="44">
        <f>IF(AND([0]!Godina=2026,MID(Osnovni_podaci!D20,3,1)="s",Osnovni_podaci!L24=6,Osnovni_podaci!G24=0,MID(Osnovni_podaci!D20,3,1)="s",MID(Osnovni_podaci!D20,8,1)=" "),VLOOKUP( T_ApifImport[[#This Row],[Bilans]], T_Bilansi[], 4, 0),A1)</f>
        <v>26</v>
      </c>
      <c r="C93" s="227">
        <f>IF(AND([0]!Godina=2026,MID(Osnovni_podaci!D20,3,1)="s",Osnovni_podaci!L24=6,Osnovni_podaci!G24=0,MID(Osnovni_podaci!D20,3,1)="s",MID(Osnovni_podaci!D20,8,1)=" "),VLOOKUP( T_ApifImport[[#This Row],[ld]], T_Aop[], 4, 0),A1)</f>
        <v>125</v>
      </c>
      <c r="D93"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4818042</v>
      </c>
      <c r="F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4801420</v>
      </c>
      <c r="G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3" s="8">
        <v>92</v>
      </c>
      <c r="P93" s="228" t="s">
        <v>770</v>
      </c>
    </row>
    <row r="94" spans="2:16" x14ac:dyDescent="0.3">
      <c r="B94" s="44">
        <f>IF(AND([0]!Godina=2026,MID(Osnovni_podaci!D20,3,1)="s",Osnovni_podaci!L24=6,Osnovni_podaci!G24=0,MID(Osnovni_podaci!D20,3,1)="s",MID(Osnovni_podaci!D20,8,1)=" "),VLOOKUP( T_ApifImport[[#This Row],[Bilans]], T_Bilansi[], 4, 0),A1)</f>
        <v>26</v>
      </c>
      <c r="C94" s="227">
        <f>IF(AND([0]!Godina=2026,MID(Osnovni_podaci!D20,3,1)="s",Osnovni_podaci!L24=6,Osnovni_podaci!G24=0,MID(Osnovni_podaci!D20,3,1)="s",MID(Osnovni_podaci!D20,8,1)=" "),VLOOKUP( T_ApifImport[[#This Row],[ld]], T_Aop[], 4, 0),A1)</f>
        <v>126</v>
      </c>
      <c r="D94"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1067913</v>
      </c>
      <c r="F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17497</v>
      </c>
      <c r="G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4" s="8">
        <v>93</v>
      </c>
      <c r="P94" s="228" t="s">
        <v>770</v>
      </c>
    </row>
    <row r="95" spans="2:16" x14ac:dyDescent="0.3">
      <c r="B95" s="44">
        <f>IF(AND([0]!Godina=2026,MID(Osnovni_podaci!D20,3,1)="s",Osnovni_podaci!L24=6,Osnovni_podaci!G24=0,MID(Osnovni_podaci!D20,3,1)="s",MID(Osnovni_podaci!D20,8,1)=" "),VLOOKUP( T_ApifImport[[#This Row],[Bilans]], T_Bilansi[], 4, 0),A1)</f>
        <v>26</v>
      </c>
      <c r="C95" s="227">
        <f>IF(AND([0]!Godina=2026,MID(Osnovni_podaci!D20,3,1)="s",Osnovni_podaci!L24=6,Osnovni_podaci!G24=0,MID(Osnovni_podaci!D20,3,1)="s",MID(Osnovni_podaci!D20,8,1)=" "),VLOOKUP( T_ApifImport[[#This Row],[ld]], T_Aop[], 4, 0),A1)</f>
        <v>127</v>
      </c>
      <c r="D95"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5" s="8">
        <v>94</v>
      </c>
      <c r="P95" s="228" t="s">
        <v>770</v>
      </c>
    </row>
    <row r="96" spans="2:16" x14ac:dyDescent="0.3">
      <c r="B96" s="44">
        <f>IF(AND([0]!Godina=2026,MID(Osnovni_podaci!D20,3,1)="s",Osnovni_podaci!L24=6,Osnovni_podaci!G24=0,MID(Osnovni_podaci!D20,3,1)="s",MID(Osnovni_podaci!D20,8,1)=" "),VLOOKUP( T_ApifImport[[#This Row],[Bilans]], T_Bilansi[], 4, 0),A1)</f>
        <v>26</v>
      </c>
      <c r="C96" s="227">
        <f>IF(AND([0]!Godina=2026,MID(Osnovni_podaci!D20,3,1)="s",Osnovni_podaci!L24=6,Osnovni_podaci!G24=0,MID(Osnovni_podaci!D20,3,1)="s",MID(Osnovni_podaci!D20,8,1)=" "),VLOOKUP( T_ApifImport[[#This Row],[ld]], T_Aop[], 4, 0),A1)</f>
        <v>128</v>
      </c>
      <c r="D96"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6" s="8">
        <v>95</v>
      </c>
      <c r="P96" s="228" t="s">
        <v>770</v>
      </c>
    </row>
    <row r="97" spans="2:16" x14ac:dyDescent="0.3">
      <c r="B97" s="44">
        <f>IF(AND([0]!Godina=2026,MID(Osnovni_podaci!D20,3,1)="s",Osnovni_podaci!L24=6,Osnovni_podaci!G24=0,MID(Osnovni_podaci!D20,3,1)="s",MID(Osnovni_podaci!D20,8,1)=" "),VLOOKUP( T_ApifImport[[#This Row],[Bilans]], T_Bilansi[], 4, 0),A1)</f>
        <v>26</v>
      </c>
      <c r="C97" s="227">
        <f>IF(AND([0]!Godina=2026,MID(Osnovni_podaci!D20,3,1)="s",Osnovni_podaci!L24=6,Osnovni_podaci!G24=0,MID(Osnovni_podaci!D20,3,1)="s",MID(Osnovni_podaci!D20,8,1)=" "),VLOOKUP( T_ApifImport[[#This Row],[ld]], T_Aop[], 4, 0),A1)</f>
        <v>129</v>
      </c>
      <c r="D97"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7" s="8">
        <v>96</v>
      </c>
      <c r="P97" s="228" t="s">
        <v>770</v>
      </c>
    </row>
    <row r="98" spans="2:16" x14ac:dyDescent="0.3">
      <c r="B98" s="44">
        <f>IF(AND([0]!Godina=2026,MID(Osnovni_podaci!D20,3,1)="s",Osnovni_podaci!L24=6,Osnovni_podaci!G24=0,MID(Osnovni_podaci!D20,3,1)="s",MID(Osnovni_podaci!D20,8,1)=" "),VLOOKUP( T_ApifImport[[#This Row],[Bilans]], T_Bilansi[], 4, 0),A1)</f>
        <v>26</v>
      </c>
      <c r="C98" s="227">
        <f>IF(AND([0]!Godina=2026,MID(Osnovni_podaci!D20,3,1)="s",Osnovni_podaci!L24=6,Osnovni_podaci!G24=0,MID(Osnovni_podaci!D20,3,1)="s",MID(Osnovni_podaci!D20,8,1)=" "),VLOOKUP( T_ApifImport[[#This Row],[ld]], T_Aop[], 4, 0),A1)</f>
        <v>130</v>
      </c>
      <c r="D98"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8" s="8">
        <v>97</v>
      </c>
      <c r="P98" s="228" t="s">
        <v>770</v>
      </c>
    </row>
    <row r="99" spans="2:16" x14ac:dyDescent="0.3">
      <c r="B99" s="44">
        <f>IF(AND([0]!Godina=2026,MID(Osnovni_podaci!D20,3,1)="s",Osnovni_podaci!L24=6,Osnovni_podaci!G24=0,MID(Osnovni_podaci!D20,3,1)="s",MID(Osnovni_podaci!D20,8,1)=" "),VLOOKUP( T_ApifImport[[#This Row],[Bilans]], T_Bilansi[], 4, 0),A1)</f>
        <v>26</v>
      </c>
      <c r="C99" s="227">
        <f>IF(AND([0]!Godina=2026,MID(Osnovni_podaci!D20,3,1)="s",Osnovni_podaci!L24=6,Osnovni_podaci!G24=0,MID(Osnovni_podaci!D20,3,1)="s",MID(Osnovni_podaci!D20,8,1)=" "),VLOOKUP( T_ApifImport[[#This Row],[ld]], T_Aop[], 4, 0),A1)</f>
        <v>131</v>
      </c>
      <c r="D99"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9" s="8">
        <v>98</v>
      </c>
      <c r="P99" s="228" t="s">
        <v>770</v>
      </c>
    </row>
    <row r="100" spans="2:16" x14ac:dyDescent="0.3">
      <c r="B100" s="44">
        <f>IF(AND([0]!Godina=2026,MID(Osnovni_podaci!D20,3,1)="s",Osnovni_podaci!L24=6,Osnovni_podaci!G24=0,MID(Osnovni_podaci!D20,3,1)="s",MID(Osnovni_podaci!D20,8,1)=" "),VLOOKUP( T_ApifImport[[#This Row],[Bilans]], T_Bilansi[], 4, 0),A1)</f>
        <v>26</v>
      </c>
      <c r="C100" s="227">
        <f>IF(AND([0]!Godina=2026,MID(Osnovni_podaci!D20,3,1)="s",Osnovni_podaci!L24=6,Osnovni_podaci!G24=0,MID(Osnovni_podaci!D20,3,1)="s",MID(Osnovni_podaci!D20,8,1)=" "),VLOOKUP( T_ApifImport[[#This Row],[ld]], T_Aop[], 4, 0),A1)</f>
        <v>132</v>
      </c>
      <c r="D100" s="227" t="str">
        <f ca="1">IF(AND([0]!Godina=2026,MID(Osnovni_podaci!D20,3,1)="s",Osnovni_podaci!L24=6,Osnovni_podaci!G24=0,MID(Osnovni_podaci!D20,3,1)="s",MID(Osnovni_podaci!D20,8,1)=" "),IF(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10</v>
      </c>
      <c r="E1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306943</v>
      </c>
      <c r="F1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306943</v>
      </c>
      <c r="G1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0" s="8">
        <v>99</v>
      </c>
      <c r="P100" s="228" t="s">
        <v>770</v>
      </c>
    </row>
    <row r="101" spans="2:16" x14ac:dyDescent="0.3">
      <c r="B101" s="44">
        <f>VLOOKUP( T_ApifImport[[#This Row],[Bilans]], T_Bilansi[], 4, 0)</f>
        <v>26</v>
      </c>
      <c r="C101" s="227">
        <f>IF(AND([0]!Godina=2026,MID(Osnovni_podaci!D20,3,1)="s",Osnovni_podaci!L24=6,Osnovni_podaci!G24=0,MID(Osnovni_podaci!D20,3,1)="s",MID(Osnovni_podaci!D20,8,1)=" "),VLOOKUP( T_ApifImport[[#This Row],[ld]], T_Aop[], 4, 0),A1)</f>
        <v>133</v>
      </c>
      <c r="D1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306943</v>
      </c>
      <c r="F1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306943</v>
      </c>
      <c r="G1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1" s="8">
        <v>100</v>
      </c>
      <c r="P101" s="228" t="s">
        <v>770</v>
      </c>
    </row>
    <row r="102" spans="2:16" x14ac:dyDescent="0.3">
      <c r="B102" s="44">
        <f>VLOOKUP( T_ApifImport[[#This Row],[Bilans]], T_Bilansi[], 4, 0)</f>
        <v>26</v>
      </c>
      <c r="C102" s="227">
        <f>IF(AND([0]!Godina=2026,MID(Osnovni_podaci!D20,3,1)="s",Osnovni_podaci!L24=6,Osnovni_podaci!G24=0,MID(Osnovni_podaci!D20,3,1)="s",MID(Osnovni_podaci!D20,8,1)=" "),VLOOKUP( T_ApifImport[[#This Row],[ld]], T_Aop[], 4, 0),A1)</f>
        <v>134</v>
      </c>
      <c r="D1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2" s="8">
        <v>101</v>
      </c>
      <c r="P102" s="228" t="s">
        <v>770</v>
      </c>
    </row>
    <row r="103" spans="2:16" x14ac:dyDescent="0.3">
      <c r="B103" s="44">
        <f>VLOOKUP( T_ApifImport[[#This Row],[Bilans]], T_Bilansi[], 4, 0)</f>
        <v>26</v>
      </c>
      <c r="C103" s="227">
        <f>IF(AND([0]!Godina=2026,MID(Osnovni_podaci!D20,3,1)="s",Osnovni_podaci!L24=6,Osnovni_podaci!G24=0,MID(Osnovni_podaci!D20,3,1)="s",MID(Osnovni_podaci!D20,8,1)=" "),VLOOKUP( T_ApifImport[[#This Row],[ld]], T_Aop[], 4, 0),A1)</f>
        <v>135</v>
      </c>
      <c r="D1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217895</v>
      </c>
      <c r="F1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217895</v>
      </c>
      <c r="G1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3" s="8">
        <v>102</v>
      </c>
      <c r="P103" s="228" t="s">
        <v>770</v>
      </c>
    </row>
    <row r="104" spans="2:16" x14ac:dyDescent="0.3">
      <c r="B104" s="44">
        <f>VLOOKUP( T_ApifImport[[#This Row],[Bilans]], T_Bilansi[], 4, 0)</f>
        <v>26</v>
      </c>
      <c r="C104" s="227">
        <f>IF(AND([0]!Godina=2026,MID(Osnovni_podaci!D20,3,1)="s",Osnovni_podaci!L24=6,Osnovni_podaci!G24=0,MID(Osnovni_podaci!D20,3,1)="s",MID(Osnovni_podaci!D20,8,1)=" "),VLOOKUP( T_ApifImport[[#This Row],[ld]], T_Aop[], 4, 0),A1)</f>
        <v>136</v>
      </c>
      <c r="D1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89048</v>
      </c>
      <c r="F1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89048</v>
      </c>
      <c r="G1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4" s="8">
        <v>103</v>
      </c>
      <c r="P104" s="228" t="s">
        <v>770</v>
      </c>
    </row>
    <row r="105" spans="2:16" x14ac:dyDescent="0.3">
      <c r="B105" s="44">
        <f>VLOOKUP( T_ApifImport[[#This Row],[Bilans]], T_Bilansi[], 4, 0)</f>
        <v>26</v>
      </c>
      <c r="C105" s="227">
        <f>IF(AND([0]!Godina=2026,MID(Osnovni_podaci!D20,3,1)="s",Osnovni_podaci!L24=6,Osnovni_podaci!G24=0,MID(Osnovni_podaci!D20,3,1)="s",MID(Osnovni_podaci!D20,8,1)=" "),VLOOKUP( T_ApifImport[[#This Row],[ld]], T_Aop[], 4, 0),A1)</f>
        <v>137</v>
      </c>
      <c r="D1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11</v>
      </c>
      <c r="E1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5" s="8">
        <v>104</v>
      </c>
      <c r="P105" s="228" t="s">
        <v>770</v>
      </c>
    </row>
    <row r="106" spans="2:16" x14ac:dyDescent="0.3">
      <c r="B106" s="44">
        <f>VLOOKUP( T_ApifImport[[#This Row],[Bilans]], T_Bilansi[], 4, 0)</f>
        <v>26</v>
      </c>
      <c r="C106" s="227">
        <f>IF(AND([0]!Godina=2026,MID(Osnovni_podaci!D20,3,1)="s",Osnovni_podaci!L24=6,Osnovni_podaci!G24=0,MID(Osnovni_podaci!D20,3,1)="s",MID(Osnovni_podaci!D20,8,1)=" "),VLOOKUP( T_ApifImport[[#This Row],[ld]], T_Aop[], 4, 0),A1)</f>
        <v>138</v>
      </c>
      <c r="D1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6" s="8">
        <v>105</v>
      </c>
      <c r="P106" s="228" t="s">
        <v>770</v>
      </c>
    </row>
    <row r="107" spans="2:16" x14ac:dyDescent="0.3">
      <c r="B107" s="44">
        <f>VLOOKUP( T_ApifImport[[#This Row],[Bilans]], T_Bilansi[], 4, 0)</f>
        <v>26</v>
      </c>
      <c r="C107" s="227">
        <f>IF(AND([0]!Godina=2026,MID(Osnovni_podaci!D20,3,1)="s",Osnovni_podaci!L24=6,Osnovni_podaci!G24=0,MID(Osnovni_podaci!D20,3,1)="s",MID(Osnovni_podaci!D20,8,1)=" "),VLOOKUP( T_ApifImport[[#This Row],[ld]], T_Aop[], 4, 0),A1)</f>
        <v>139</v>
      </c>
      <c r="D1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7" s="8">
        <v>106</v>
      </c>
      <c r="P107" s="228" t="s">
        <v>770</v>
      </c>
    </row>
    <row r="108" spans="2:16" x14ac:dyDescent="0.3">
      <c r="B108" s="44">
        <f>VLOOKUP( T_ApifImport[[#This Row],[Bilans]], T_Bilansi[], 4, 0)</f>
        <v>26</v>
      </c>
      <c r="C108" s="227">
        <f>IF(AND([0]!Godina=2026,MID(Osnovni_podaci!D20,3,1)="s",Osnovni_podaci!L24=6,Osnovni_podaci!G24=0,MID(Osnovni_podaci!D20,3,1)="s",MID(Osnovni_podaci!D20,8,1)=" "),VLOOKUP( T_ApifImport[[#This Row],[ld]], T_Aop[], 4, 0),A1)</f>
        <v>140</v>
      </c>
      <c r="D1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8" s="8">
        <v>107</v>
      </c>
      <c r="P108" s="228" t="s">
        <v>770</v>
      </c>
    </row>
    <row r="109" spans="2:16" x14ac:dyDescent="0.3">
      <c r="B109" s="44">
        <f>VLOOKUP( T_ApifImport[[#This Row],[Bilans]], T_Bilansi[], 4, 0)</f>
        <v>26</v>
      </c>
      <c r="C109" s="227">
        <f>IF(AND([0]!Godina=2026,MID(Osnovni_podaci!D20,3,1)="s",Osnovni_podaci!L24=6,Osnovni_podaci!G24=0,MID(Osnovni_podaci!D20,3,1)="s",MID(Osnovni_podaci!D20,8,1)=" "),VLOOKUP( T_ApifImport[[#This Row],[ld]], T_Aop[], 4, 0),A1)</f>
        <v>141</v>
      </c>
      <c r="D1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9" s="8">
        <v>108</v>
      </c>
      <c r="P109" s="228" t="s">
        <v>770</v>
      </c>
    </row>
    <row r="110" spans="2:16" x14ac:dyDescent="0.3">
      <c r="B110" s="44">
        <f>VLOOKUP( T_ApifImport[[#This Row],[Bilans]], T_Bilansi[], 4, 0)</f>
        <v>26</v>
      </c>
      <c r="C110" s="227">
        <f>IF(AND([0]!Godina=2026,MID(Osnovni_podaci!D20,3,1)="s",Osnovni_podaci!L24=6,Osnovni_podaci!G24=0,MID(Osnovni_podaci!D20,3,1)="s",MID(Osnovni_podaci!D20,8,1)=" "),VLOOKUP( T_ApifImport[[#This Row],[ld]], T_Aop[], 4, 0),A1)</f>
        <v>142</v>
      </c>
      <c r="D1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0" s="8">
        <v>109</v>
      </c>
      <c r="P110" s="228" t="s">
        <v>770</v>
      </c>
    </row>
    <row r="111" spans="2:16" x14ac:dyDescent="0.3">
      <c r="B111" s="44">
        <f>VLOOKUP( T_ApifImport[[#This Row],[Bilans]], T_Bilansi[], 4, 0)</f>
        <v>26</v>
      </c>
      <c r="C111" s="227">
        <f>IF(AND([0]!Godina=2026,MID(Osnovni_podaci!D20,3,1)="s",Osnovni_podaci!L24=6,Osnovni_podaci!G24=0,MID(Osnovni_podaci!D20,3,1)="s",MID(Osnovni_podaci!D20,8,1)=" "),VLOOKUP( T_ApifImport[[#This Row],[ld]], T_Aop[], 4, 0),A1)</f>
        <v>143</v>
      </c>
      <c r="D1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1" s="8">
        <v>110</v>
      </c>
      <c r="P111" s="228" t="s">
        <v>770</v>
      </c>
    </row>
    <row r="112" spans="2:16" x14ac:dyDescent="0.3">
      <c r="B112" s="44">
        <f>VLOOKUP( T_ApifImport[[#This Row],[Bilans]], T_Bilansi[], 4, 0)</f>
        <v>26</v>
      </c>
      <c r="C112" s="227">
        <f>IF(AND([0]!Godina=2026,MID(Osnovni_podaci!D20,3,1)="s",Osnovni_podaci!L24=6,Osnovni_podaci!G24=0,MID(Osnovni_podaci!D20,3,1)="s",MID(Osnovni_podaci!D20,8,1)=" "),VLOOKUP( T_ApifImport[[#This Row],[ld]], T_Aop[], 4, 0),A1)</f>
        <v>144</v>
      </c>
      <c r="D1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2" s="8">
        <v>111</v>
      </c>
      <c r="P112" s="228" t="s">
        <v>770</v>
      </c>
    </row>
    <row r="113" spans="2:16" x14ac:dyDescent="0.3">
      <c r="B113" s="44">
        <f>VLOOKUP( T_ApifImport[[#This Row],[Bilans]], T_Bilansi[], 4, 0)</f>
        <v>26</v>
      </c>
      <c r="C113" s="227">
        <f>IF(AND([0]!Godina=2026,MID(Osnovni_podaci!D20,3,1)="s",Osnovni_podaci!L24=6,Osnovni_podaci!G24=0,MID(Osnovni_podaci!D20,3,1)="s",MID(Osnovni_podaci!D20,8,1)=" "),VLOOKUP( T_ApifImport[[#This Row],[ld]], T_Aop[], 4, 0),A1)</f>
        <v>145</v>
      </c>
      <c r="D1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3" s="8">
        <v>112</v>
      </c>
      <c r="P113" s="228" t="s">
        <v>770</v>
      </c>
    </row>
    <row r="114" spans="2:16" x14ac:dyDescent="0.3">
      <c r="B114" s="44">
        <f>VLOOKUP( T_ApifImport[[#This Row],[Bilans]], T_Bilansi[], 4, 0)</f>
        <v>26</v>
      </c>
      <c r="C114" s="227">
        <f>IF(AND([0]!Godina=2026,MID(Osnovni_podaci!D20,3,1)="s",Osnovni_podaci!L24=6,Osnovni_podaci!G24=0,MID(Osnovni_podaci!D20,3,1)="s",MID(Osnovni_podaci!D20,8,1)=" "),VLOOKUP( T_ApifImport[[#This Row],[ld]], T_Aop[], 4, 0),A1)</f>
        <v>146</v>
      </c>
      <c r="D1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4" s="8">
        <v>113</v>
      </c>
      <c r="P114" s="228" t="s">
        <v>770</v>
      </c>
    </row>
    <row r="115" spans="2:16" x14ac:dyDescent="0.3">
      <c r="B115" s="44">
        <f>VLOOKUP( T_ApifImport[[#This Row],[Bilans]], T_Bilansi[], 4, 0)</f>
        <v>26</v>
      </c>
      <c r="C115" s="227">
        <f>IF(AND([0]!Godina=2026,MID(Osnovni_podaci!D20,3,1)="s",Osnovni_podaci!L24=6,Osnovni_podaci!G24=0,MID(Osnovni_podaci!D20,3,1)="s",MID(Osnovni_podaci!D20,8,1)=" "),VLOOKUP( T_ApifImport[[#This Row],[ld]], T_Aop[], 4, 0),A1)</f>
        <v>147</v>
      </c>
      <c r="D1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12</v>
      </c>
      <c r="E1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5704564</v>
      </c>
      <c r="F1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4132304</v>
      </c>
      <c r="G1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5" s="8">
        <v>114</v>
      </c>
      <c r="P115" s="228" t="s">
        <v>770</v>
      </c>
    </row>
    <row r="116" spans="2:16" x14ac:dyDescent="0.3">
      <c r="B116" s="44">
        <f>VLOOKUP( T_ApifImport[[#This Row],[Bilans]], T_Bilansi[], 4, 0)</f>
        <v>26</v>
      </c>
      <c r="C116" s="227">
        <f>IF(AND([0]!Godina=2026,MID(Osnovni_podaci!D20,3,1)="s",Osnovni_podaci!L24=6,Osnovni_podaci!G24=0,MID(Osnovni_podaci!D20,3,1)="s",MID(Osnovni_podaci!D20,8,1)=" "),VLOOKUP( T_ApifImport[[#This Row],[ld]], T_Aop[], 4, 0),A1)</f>
        <v>148</v>
      </c>
      <c r="D1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2726479</v>
      </c>
      <c r="F1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1776395</v>
      </c>
      <c r="G1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6" s="8">
        <v>115</v>
      </c>
      <c r="P116" s="228" t="s">
        <v>770</v>
      </c>
    </row>
    <row r="117" spans="2:16" x14ac:dyDescent="0.3">
      <c r="B117" s="44">
        <f>VLOOKUP( T_ApifImport[[#This Row],[Bilans]], T_Bilansi[], 4, 0)</f>
        <v>26</v>
      </c>
      <c r="C117" s="227">
        <f>IF(AND([0]!Godina=2026,MID(Osnovni_podaci!D20,3,1)="s",Osnovni_podaci!L24=6,Osnovni_podaci!G24=0,MID(Osnovni_podaci!D20,3,1)="s",MID(Osnovni_podaci!D20,8,1)=" "),VLOOKUP( T_ApifImport[[#This Row],[ld]], T_Aop[], 4, 0),A1)</f>
        <v>149</v>
      </c>
      <c r="D1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12</v>
      </c>
      <c r="E1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1526479</v>
      </c>
      <c r="F1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976395</v>
      </c>
      <c r="G1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7" s="8">
        <v>116</v>
      </c>
      <c r="P117" s="228" t="s">
        <v>770</v>
      </c>
    </row>
    <row r="118" spans="2:16" x14ac:dyDescent="0.3">
      <c r="B118" s="44">
        <f>VLOOKUP( T_ApifImport[[#This Row],[Bilans]], T_Bilansi[], 4, 0)</f>
        <v>26</v>
      </c>
      <c r="C118" s="227">
        <f>IF(AND([0]!Godina=2026,MID(Osnovni_podaci!D20,3,1)="s",Osnovni_podaci!L24=6,Osnovni_podaci!G24=0,MID(Osnovni_podaci!D20,3,1)="s",MID(Osnovni_podaci!D20,8,1)=" "),VLOOKUP( T_ApifImport[[#This Row],[ld]], T_Aop[], 4, 0),A1)</f>
        <v>150</v>
      </c>
      <c r="D1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8" s="8">
        <v>117</v>
      </c>
      <c r="P118" s="228" t="s">
        <v>770</v>
      </c>
    </row>
    <row r="119" spans="2:16" x14ac:dyDescent="0.3">
      <c r="B119" s="44">
        <f>VLOOKUP( T_ApifImport[[#This Row],[Bilans]], T_Bilansi[], 4, 0)</f>
        <v>26</v>
      </c>
      <c r="C119" s="227">
        <f>IF(AND([0]!Godina=2026,MID(Osnovni_podaci!D20,3,1)="s",Osnovni_podaci!L24=6,Osnovni_podaci!G24=0,MID(Osnovni_podaci!D20,3,1)="s",MID(Osnovni_podaci!D20,8,1)=" "),VLOOKUP( T_ApifImport[[#This Row],[ld]], T_Aop[], 4, 0),A1)</f>
        <v>151</v>
      </c>
      <c r="D1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9" s="8">
        <v>118</v>
      </c>
      <c r="P119" s="228" t="s">
        <v>770</v>
      </c>
    </row>
    <row r="120" spans="2:16" x14ac:dyDescent="0.3">
      <c r="B120" s="44">
        <f>VLOOKUP( T_ApifImport[[#This Row],[Bilans]], T_Bilansi[], 4, 0)</f>
        <v>26</v>
      </c>
      <c r="C120" s="227">
        <f>IF(AND([0]!Godina=2026,MID(Osnovni_podaci!D20,3,1)="s",Osnovni_podaci!L24=6,Osnovni_podaci!G24=0,MID(Osnovni_podaci!D20,3,1)="s",MID(Osnovni_podaci!D20,8,1)=" "),VLOOKUP( T_ApifImport[[#This Row],[ld]], T_Aop[], 4, 0),A1)</f>
        <v>152</v>
      </c>
      <c r="D1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0" s="8">
        <v>119</v>
      </c>
      <c r="P120" s="228" t="s">
        <v>770</v>
      </c>
    </row>
    <row r="121" spans="2:16" x14ac:dyDescent="0.3">
      <c r="B121" s="44">
        <f>VLOOKUP( T_ApifImport[[#This Row],[Bilans]], T_Bilansi[], 4, 0)</f>
        <v>26</v>
      </c>
      <c r="C121" s="227">
        <f>IF(AND([0]!Godina=2026,MID(Osnovni_podaci!D20,3,1)="s",Osnovni_podaci!L24=6,Osnovni_podaci!G24=0,MID(Osnovni_podaci!D20,3,1)="s",MID(Osnovni_podaci!D20,8,1)=" "),VLOOKUP( T_ApifImport[[#This Row],[ld]], T_Aop[], 4, 0),A1)</f>
        <v>153</v>
      </c>
      <c r="D1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1" s="8">
        <v>120</v>
      </c>
      <c r="P121" s="228" t="s">
        <v>770</v>
      </c>
    </row>
    <row r="122" spans="2:16" x14ac:dyDescent="0.3">
      <c r="B122" s="44">
        <f>VLOOKUP( T_ApifImport[[#This Row],[Bilans]], T_Bilansi[], 4, 0)</f>
        <v>26</v>
      </c>
      <c r="C122" s="227">
        <f>IF(AND([0]!Godina=2026,MID(Osnovni_podaci!D20,3,1)="s",Osnovni_podaci!L24=6,Osnovni_podaci!G24=0,MID(Osnovni_podaci!D20,3,1)="s",MID(Osnovni_podaci!D20,8,1)=" "),VLOOKUP( T_ApifImport[[#This Row],[ld]], T_Aop[], 4, 0),A1)</f>
        <v>154</v>
      </c>
      <c r="D1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12</v>
      </c>
      <c r="E1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1200000</v>
      </c>
      <c r="F1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800000</v>
      </c>
      <c r="G1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2" s="8">
        <v>121</v>
      </c>
      <c r="P122" s="228" t="s">
        <v>770</v>
      </c>
    </row>
    <row r="123" spans="2:16" x14ac:dyDescent="0.3">
      <c r="B123" s="44">
        <f>VLOOKUP( T_ApifImport[[#This Row],[Bilans]], T_Bilansi[], 4, 0)</f>
        <v>26</v>
      </c>
      <c r="C123" s="227">
        <f>IF(AND([0]!Godina=2026,MID(Osnovni_podaci!D20,3,1)="s",Osnovni_podaci!L24=6,Osnovni_podaci!G24=0,MID(Osnovni_podaci!D20,3,1)="s",MID(Osnovni_podaci!D20,8,1)=" "),VLOOKUP( T_ApifImport[[#This Row],[ld]], T_Aop[], 4, 0),A1)</f>
        <v>155</v>
      </c>
      <c r="D1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2060651</v>
      </c>
      <c r="F1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1674722</v>
      </c>
      <c r="G1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3" s="8">
        <v>122</v>
      </c>
      <c r="P123" s="228" t="s">
        <v>770</v>
      </c>
    </row>
    <row r="124" spans="2:16" x14ac:dyDescent="0.3">
      <c r="B124" s="44">
        <f>VLOOKUP( T_ApifImport[[#This Row],[Bilans]], T_Bilansi[], 4, 0)</f>
        <v>26</v>
      </c>
      <c r="C124" s="227">
        <f>IF(AND([0]!Godina=2026,MID(Osnovni_podaci!D20,3,1)="s",Osnovni_podaci!L24=6,Osnovni_podaci!G24=0,MID(Osnovni_podaci!D20,3,1)="s",MID(Osnovni_podaci!D20,8,1)=" "),VLOOKUP( T_ApifImport[[#This Row],[ld]], T_Aop[], 4, 0),A1)</f>
        <v>156</v>
      </c>
      <c r="D1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130703</v>
      </c>
      <c r="F1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148766</v>
      </c>
      <c r="G1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4" s="8">
        <v>123</v>
      </c>
      <c r="P124" s="228" t="s">
        <v>770</v>
      </c>
    </row>
    <row r="125" spans="2:16" x14ac:dyDescent="0.3">
      <c r="B125" s="44">
        <f>VLOOKUP( T_ApifImport[[#This Row],[Bilans]], T_Bilansi[], 4, 0)</f>
        <v>26</v>
      </c>
      <c r="C125" s="227">
        <f>IF(AND([0]!Godina=2026,MID(Osnovni_podaci!D20,3,1)="s",Osnovni_podaci!L24=6,Osnovni_podaci!G24=0,MID(Osnovni_podaci!D20,3,1)="s",MID(Osnovni_podaci!D20,8,1)=" "),VLOOKUP( T_ApifImport[[#This Row],[ld]], T_Aop[], 4, 0),A1)</f>
        <v>157</v>
      </c>
      <c r="D1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906669</v>
      </c>
      <c r="F1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572248</v>
      </c>
      <c r="G1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5" s="8">
        <v>124</v>
      </c>
      <c r="P125" s="228" t="s">
        <v>770</v>
      </c>
    </row>
    <row r="126" spans="2:16" x14ac:dyDescent="0.3">
      <c r="B126" s="44">
        <f>VLOOKUP( T_ApifImport[[#This Row],[Bilans]], T_Bilansi[], 4, 0)</f>
        <v>26</v>
      </c>
      <c r="C126" s="227">
        <f>IF(AND([0]!Godina=2026,MID(Osnovni_podaci!D20,3,1)="s",Osnovni_podaci!L24=6,Osnovni_podaci!G24=0,MID(Osnovni_podaci!D20,3,1)="s",MID(Osnovni_podaci!D20,8,1)=" "),VLOOKUP( T_ApifImport[[#This Row],[ld]], T_Aop[], 4, 0),A1)</f>
        <v>158</v>
      </c>
      <c r="D1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13</v>
      </c>
      <c r="E1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1023279</v>
      </c>
      <c r="F1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953708</v>
      </c>
      <c r="G1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6" s="8">
        <v>125</v>
      </c>
      <c r="P126" s="228" t="s">
        <v>770</v>
      </c>
    </row>
    <row r="127" spans="2:16" x14ac:dyDescent="0.3">
      <c r="B127" s="44">
        <f>VLOOKUP( T_ApifImport[[#This Row],[Bilans]], T_Bilansi[], 4, 0)</f>
        <v>26</v>
      </c>
      <c r="C127" s="227">
        <f>IF(AND([0]!Godina=2026,MID(Osnovni_podaci!D20,3,1)="s",Osnovni_podaci!L24=6,Osnovni_podaci!G24=0,MID(Osnovni_podaci!D20,3,1)="s",MID(Osnovni_podaci!D20,8,1)=" "),VLOOKUP( T_ApifImport[[#This Row],[ld]], T_Aop[], 4, 0),A1)</f>
        <v>159</v>
      </c>
      <c r="D1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7" s="8">
        <v>126</v>
      </c>
      <c r="P127" s="228" t="s">
        <v>770</v>
      </c>
    </row>
    <row r="128" spans="2:16" x14ac:dyDescent="0.3">
      <c r="B128" s="44">
        <f>VLOOKUP( T_ApifImport[[#This Row],[Bilans]], T_Bilansi[], 4, 0)</f>
        <v>26</v>
      </c>
      <c r="C128" s="227">
        <f>IF(AND([0]!Godina=2026,MID(Osnovni_podaci!D20,3,1)="s",Osnovni_podaci!L24=6,Osnovni_podaci!G24=0,MID(Osnovni_podaci!D20,3,1)="s",MID(Osnovni_podaci!D20,8,1)=" "),VLOOKUP( T_ApifImport[[#This Row],[ld]], T_Aop[], 4, 0),A1)</f>
        <v>160</v>
      </c>
      <c r="D1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8" s="8">
        <v>127</v>
      </c>
      <c r="P128" s="228" t="s">
        <v>770</v>
      </c>
    </row>
    <row r="129" spans="2:16" x14ac:dyDescent="0.3">
      <c r="B129" s="44">
        <f>VLOOKUP( T_ApifImport[[#This Row],[Bilans]], T_Bilansi[], 4, 0)</f>
        <v>26</v>
      </c>
      <c r="C129" s="227">
        <f>IF(AND([0]!Godina=2026,MID(Osnovni_podaci!D20,3,1)="s",Osnovni_podaci!L24=6,Osnovni_podaci!G24=0,MID(Osnovni_podaci!D20,3,1)="s",MID(Osnovni_podaci!D20,8,1)=" "),VLOOKUP( T_ApifImport[[#This Row],[ld]], T_Aop[], 4, 0),A1)</f>
        <v>161</v>
      </c>
      <c r="D1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9" s="8">
        <v>128</v>
      </c>
      <c r="P129" s="228" t="s">
        <v>770</v>
      </c>
    </row>
    <row r="130" spans="2:16" x14ac:dyDescent="0.3">
      <c r="B130" s="44">
        <f>VLOOKUP( T_ApifImport[[#This Row],[Bilans]], T_Bilansi[], 4, 0)</f>
        <v>26</v>
      </c>
      <c r="C130" s="227">
        <f>IF(AND([0]!Godina=2026,MID(Osnovni_podaci!D20,3,1)="s",Osnovni_podaci!L24=6,Osnovni_podaci!G24=0,MID(Osnovni_podaci!D20,3,1)="s",MID(Osnovni_podaci!D20,8,1)=" "),VLOOKUP( T_ApifImport[[#This Row],[ld]], T_Aop[], 4, 0),A1)</f>
        <v>162</v>
      </c>
      <c r="D1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421932</v>
      </c>
      <c r="F1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436733</v>
      </c>
      <c r="G1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0" s="8">
        <v>129</v>
      </c>
      <c r="P130" s="228" t="s">
        <v>770</v>
      </c>
    </row>
    <row r="131" spans="2:16" x14ac:dyDescent="0.3">
      <c r="B131" s="44">
        <f>VLOOKUP( T_ApifImport[[#This Row],[Bilans]], T_Bilansi[], 4, 0)</f>
        <v>26</v>
      </c>
      <c r="C131" s="227">
        <f>IF(AND([0]!Godina=2026,MID(Osnovni_podaci!D20,3,1)="s",Osnovni_podaci!L24=6,Osnovni_podaci!G24=0,MID(Osnovni_podaci!D20,3,1)="s",MID(Osnovni_podaci!D20,8,1)=" "),VLOOKUP( T_ApifImport[[#This Row],[ld]], T_Aop[], 4, 0),A1)</f>
        <v>163</v>
      </c>
      <c r="D1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92562</v>
      </c>
      <c r="F1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95792</v>
      </c>
      <c r="G1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1" s="8">
        <v>130</v>
      </c>
      <c r="P131" s="228" t="s">
        <v>770</v>
      </c>
    </row>
    <row r="132" spans="2:16" x14ac:dyDescent="0.3">
      <c r="B132" s="44">
        <f>VLOOKUP( T_ApifImport[[#This Row],[Bilans]], T_Bilansi[], 4, 0)</f>
        <v>26</v>
      </c>
      <c r="C132" s="227">
        <f>IF(AND([0]!Godina=2026,MID(Osnovni_podaci!D20,3,1)="s",Osnovni_podaci!L24=6,Osnovni_podaci!G24=0,MID(Osnovni_podaci!D20,3,1)="s",MID(Osnovni_podaci!D20,8,1)=" "),VLOOKUP( T_ApifImport[[#This Row],[ld]], T_Aop[], 4, 0),A1)</f>
        <v>164</v>
      </c>
      <c r="D1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183805</v>
      </c>
      <c r="F1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2" s="8">
        <v>131</v>
      </c>
      <c r="P132" s="228" t="s">
        <v>770</v>
      </c>
    </row>
    <row r="133" spans="2:16" x14ac:dyDescent="0.3">
      <c r="B133" s="44">
        <f>VLOOKUP( T_ApifImport[[#This Row],[Bilans]], T_Bilansi[], 4, 0)</f>
        <v>26</v>
      </c>
      <c r="C133" s="227">
        <f>IF(AND([0]!Godina=2026,MID(Osnovni_podaci!D20,3,1)="s",Osnovni_podaci!L24=6,Osnovni_podaci!G24=0,MID(Osnovni_podaci!D20,3,1)="s",MID(Osnovni_podaci!D20,8,1)=" "),VLOOKUP( T_ApifImport[[#This Row],[ld]], T_Aop[], 4, 0),A1)</f>
        <v>165</v>
      </c>
      <c r="D1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13628</v>
      </c>
      <c r="F1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11662</v>
      </c>
      <c r="G1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3" s="8">
        <v>132</v>
      </c>
      <c r="P133" s="228" t="s">
        <v>770</v>
      </c>
    </row>
    <row r="134" spans="2:16" x14ac:dyDescent="0.3">
      <c r="B134" s="44">
        <f>VLOOKUP( T_ApifImport[[#This Row],[Bilans]], T_Bilansi[], 4, 0)</f>
        <v>26</v>
      </c>
      <c r="C134" s="227">
        <f>IF(AND([0]!Godina=2026,MID(Osnovni_podaci!D20,3,1)="s",Osnovni_podaci!L24=6,Osnovni_podaci!G24=0,MID(Osnovni_podaci!D20,3,1)="s",MID(Osnovni_podaci!D20,8,1)=" "),VLOOKUP( T_ApifImport[[#This Row],[ld]], T_Aop[], 4, 0),A1)</f>
        <v>166</v>
      </c>
      <c r="D1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78694</v>
      </c>
      <c r="F1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4" s="8">
        <v>133</v>
      </c>
      <c r="P134" s="228" t="s">
        <v>770</v>
      </c>
    </row>
    <row r="135" spans="2:16" x14ac:dyDescent="0.3">
      <c r="B135" s="44">
        <f>VLOOKUP( T_ApifImport[[#This Row],[Bilans]], T_Bilansi[], 4, 0)</f>
        <v>26</v>
      </c>
      <c r="C135" s="227">
        <f>IF(AND([0]!Godina=2026,MID(Osnovni_podaci!D20,3,1)="s",Osnovni_podaci!L24=6,Osnovni_podaci!G24=0,MID(Osnovni_podaci!D20,3,1)="s",MID(Osnovni_podaci!D20,8,1)=" "),VLOOKUP( T_ApifImport[[#This Row],[ld]], T_Aop[], 4, 0),A1)</f>
        <v>167</v>
      </c>
      <c r="D1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126813</v>
      </c>
      <c r="F1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137000</v>
      </c>
      <c r="G1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5" s="8">
        <v>134</v>
      </c>
      <c r="P135" s="228" t="s">
        <v>770</v>
      </c>
    </row>
    <row r="136" spans="2:16" x14ac:dyDescent="0.3">
      <c r="B136" s="44">
        <f>VLOOKUP( T_ApifImport[[#This Row],[Bilans]], T_Bilansi[], 4, 0)</f>
        <v>26</v>
      </c>
      <c r="C136" s="227">
        <f>IF(AND([0]!Godina=2026,MID(Osnovni_podaci!D20,3,1)="s",Osnovni_podaci!L24=6,Osnovni_podaci!G24=0,MID(Osnovni_podaci!D20,3,1)="s",MID(Osnovni_podaci!D20,8,1)=" "),VLOOKUP( T_ApifImport[[#This Row],[ld]], T_Aop[], 4, 0),A1)</f>
        <v>168</v>
      </c>
      <c r="D1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6" s="8">
        <v>135</v>
      </c>
      <c r="P136" s="228" t="s">
        <v>770</v>
      </c>
    </row>
    <row r="137" spans="2:16" x14ac:dyDescent="0.3">
      <c r="B137" s="44">
        <f>VLOOKUP( T_ApifImport[[#This Row],[Bilans]], T_Bilansi[], 4, 0)</f>
        <v>26</v>
      </c>
      <c r="C137" s="227">
        <f>IF(AND([0]!Godina=2026,MID(Osnovni_podaci!D20,3,1)="s",Osnovni_podaci!L24=6,Osnovni_podaci!G24=0,MID(Osnovni_podaci!D20,3,1)="s",MID(Osnovni_podaci!D20,8,1)=" "),VLOOKUP( T_ApifImport[[#This Row],[ld]], T_Aop[], 4, 0),A1)</f>
        <v>169</v>
      </c>
      <c r="D1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27923165</v>
      </c>
      <c r="F1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25282992</v>
      </c>
      <c r="G1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7" s="8">
        <v>137</v>
      </c>
      <c r="P137" s="228" t="s">
        <v>770</v>
      </c>
    </row>
    <row r="138" spans="2:16" x14ac:dyDescent="0.3">
      <c r="B138" s="506">
        <f>VLOOKUP( T_ApifImport[[#This Row],[Bilans]], T_Bilansi[], 4, 0)</f>
        <v>26</v>
      </c>
      <c r="C138" s="260">
        <f>IF(AND([0]!Godina=2026,MID(Osnovni_podaci!D20,3,1)="s",Osnovni_podaci!L24=6,Osnovni_podaci!G24=0,MID(Osnovni_podaci!D20,3,1)="s",MID(Osnovni_podaci!D20,8,1)=" "),VLOOKUP( T_ApifImport[[#This Row],[ld]], T_Aop[], 4, 0),A1)</f>
        <v>170</v>
      </c>
      <c r="D1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8" s="261"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8" s="261">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8" s="261"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8" s="261"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8" s="261"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8" s="259">
        <v>138</v>
      </c>
      <c r="P138" s="261" t="s">
        <v>770</v>
      </c>
    </row>
    <row r="139" spans="2:16" x14ac:dyDescent="0.3">
      <c r="B139" s="44">
        <f>VLOOKUP( T_ApifImport[[#This Row],[Bilans]], T_Bilansi[], 4, 0)</f>
        <v>27</v>
      </c>
      <c r="C139" s="227">
        <f>IF(AND([0]!Godina=2026,MID(Osnovni_podaci!D20,3,1)="s",Osnovni_podaci!L24=6,Osnovni_podaci!G24=0,MID(Osnovni_podaci!D20,3,1)="s",MID(Osnovni_podaci!D20,8,1)=" "),VLOOKUP( T_ApifImport[[#This Row],[ld]], T_Aop[], 4, 0),A1)</f>
        <v>201</v>
      </c>
      <c r="D1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14</v>
      </c>
      <c r="E1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9857362</v>
      </c>
      <c r="F1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8392299</v>
      </c>
      <c r="G1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9" s="8">
        <v>139</v>
      </c>
      <c r="P139" s="228" t="s">
        <v>255</v>
      </c>
    </row>
    <row r="140" spans="2:16" x14ac:dyDescent="0.3">
      <c r="B140" s="44">
        <f>VLOOKUP( T_ApifImport[[#This Row],[Bilans]], T_Bilansi[], 4, 0)</f>
        <v>27</v>
      </c>
      <c r="C140" s="227">
        <f>IF(AND([0]!Godina=2026,MID(Osnovni_podaci!D20,3,1)="s",Osnovni_podaci!L24=6,Osnovni_podaci!G24=0,MID(Osnovni_podaci!D20,3,1)="s",MID(Osnovni_podaci!D20,8,1)=" "),VLOOKUP( T_ApifImport[[#This Row],[ld]], T_Aop[], 4, 0),A1)</f>
        <v>202</v>
      </c>
      <c r="D1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114212</v>
      </c>
      <c r="F1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144724</v>
      </c>
      <c r="G1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0" s="8">
        <v>140</v>
      </c>
      <c r="P140" s="228" t="s">
        <v>255</v>
      </c>
    </row>
    <row r="141" spans="2:16" x14ac:dyDescent="0.3">
      <c r="B141" s="44">
        <f>VLOOKUP( T_ApifImport[[#This Row],[Bilans]], T_Bilansi[], 4, 0)</f>
        <v>27</v>
      </c>
      <c r="C141" s="227">
        <f>IF(AND([0]!Godina=2026,MID(Osnovni_podaci!D20,3,1)="s",Osnovni_podaci!L24=6,Osnovni_podaci!G24=0,MID(Osnovni_podaci!D20,3,1)="s",MID(Osnovni_podaci!D20,8,1)=" "),VLOOKUP( T_ApifImport[[#This Row],[ld]], T_Aop[], 4, 0),A1)</f>
        <v>203</v>
      </c>
      <c r="D1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15000</v>
      </c>
      <c r="G1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1" s="8">
        <v>141</v>
      </c>
      <c r="P141" s="228" t="s">
        <v>255</v>
      </c>
    </row>
    <row r="142" spans="2:16" x14ac:dyDescent="0.3">
      <c r="B142" s="44">
        <f>VLOOKUP( T_ApifImport[[#This Row],[Bilans]], T_Bilansi[], 4, 0)</f>
        <v>27</v>
      </c>
      <c r="C142" s="227">
        <f>IF(AND([0]!Godina=2026,MID(Osnovni_podaci!D20,3,1)="s",Osnovni_podaci!L24=6,Osnovni_podaci!G24=0,MID(Osnovni_podaci!D20,3,1)="s",MID(Osnovni_podaci!D20,8,1)=" "),VLOOKUP( T_ApifImport[[#This Row],[ld]], T_Aop[], 4, 0),A1)</f>
        <v>204</v>
      </c>
      <c r="D1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114212</v>
      </c>
      <c r="F1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129724</v>
      </c>
      <c r="G1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2" s="8">
        <v>142</v>
      </c>
      <c r="P142" s="228" t="s">
        <v>255</v>
      </c>
    </row>
    <row r="143" spans="2:16" x14ac:dyDescent="0.3">
      <c r="B143" s="44">
        <f>VLOOKUP( T_ApifImport[[#This Row],[Bilans]], T_Bilansi[], 4, 0)</f>
        <v>27</v>
      </c>
      <c r="C143" s="227">
        <f>IF(AND([0]!Godina=2026,MID(Osnovni_podaci!D20,3,1)="s",Osnovni_podaci!L24=6,Osnovni_podaci!G24=0,MID(Osnovni_podaci!D20,3,1)="s",MID(Osnovni_podaci!D20,8,1)=" "),VLOOKUP( T_ApifImport[[#This Row],[ld]], T_Aop[], 4, 0),A1)</f>
        <v>205</v>
      </c>
      <c r="D1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3" s="8">
        <v>143</v>
      </c>
      <c r="P143" s="228" t="s">
        <v>255</v>
      </c>
    </row>
    <row r="144" spans="2:16" x14ac:dyDescent="0.3">
      <c r="B144" s="44">
        <f>VLOOKUP( T_ApifImport[[#This Row],[Bilans]], T_Bilansi[], 4, 0)</f>
        <v>27</v>
      </c>
      <c r="C144" s="227">
        <f>IF(AND([0]!Godina=2026,MID(Osnovni_podaci!D20,3,1)="s",Osnovni_podaci!L24=6,Osnovni_podaci!G24=0,MID(Osnovni_podaci!D20,3,1)="s",MID(Osnovni_podaci!D20,8,1)=" "),VLOOKUP( T_ApifImport[[#This Row],[ld]], T_Aop[], 4, 0),A1)</f>
        <v>206</v>
      </c>
      <c r="D1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4" s="8">
        <v>144</v>
      </c>
      <c r="P144" s="228" t="s">
        <v>255</v>
      </c>
    </row>
    <row r="145" spans="2:16" x14ac:dyDescent="0.3">
      <c r="B145" s="44">
        <f>VLOOKUP( T_ApifImport[[#This Row],[Bilans]], T_Bilansi[], 4, 0)</f>
        <v>27</v>
      </c>
      <c r="C145" s="227">
        <f>IF(AND([0]!Godina=2026,MID(Osnovni_podaci!D20,3,1)="s",Osnovni_podaci!L24=6,Osnovni_podaci!G24=0,MID(Osnovni_podaci!D20,3,1)="s",MID(Osnovni_podaci!D20,8,1)=" "),VLOOKUP( T_ApifImport[[#This Row],[ld]], T_Aop[], 4, 0),A1)</f>
        <v>207</v>
      </c>
      <c r="D1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5" s="8">
        <v>145</v>
      </c>
      <c r="P145" s="228" t="s">
        <v>255</v>
      </c>
    </row>
    <row r="146" spans="2:16" x14ac:dyDescent="0.3">
      <c r="B146" s="44">
        <f>VLOOKUP( T_ApifImport[[#This Row],[Bilans]], T_Bilansi[], 4, 0)</f>
        <v>27</v>
      </c>
      <c r="C146" s="227">
        <f>IF(AND([0]!Godina=2026,MID(Osnovni_podaci!D20,3,1)="s",Osnovni_podaci!L24=6,Osnovni_podaci!G24=0,MID(Osnovni_podaci!D20,3,1)="s",MID(Osnovni_podaci!D20,8,1)=" "),VLOOKUP( T_ApifImport[[#This Row],[ld]], T_Aop[], 4, 0),A1)</f>
        <v>208</v>
      </c>
      <c r="D1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6" s="8">
        <v>146</v>
      </c>
      <c r="P146" s="228" t="s">
        <v>255</v>
      </c>
    </row>
    <row r="147" spans="2:16" x14ac:dyDescent="0.3">
      <c r="B147" s="44">
        <f>VLOOKUP( T_ApifImport[[#This Row],[Bilans]], T_Bilansi[], 4, 0)</f>
        <v>27</v>
      </c>
      <c r="C147" s="227">
        <f>IF(AND([0]!Godina=2026,MID(Osnovni_podaci!D20,3,1)="s",Osnovni_podaci!L24=6,Osnovni_podaci!G24=0,MID(Osnovni_podaci!D20,3,1)="s",MID(Osnovni_podaci!D20,8,1)=" "),VLOOKUP( T_ApifImport[[#This Row],[ld]], T_Aop[], 4, 0),A1)</f>
        <v>209</v>
      </c>
      <c r="D1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7" s="8">
        <v>147</v>
      </c>
      <c r="P147" s="228" t="s">
        <v>255</v>
      </c>
    </row>
    <row r="148" spans="2:16" x14ac:dyDescent="0.3">
      <c r="B148" s="44">
        <f>VLOOKUP( T_ApifImport[[#This Row],[Bilans]], T_Bilansi[], 4, 0)</f>
        <v>27</v>
      </c>
      <c r="C148" s="227">
        <f>IF(AND([0]!Godina=2026,MID(Osnovni_podaci!D20,3,1)="s",Osnovni_podaci!L24=6,Osnovni_podaci!G24=0,MID(Osnovni_podaci!D20,3,1)="s",MID(Osnovni_podaci!D20,8,1)=" "),VLOOKUP( T_ApifImport[[#This Row],[ld]], T_Aop[], 4, 0),A1)</f>
        <v>210</v>
      </c>
      <c r="D1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9672221</v>
      </c>
      <c r="F1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8175657</v>
      </c>
      <c r="G1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8" s="8">
        <v>148</v>
      </c>
      <c r="P148" s="228" t="s">
        <v>255</v>
      </c>
    </row>
    <row r="149" spans="2:16" x14ac:dyDescent="0.3">
      <c r="B149" s="44">
        <f>VLOOKUP( T_ApifImport[[#This Row],[Bilans]], T_Bilansi[], 4, 0)</f>
        <v>27</v>
      </c>
      <c r="C149" s="227">
        <f>IF(AND([0]!Godina=2026,MID(Osnovni_podaci!D20,3,1)="s",Osnovni_podaci!L24=6,Osnovni_podaci!G24=0,MID(Osnovni_podaci!D20,3,1)="s",MID(Osnovni_podaci!D20,8,1)=" "),VLOOKUP( T_ApifImport[[#This Row],[ld]], T_Aop[], 4, 0),A1)</f>
        <v>211</v>
      </c>
      <c r="D1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2344462</v>
      </c>
      <c r="F1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1641499</v>
      </c>
      <c r="G1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9" s="8">
        <v>149</v>
      </c>
      <c r="P149" s="228" t="s">
        <v>255</v>
      </c>
    </row>
    <row r="150" spans="2:16" x14ac:dyDescent="0.3">
      <c r="B150" s="44">
        <f>VLOOKUP( T_ApifImport[[#This Row],[Bilans]], T_Bilansi[], 4, 0)</f>
        <v>27</v>
      </c>
      <c r="C150" s="227">
        <f>IF(AND([0]!Godina=2026,MID(Osnovni_podaci!D20,3,1)="s",Osnovni_podaci!L24=6,Osnovni_podaci!G24=0,MID(Osnovni_podaci!D20,3,1)="s",MID(Osnovni_podaci!D20,8,1)=" "),VLOOKUP( T_ApifImport[[#This Row],[ld]], T_Aop[], 4, 0),A1)</f>
        <v>212</v>
      </c>
      <c r="D1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7327759</v>
      </c>
      <c r="F1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6534158</v>
      </c>
      <c r="G1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0" s="8">
        <v>150</v>
      </c>
      <c r="P150" s="228" t="s">
        <v>255</v>
      </c>
    </row>
    <row r="151" spans="2:16" x14ac:dyDescent="0.3">
      <c r="B151" s="44">
        <f>VLOOKUP( T_ApifImport[[#This Row],[Bilans]], T_Bilansi[], 4, 0)</f>
        <v>27</v>
      </c>
      <c r="C151" s="227">
        <f>IF(AND([0]!Godina=2026,MID(Osnovni_podaci!D20,3,1)="s",Osnovni_podaci!L24=6,Osnovni_podaci!G24=0,MID(Osnovni_podaci!D20,3,1)="s",MID(Osnovni_podaci!D20,8,1)=" "),VLOOKUP( T_ApifImport[[#This Row],[ld]], T_Aop[], 4, 0),A1)</f>
        <v>213</v>
      </c>
      <c r="D1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1" s="8">
        <v>151</v>
      </c>
      <c r="P151" s="228" t="s">
        <v>255</v>
      </c>
    </row>
    <row r="152" spans="2:16" x14ac:dyDescent="0.3">
      <c r="B152" s="44">
        <f>VLOOKUP( T_ApifImport[[#This Row],[Bilans]], T_Bilansi[], 4, 0)</f>
        <v>27</v>
      </c>
      <c r="C152" s="227">
        <f>IF(AND([0]!Godina=2026,MID(Osnovni_podaci!D20,3,1)="s",Osnovni_podaci!L24=6,Osnovni_podaci!G24=0,MID(Osnovni_podaci!D20,3,1)="s",MID(Osnovni_podaci!D20,8,1)=" "),VLOOKUP( T_ApifImport[[#This Row],[ld]], T_Aop[], 4, 0),A1)</f>
        <v>214</v>
      </c>
      <c r="D1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2" s="8">
        <v>152</v>
      </c>
      <c r="P152" s="228" t="s">
        <v>255</v>
      </c>
    </row>
    <row r="153" spans="2:16" x14ac:dyDescent="0.3">
      <c r="B153" s="44">
        <f>VLOOKUP( T_ApifImport[[#This Row],[Bilans]], T_Bilansi[], 4, 0)</f>
        <v>27</v>
      </c>
      <c r="C153" s="227">
        <f>IF(AND([0]!Godina=2026,MID(Osnovni_podaci!D20,3,1)="s",Osnovni_podaci!L24=6,Osnovni_podaci!G24=0,MID(Osnovni_podaci!D20,3,1)="s",MID(Osnovni_podaci!D20,8,1)=" "),VLOOKUP( T_ApifImport[[#This Row],[ld]], T_Aop[], 4, 0),A1)</f>
        <v>215</v>
      </c>
      <c r="D1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3" s="8">
        <v>153</v>
      </c>
      <c r="P153" s="228" t="s">
        <v>255</v>
      </c>
    </row>
    <row r="154" spans="2:16" x14ac:dyDescent="0.3">
      <c r="B154" s="44">
        <f>VLOOKUP( T_ApifImport[[#This Row],[Bilans]], T_Bilansi[], 4, 0)</f>
        <v>27</v>
      </c>
      <c r="C154" s="227">
        <f>IF(AND([0]!Godina=2026,MID(Osnovni_podaci!D20,3,1)="s",Osnovni_podaci!L24=6,Osnovni_podaci!G24=0,MID(Osnovni_podaci!D20,3,1)="s",MID(Osnovni_podaci!D20,8,1)=" "),VLOOKUP( T_ApifImport[[#This Row],[ld]], T_Aop[], 4, 0),A1)</f>
        <v>216</v>
      </c>
      <c r="D1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4" s="8">
        <v>154</v>
      </c>
      <c r="P154" s="228" t="s">
        <v>255</v>
      </c>
    </row>
    <row r="155" spans="2:16" x14ac:dyDescent="0.3">
      <c r="B155" s="44">
        <f>VLOOKUP( T_ApifImport[[#This Row],[Bilans]], T_Bilansi[], 4, 0)</f>
        <v>27</v>
      </c>
      <c r="C155" s="227">
        <f>IF(AND([0]!Godina=2026,MID(Osnovni_podaci!D20,3,1)="s",Osnovni_podaci!L24=6,Osnovni_podaci!G24=0,MID(Osnovni_podaci!D20,3,1)="s",MID(Osnovni_podaci!D20,8,1)=" "),VLOOKUP( T_ApifImport[[#This Row],[ld]], T_Aop[], 4, 0),A1)</f>
        <v>217</v>
      </c>
      <c r="D1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5" s="8">
        <v>155</v>
      </c>
      <c r="P155" s="228" t="s">
        <v>255</v>
      </c>
    </row>
    <row r="156" spans="2:16" x14ac:dyDescent="0.3">
      <c r="B156" s="44">
        <f>VLOOKUP( T_ApifImport[[#This Row],[Bilans]], T_Bilansi[], 4, 0)</f>
        <v>27</v>
      </c>
      <c r="C156" s="227">
        <f>IF(AND([0]!Godina=2026,MID(Osnovni_podaci!D20,3,1)="s",Osnovni_podaci!L24=6,Osnovni_podaci!G24=0,MID(Osnovni_podaci!D20,3,1)="s",MID(Osnovni_podaci!D20,8,1)=" "),VLOOKUP( T_ApifImport[[#This Row],[ld]], T_Aop[], 4, 0),A1)</f>
        <v>218</v>
      </c>
      <c r="D1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15</v>
      </c>
      <c r="E1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70929</v>
      </c>
      <c r="F1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71918</v>
      </c>
      <c r="G1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6" s="8">
        <v>156</v>
      </c>
      <c r="P156" s="228" t="s">
        <v>255</v>
      </c>
    </row>
    <row r="157" spans="2:16" x14ac:dyDescent="0.3">
      <c r="B157" s="44">
        <f>VLOOKUP( T_ApifImport[[#This Row],[Bilans]], T_Bilansi[], 4, 0)</f>
        <v>27</v>
      </c>
      <c r="C157" s="227">
        <f>IF(AND([0]!Godina=2026,MID(Osnovni_podaci!D20,3,1)="s",Osnovni_podaci!L24=6,Osnovni_podaci!G24=0,MID(Osnovni_podaci!D20,3,1)="s",MID(Osnovni_podaci!D20,8,1)=" "),VLOOKUP( T_ApifImport[[#This Row],[ld]], T_Aop[], 4, 0),A1)</f>
        <v>219</v>
      </c>
      <c r="D1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8004001</v>
      </c>
      <c r="F1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7453465</v>
      </c>
      <c r="G1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7" s="8">
        <v>157</v>
      </c>
      <c r="P157" s="228" t="s">
        <v>255</v>
      </c>
    </row>
    <row r="158" spans="2:16" x14ac:dyDescent="0.3">
      <c r="B158" s="44">
        <f>VLOOKUP( T_ApifImport[[#This Row],[Bilans]], T_Bilansi[], 4, 0)</f>
        <v>27</v>
      </c>
      <c r="C158" s="227">
        <f>IF(AND([0]!Godina=2026,MID(Osnovni_podaci!D20,3,1)="s",Osnovni_podaci!L24=6,Osnovni_podaci!G24=0,MID(Osnovni_podaci!D20,3,1)="s",MID(Osnovni_podaci!D20,8,1)=" "),VLOOKUP( T_ApifImport[[#This Row],[ld]], T_Aop[], 4, 0),A1)</f>
        <v>220</v>
      </c>
      <c r="D1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94338</v>
      </c>
      <c r="F1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107603</v>
      </c>
      <c r="G1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8" s="8">
        <v>158</v>
      </c>
      <c r="P158" s="228" t="s">
        <v>255</v>
      </c>
    </row>
    <row r="159" spans="2:16" x14ac:dyDescent="0.3">
      <c r="B159" s="44">
        <f>VLOOKUP( T_ApifImport[[#This Row],[Bilans]], T_Bilansi[], 4, 0)</f>
        <v>27</v>
      </c>
      <c r="C159" s="227">
        <f>IF(AND([0]!Godina=2026,MID(Osnovni_podaci!D20,3,1)="s",Osnovni_podaci!L24=6,Osnovni_podaci!G24=0,MID(Osnovni_podaci!D20,3,1)="s",MID(Osnovni_podaci!D20,8,1)=" "),VLOOKUP( T_ApifImport[[#This Row],[ld]], T_Aop[], 4, 0),A1)</f>
        <v>221</v>
      </c>
      <c r="D1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381884</v>
      </c>
      <c r="F1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393820</v>
      </c>
      <c r="G1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9" s="8">
        <v>159</v>
      </c>
      <c r="P159" s="228" t="s">
        <v>255</v>
      </c>
    </row>
    <row r="160" spans="2:16" x14ac:dyDescent="0.3">
      <c r="B160" s="44">
        <f>VLOOKUP( T_ApifImport[[#This Row],[Bilans]], T_Bilansi[], 4, 0)</f>
        <v>27</v>
      </c>
      <c r="C160" s="227">
        <f>IF(AND([0]!Godina=2026,MID(Osnovni_podaci!D20,3,1)="s",Osnovni_podaci!L24=6,Osnovni_podaci!G24=0,MID(Osnovni_podaci!D20,3,1)="s",MID(Osnovni_podaci!D20,8,1)=" "),VLOOKUP( T_ApifImport[[#This Row],[ld]], T_Aop[], 4, 0),A1)</f>
        <v>222</v>
      </c>
      <c r="D1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674443</v>
      </c>
      <c r="F1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545093</v>
      </c>
      <c r="G1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0" s="8">
        <v>160</v>
      </c>
      <c r="P160" s="228" t="s">
        <v>255</v>
      </c>
    </row>
    <row r="161" spans="2:16" x14ac:dyDescent="0.3">
      <c r="B161" s="44">
        <f>VLOOKUP( T_ApifImport[[#This Row],[Bilans]], T_Bilansi[], 4, 0)</f>
        <v>27</v>
      </c>
      <c r="C161" s="227">
        <f>IF(AND([0]!Godina=2026,MID(Osnovni_podaci!D20,3,1)="s",Osnovni_podaci!L24=6,Osnovni_podaci!G24=0,MID(Osnovni_podaci!D20,3,1)="s",MID(Osnovni_podaci!D20,8,1)=" "),VLOOKUP( T_ApifImport[[#This Row],[ld]], T_Aop[], 4, 0),A1)</f>
        <v>223</v>
      </c>
      <c r="D1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17</v>
      </c>
      <c r="E1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3170777</v>
      </c>
      <c r="F1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2961774</v>
      </c>
      <c r="G1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1" s="8">
        <v>161</v>
      </c>
      <c r="P161" s="228" t="s">
        <v>255</v>
      </c>
    </row>
    <row r="162" spans="2:16" x14ac:dyDescent="0.3">
      <c r="B162" s="44">
        <f>VLOOKUP( T_ApifImport[[#This Row],[Bilans]], T_Bilansi[], 4, 0)</f>
        <v>27</v>
      </c>
      <c r="C162" s="227">
        <f>IF(AND([0]!Godina=2026,MID(Osnovni_podaci!D20,3,1)="s",Osnovni_podaci!L24=6,Osnovni_podaci!G24=0,MID(Osnovni_podaci!D20,3,1)="s",MID(Osnovni_podaci!D20,8,1)=" "),VLOOKUP( T_ApifImport[[#This Row],[ld]], T_Aop[], 4, 0),A1)</f>
        <v>224</v>
      </c>
      <c r="D1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17</v>
      </c>
      <c r="E1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2707144</v>
      </c>
      <c r="F1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2536365</v>
      </c>
      <c r="G1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2" s="8">
        <v>162</v>
      </c>
      <c r="P162" s="228" t="s">
        <v>255</v>
      </c>
    </row>
    <row r="163" spans="2:16" x14ac:dyDescent="0.3">
      <c r="B163" s="44">
        <f>VLOOKUP( T_ApifImport[[#This Row],[Bilans]], T_Bilansi[], 4, 0)</f>
        <v>27</v>
      </c>
      <c r="C163" s="227">
        <f>IF(AND([0]!Godina=2026,MID(Osnovni_podaci!D20,3,1)="s",Osnovni_podaci!L24=6,Osnovni_podaci!G24=0,MID(Osnovni_podaci!D20,3,1)="s",MID(Osnovni_podaci!D20,8,1)=" "),VLOOKUP( T_ApifImport[[#This Row],[ld]], T_Aop[], 4, 0),A1)</f>
        <v>225</v>
      </c>
      <c r="D1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18</v>
      </c>
      <c r="E1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463633</v>
      </c>
      <c r="F1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425409</v>
      </c>
      <c r="G1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3" s="8">
        <v>163</v>
      </c>
      <c r="P163" s="228" t="s">
        <v>255</v>
      </c>
    </row>
    <row r="164" spans="2:16" x14ac:dyDescent="0.3">
      <c r="B164" s="44">
        <f>VLOOKUP( T_ApifImport[[#This Row],[Bilans]], T_Bilansi[], 4, 0)</f>
        <v>27</v>
      </c>
      <c r="C164" s="227">
        <f>IF(AND([0]!Godina=2026,MID(Osnovni_podaci!D20,3,1)="s",Osnovni_podaci!L24=6,Osnovni_podaci!G24=0,MID(Osnovni_podaci!D20,3,1)="s",MID(Osnovni_podaci!D20,8,1)=" "),VLOOKUP( T_ApifImport[[#This Row],[ld]], T_Aop[], 4, 0),A1)</f>
        <v>226</v>
      </c>
      <c r="D1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19</v>
      </c>
      <c r="E1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2606047</v>
      </c>
      <c r="F1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2495790</v>
      </c>
      <c r="G1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4" s="8">
        <v>164</v>
      </c>
      <c r="P164" s="228" t="s">
        <v>255</v>
      </c>
    </row>
    <row r="165" spans="2:16" x14ac:dyDescent="0.3">
      <c r="B165" s="44">
        <f>VLOOKUP( T_ApifImport[[#This Row],[Bilans]], T_Bilansi[], 4, 0)</f>
        <v>27</v>
      </c>
      <c r="C165" s="227">
        <f>IF(AND([0]!Godina=2026,MID(Osnovni_podaci!D20,3,1)="s",Osnovni_podaci!L24=6,Osnovni_podaci!G24=0,MID(Osnovni_podaci!D20,3,1)="s",MID(Osnovni_podaci!D20,8,1)=" "),VLOOKUP( T_ApifImport[[#This Row],[ld]], T_Aop[], 4, 0),A1)</f>
        <v>227</v>
      </c>
      <c r="D1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20</v>
      </c>
      <c r="E1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727250</v>
      </c>
      <c r="F1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619488</v>
      </c>
      <c r="G1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5" s="8">
        <v>165</v>
      </c>
      <c r="P165" s="228" t="s">
        <v>255</v>
      </c>
    </row>
    <row r="166" spans="2:16" x14ac:dyDescent="0.3">
      <c r="B166" s="44">
        <f>VLOOKUP( T_ApifImport[[#This Row],[Bilans]], T_Bilansi[], 4, 0)</f>
        <v>27</v>
      </c>
      <c r="C166" s="227">
        <f>IF(AND([0]!Godina=2026,MID(Osnovni_podaci!D20,3,1)="s",Osnovni_podaci!L24=6,Osnovni_podaci!G24=0,MID(Osnovni_podaci!D20,3,1)="s",MID(Osnovni_podaci!D20,8,1)=" "),VLOOKUP( T_ApifImport[[#This Row],[ld]], T_Aop[], 4, 0),A1)</f>
        <v>228</v>
      </c>
      <c r="D1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20</v>
      </c>
      <c r="E1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727250</v>
      </c>
      <c r="F1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619488</v>
      </c>
      <c r="G1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6" s="8">
        <v>166</v>
      </c>
      <c r="P166" s="228" t="s">
        <v>255</v>
      </c>
    </row>
    <row r="167" spans="2:16" x14ac:dyDescent="0.3">
      <c r="B167" s="44">
        <f>VLOOKUP( T_ApifImport[[#This Row],[Bilans]], T_Bilansi[], 4, 0)</f>
        <v>27</v>
      </c>
      <c r="C167" s="227">
        <f>IF(AND([0]!Godina=2026,MID(Osnovni_podaci!D20,3,1)="s",Osnovni_podaci!L24=6,Osnovni_podaci!G24=0,MID(Osnovni_podaci!D20,3,1)="s",MID(Osnovni_podaci!D20,8,1)=" "),VLOOKUP( T_ApifImport[[#This Row],[ld]], T_Aop[], 4, 0),A1)</f>
        <v>229</v>
      </c>
      <c r="D1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727250</v>
      </c>
      <c r="F1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619488</v>
      </c>
      <c r="G1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7" s="8">
        <v>167</v>
      </c>
      <c r="P167" s="228" t="s">
        <v>255</v>
      </c>
    </row>
    <row r="168" spans="2:16" x14ac:dyDescent="0.3">
      <c r="B168" s="44">
        <f>VLOOKUP( T_ApifImport[[#This Row],[Bilans]], T_Bilansi[], 4, 0)</f>
        <v>27</v>
      </c>
      <c r="C168" s="227">
        <f>IF(AND([0]!Godina=2026,MID(Osnovni_podaci!D20,3,1)="s",Osnovni_podaci!L24=6,Osnovni_podaci!G24=0,MID(Osnovni_podaci!D20,3,1)="s",MID(Osnovni_podaci!D20,8,1)=" "),VLOOKUP( T_ApifImport[[#This Row],[ld]], T_Aop[], 4, 0),A1)</f>
        <v>230</v>
      </c>
      <c r="D1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8" s="8">
        <v>168</v>
      </c>
      <c r="P168" s="228" t="s">
        <v>255</v>
      </c>
    </row>
    <row r="169" spans="2:16" x14ac:dyDescent="0.3">
      <c r="B169" s="44">
        <f>VLOOKUP( T_ApifImport[[#This Row],[Bilans]], T_Bilansi[], 4, 0)</f>
        <v>27</v>
      </c>
      <c r="C169" s="227">
        <f>IF(AND([0]!Godina=2026,MID(Osnovni_podaci!D20,3,1)="s",Osnovni_podaci!L24=6,Osnovni_podaci!G24=0,MID(Osnovni_podaci!D20,3,1)="s",MID(Osnovni_podaci!D20,8,1)=" "),VLOOKUP( T_ApifImport[[#This Row],[ld]], T_Aop[], 4, 0),A1)</f>
        <v>231</v>
      </c>
      <c r="D1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9" s="8">
        <v>169</v>
      </c>
      <c r="P169" s="228" t="s">
        <v>255</v>
      </c>
    </row>
    <row r="170" spans="2:16" x14ac:dyDescent="0.3">
      <c r="B170" s="44">
        <f>VLOOKUP( T_ApifImport[[#This Row],[Bilans]], T_Bilansi[], 4, 0)</f>
        <v>27</v>
      </c>
      <c r="C170" s="227">
        <f>IF(AND([0]!Godina=2026,MID(Osnovni_podaci!D20,3,1)="s",Osnovni_podaci!L24=6,Osnovni_podaci!G24=0,MID(Osnovni_podaci!D20,3,1)="s",MID(Osnovni_podaci!D20,8,1)=" "),VLOOKUP( T_ApifImport[[#This Row],[ld]], T_Aop[], 4, 0),A1)</f>
        <v>232</v>
      </c>
      <c r="D1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0" s="8">
        <v>170</v>
      </c>
      <c r="P170" s="228" t="s">
        <v>255</v>
      </c>
    </row>
    <row r="171" spans="2:16" x14ac:dyDescent="0.3">
      <c r="B171" s="44">
        <f>VLOOKUP( T_ApifImport[[#This Row],[Bilans]], T_Bilansi[], 4, 0)</f>
        <v>27</v>
      </c>
      <c r="C171" s="227">
        <f>IF(AND([0]!Godina=2026,MID(Osnovni_podaci!D20,3,1)="s",Osnovni_podaci!L24=6,Osnovni_podaci!G24=0,MID(Osnovni_podaci!D20,3,1)="s",MID(Osnovni_podaci!D20,8,1)=" "),VLOOKUP( T_ApifImport[[#This Row],[ld]], T_Aop[], 4, 0),A1)</f>
        <v>233</v>
      </c>
      <c r="D1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1" s="8">
        <v>171</v>
      </c>
      <c r="P171" s="228" t="s">
        <v>255</v>
      </c>
    </row>
    <row r="172" spans="2:16" x14ac:dyDescent="0.3">
      <c r="B172" s="44">
        <f>VLOOKUP( T_ApifImport[[#This Row],[Bilans]], T_Bilansi[], 4, 0)</f>
        <v>27</v>
      </c>
      <c r="C172" s="227">
        <f>IF(AND([0]!Godina=2026,MID(Osnovni_podaci!D20,3,1)="s",Osnovni_podaci!L24=6,Osnovni_podaci!G24=0,MID(Osnovni_podaci!D20,3,1)="s",MID(Osnovni_podaci!D20,8,1)=" "),VLOOKUP( T_ApifImport[[#This Row],[ld]], T_Aop[], 4, 0),A1)</f>
        <v>234</v>
      </c>
      <c r="D1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21</v>
      </c>
      <c r="E1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307345</v>
      </c>
      <c r="F1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292987</v>
      </c>
      <c r="G1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2" s="8">
        <v>172</v>
      </c>
      <c r="P172" s="228" t="s">
        <v>255</v>
      </c>
    </row>
    <row r="173" spans="2:16" x14ac:dyDescent="0.3">
      <c r="B173" s="44">
        <f>VLOOKUP( T_ApifImport[[#This Row],[Bilans]], T_Bilansi[], 4, 0)</f>
        <v>27</v>
      </c>
      <c r="C173" s="227">
        <f>IF(AND([0]!Godina=2026,MID(Osnovni_podaci!D20,3,1)="s",Osnovni_podaci!L24=6,Osnovni_podaci!G24=0,MID(Osnovni_podaci!D20,3,1)="s",MID(Osnovni_podaci!D20,8,1)=" "),VLOOKUP( T_ApifImport[[#This Row],[ld]], T_Aop[], 4, 0),A1)</f>
        <v>235</v>
      </c>
      <c r="D1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22</v>
      </c>
      <c r="E1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37446</v>
      </c>
      <c r="F1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31924</v>
      </c>
      <c r="G1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3" s="8">
        <v>173</v>
      </c>
      <c r="P173" s="228" t="s">
        <v>255</v>
      </c>
    </row>
    <row r="174" spans="2:16" x14ac:dyDescent="0.3">
      <c r="B174" s="44">
        <f>VLOOKUP( T_ApifImport[[#This Row],[Bilans]], T_Bilansi[], 4, 0)</f>
        <v>27</v>
      </c>
      <c r="C174" s="227">
        <f>IF(AND([0]!Godina=2026,MID(Osnovni_podaci!D20,3,1)="s",Osnovni_podaci!L24=6,Osnovni_podaci!G24=0,MID(Osnovni_podaci!D20,3,1)="s",MID(Osnovni_podaci!D20,8,1)=" "),VLOOKUP( T_ApifImport[[#This Row],[ld]], T_Aop[], 4, 0),A1)</f>
        <v>236</v>
      </c>
      <c r="D1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23</v>
      </c>
      <c r="E1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4471</v>
      </c>
      <c r="F1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4986</v>
      </c>
      <c r="G1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4" s="8">
        <v>174</v>
      </c>
      <c r="P174" s="228" t="s">
        <v>255</v>
      </c>
    </row>
    <row r="175" spans="2:16" x14ac:dyDescent="0.3">
      <c r="B175" s="44">
        <f>VLOOKUP( T_ApifImport[[#This Row],[Bilans]], T_Bilansi[], 4, 0)</f>
        <v>27</v>
      </c>
      <c r="C175" s="227">
        <f>IF(AND([0]!Godina=2026,MID(Osnovni_podaci!D20,3,1)="s",Osnovni_podaci!L24=6,Osnovni_podaci!G24=0,MID(Osnovni_podaci!D20,3,1)="s",MID(Osnovni_podaci!D20,8,1)=" "),VLOOKUP( T_ApifImport[[#This Row],[ld]], T_Aop[], 4, 0),A1)</f>
        <v>237</v>
      </c>
      <c r="D1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1853361</v>
      </c>
      <c r="F1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938834</v>
      </c>
      <c r="G1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5" s="8">
        <v>175</v>
      </c>
      <c r="P175" s="228" t="s">
        <v>255</v>
      </c>
    </row>
    <row r="176" spans="2:16" x14ac:dyDescent="0.3">
      <c r="B176" s="44">
        <f>VLOOKUP( T_ApifImport[[#This Row],[Bilans]], T_Bilansi[], 4, 0)</f>
        <v>27</v>
      </c>
      <c r="C176" s="227">
        <f>IF(AND([0]!Godina=2026,MID(Osnovni_podaci!D20,3,1)="s",Osnovni_podaci!L24=6,Osnovni_podaci!G24=0,MID(Osnovni_podaci!D20,3,1)="s",MID(Osnovni_podaci!D20,8,1)=" "),VLOOKUP( T_ApifImport[[#This Row],[ld]], T_Aop[], 4, 0),A1)</f>
        <v>238</v>
      </c>
      <c r="D1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6" s="8">
        <v>176</v>
      </c>
      <c r="P176" s="228" t="s">
        <v>255</v>
      </c>
    </row>
    <row r="177" spans="2:16" x14ac:dyDescent="0.3">
      <c r="B177" s="44">
        <f>VLOOKUP( T_ApifImport[[#This Row],[Bilans]], T_Bilansi[], 4, 0)</f>
        <v>27</v>
      </c>
      <c r="C177" s="227">
        <f>IF(AND([0]!Godina=2026,MID(Osnovni_podaci!D20,3,1)="s",Osnovni_podaci!L24=6,Osnovni_podaci!G24=0,MID(Osnovni_podaci!D20,3,1)="s",MID(Osnovni_podaci!D20,8,1)=" "),VLOOKUP( T_ApifImport[[#This Row],[ld]], T_Aop[], 4, 0),A1)</f>
        <v>239</v>
      </c>
      <c r="D1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24</v>
      </c>
      <c r="E1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3623</v>
      </c>
      <c r="F1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383526</v>
      </c>
      <c r="G1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7" s="8">
        <v>177</v>
      </c>
      <c r="P177" s="228" t="s">
        <v>255</v>
      </c>
    </row>
    <row r="178" spans="2:16" x14ac:dyDescent="0.3">
      <c r="B178" s="44">
        <f>VLOOKUP( T_ApifImport[[#This Row],[Bilans]], T_Bilansi[], 4, 0)</f>
        <v>27</v>
      </c>
      <c r="C178" s="227">
        <f>IF(AND([0]!Godina=2026,MID(Osnovni_podaci!D20,3,1)="s",Osnovni_podaci!L24=6,Osnovni_podaci!G24=0,MID(Osnovni_podaci!D20,3,1)="s",MID(Osnovni_podaci!D20,8,1)=" "),VLOOKUP( T_ApifImport[[#This Row],[ld]], T_Aop[], 4, 0),A1)</f>
        <v>240</v>
      </c>
      <c r="D1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3623</v>
      </c>
      <c r="F1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383526</v>
      </c>
      <c r="G1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8" s="8">
        <v>178</v>
      </c>
      <c r="P178" s="228" t="s">
        <v>255</v>
      </c>
    </row>
    <row r="179" spans="2:16" x14ac:dyDescent="0.3">
      <c r="B179" s="44">
        <f>VLOOKUP( T_ApifImport[[#This Row],[Bilans]], T_Bilansi[], 4, 0)</f>
        <v>27</v>
      </c>
      <c r="C179" s="227">
        <f>IF(AND([0]!Godina=2026,MID(Osnovni_podaci!D20,3,1)="s",Osnovni_podaci!L24=6,Osnovni_podaci!G24=0,MID(Osnovni_podaci!D20,3,1)="s",MID(Osnovni_podaci!D20,8,1)=" "),VLOOKUP( T_ApifImport[[#This Row],[ld]], T_Aop[], 4, 0),A1)</f>
        <v>241</v>
      </c>
      <c r="D1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9" s="8">
        <v>179</v>
      </c>
      <c r="P179" s="228" t="s">
        <v>255</v>
      </c>
    </row>
    <row r="180" spans="2:16" x14ac:dyDescent="0.3">
      <c r="B180" s="44">
        <f>VLOOKUP( T_ApifImport[[#This Row],[Bilans]], T_Bilansi[], 4, 0)</f>
        <v>27</v>
      </c>
      <c r="C180" s="227">
        <f>IF(AND([0]!Godina=2026,MID(Osnovni_podaci!D20,3,1)="s",Osnovni_podaci!L24=6,Osnovni_podaci!G24=0,MID(Osnovni_podaci!D20,3,1)="s",MID(Osnovni_podaci!D20,8,1)=" "),VLOOKUP( T_ApifImport[[#This Row],[ld]], T_Aop[], 4, 0),A1)</f>
        <v>242</v>
      </c>
      <c r="D1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0" s="8">
        <v>180</v>
      </c>
      <c r="P180" s="228" t="s">
        <v>255</v>
      </c>
    </row>
    <row r="181" spans="2:16" x14ac:dyDescent="0.3">
      <c r="B181" s="44">
        <f>VLOOKUP( T_ApifImport[[#This Row],[Bilans]], T_Bilansi[], 4, 0)</f>
        <v>27</v>
      </c>
      <c r="C181" s="227">
        <f>IF(AND([0]!Godina=2026,MID(Osnovni_podaci!D20,3,1)="s",Osnovni_podaci!L24=6,Osnovni_podaci!G24=0,MID(Osnovni_podaci!D20,3,1)="s",MID(Osnovni_podaci!D20,8,1)=" "),VLOOKUP( T_ApifImport[[#This Row],[ld]], T_Aop[], 4, 0),A1)</f>
        <v>243</v>
      </c>
      <c r="D1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1" s="8">
        <v>181</v>
      </c>
      <c r="P181" s="228" t="s">
        <v>255</v>
      </c>
    </row>
    <row r="182" spans="2:16" x14ac:dyDescent="0.3">
      <c r="B182" s="44">
        <f>VLOOKUP( T_ApifImport[[#This Row],[Bilans]], T_Bilansi[], 4, 0)</f>
        <v>27</v>
      </c>
      <c r="C182" s="227">
        <f>IF(AND([0]!Godina=2026,MID(Osnovni_podaci!D20,3,1)="s",Osnovni_podaci!L24=6,Osnovni_podaci!G24=0,MID(Osnovni_podaci!D20,3,1)="s",MID(Osnovni_podaci!D20,8,1)=" "),VLOOKUP( T_ApifImport[[#This Row],[ld]], T_Aop[], 4, 0),A1)</f>
        <v>244</v>
      </c>
      <c r="D1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25</v>
      </c>
      <c r="E1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21511</v>
      </c>
      <c r="F1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24227</v>
      </c>
      <c r="G1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2" s="8">
        <v>182</v>
      </c>
      <c r="P182" s="228" t="s">
        <v>255</v>
      </c>
    </row>
    <row r="183" spans="2:16" x14ac:dyDescent="0.3">
      <c r="B183" s="44">
        <f>VLOOKUP( T_ApifImport[[#This Row],[Bilans]], T_Bilansi[], 4, 0)</f>
        <v>27</v>
      </c>
      <c r="C183" s="227">
        <f>IF(AND([0]!Godina=2026,MID(Osnovni_podaci!D20,3,1)="s",Osnovni_podaci!L24=6,Osnovni_podaci!G24=0,MID(Osnovni_podaci!D20,3,1)="s",MID(Osnovni_podaci!D20,8,1)=" "),VLOOKUP( T_ApifImport[[#This Row],[ld]], T_Aop[], 4, 0),A1)</f>
        <v>245</v>
      </c>
      <c r="D1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21511</v>
      </c>
      <c r="F1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24227</v>
      </c>
      <c r="G1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3" s="8">
        <v>183</v>
      </c>
      <c r="P183" s="228" t="s">
        <v>255</v>
      </c>
    </row>
    <row r="184" spans="2:16" x14ac:dyDescent="0.3">
      <c r="B184" s="44">
        <f>VLOOKUP( T_ApifImport[[#This Row],[Bilans]], T_Bilansi[], 4, 0)</f>
        <v>27</v>
      </c>
      <c r="C184" s="227">
        <f>IF(AND([0]!Godina=2026,MID(Osnovni_podaci!D20,3,1)="s",Osnovni_podaci!L24=6,Osnovni_podaci!G24=0,MID(Osnovni_podaci!D20,3,1)="s",MID(Osnovni_podaci!D20,8,1)=" "),VLOOKUP( T_ApifImport[[#This Row],[ld]], T_Aop[], 4, 0),A1)</f>
        <v>246</v>
      </c>
      <c r="D1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4" s="8">
        <v>184</v>
      </c>
      <c r="P184" s="228" t="s">
        <v>255</v>
      </c>
    </row>
    <row r="185" spans="2:16" x14ac:dyDescent="0.3">
      <c r="B185" s="44">
        <f>VLOOKUP( T_ApifImport[[#This Row],[Bilans]], T_Bilansi[], 4, 0)</f>
        <v>27</v>
      </c>
      <c r="C185" s="227">
        <f>IF(AND([0]!Godina=2026,MID(Osnovni_podaci!D20,3,1)="s",Osnovni_podaci!L24=6,Osnovni_podaci!G24=0,MID(Osnovni_podaci!D20,3,1)="s",MID(Osnovni_podaci!D20,8,1)=" "),VLOOKUP( T_ApifImport[[#This Row],[ld]], T_Aop[], 4, 0),A1)</f>
        <v>247</v>
      </c>
      <c r="D1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5" s="8">
        <v>185</v>
      </c>
      <c r="P185" s="228" t="s">
        <v>255</v>
      </c>
    </row>
    <row r="186" spans="2:16" x14ac:dyDescent="0.3">
      <c r="B186" s="44">
        <f>VLOOKUP( T_ApifImport[[#This Row],[Bilans]], T_Bilansi[], 4, 0)</f>
        <v>27</v>
      </c>
      <c r="C186" s="227">
        <f>IF(AND([0]!Godina=2026,MID(Osnovni_podaci!D20,3,1)="s",Osnovni_podaci!L24=6,Osnovni_podaci!G24=0,MID(Osnovni_podaci!D20,3,1)="s",MID(Osnovni_podaci!D20,8,1)=" "),VLOOKUP( T_ApifImport[[#This Row],[ld]], T_Aop[], 4, 0),A1)</f>
        <v>248</v>
      </c>
      <c r="D1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6" s="8">
        <v>186</v>
      </c>
      <c r="P186" s="228" t="s">
        <v>255</v>
      </c>
    </row>
    <row r="187" spans="2:16" x14ac:dyDescent="0.3">
      <c r="B187" s="44">
        <f>VLOOKUP( T_ApifImport[[#This Row],[Bilans]], T_Bilansi[], 4, 0)</f>
        <v>27</v>
      </c>
      <c r="C187" s="227">
        <f>IF(AND([0]!Godina=2026,MID(Osnovni_podaci!D20,3,1)="s",Osnovni_podaci!L24=6,Osnovni_podaci!G24=0,MID(Osnovni_podaci!D20,3,1)="s",MID(Osnovni_podaci!D20,8,1)=" "),VLOOKUP( T_ApifImport[[#This Row],[ld]], T_Aop[], 4, 0),A1)</f>
        <v>249</v>
      </c>
      <c r="D1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1835473</v>
      </c>
      <c r="F1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1298133</v>
      </c>
      <c r="G1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7" s="8">
        <v>187</v>
      </c>
      <c r="P187" s="228" t="s">
        <v>255</v>
      </c>
    </row>
    <row r="188" spans="2:16" x14ac:dyDescent="0.3">
      <c r="B188" s="44">
        <f>VLOOKUP( T_ApifImport[[#This Row],[Bilans]], T_Bilansi[], 4, 0)</f>
        <v>27</v>
      </c>
      <c r="C188" s="227">
        <f>IF(AND([0]!Godina=2026,MID(Osnovni_podaci!D20,3,1)="s",Osnovni_podaci!L24=6,Osnovni_podaci!G24=0,MID(Osnovni_podaci!D20,3,1)="s",MID(Osnovni_podaci!D20,8,1)=" "),VLOOKUP( T_ApifImport[[#This Row],[ld]], T_Aop[], 4, 0),A1)</f>
        <v>250</v>
      </c>
      <c r="D1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8" s="8">
        <v>188</v>
      </c>
      <c r="P188" s="228" t="s">
        <v>255</v>
      </c>
    </row>
    <row r="189" spans="2:16" x14ac:dyDescent="0.3">
      <c r="B189" s="44">
        <f>VLOOKUP( T_ApifImport[[#This Row],[Bilans]], T_Bilansi[], 4, 0)</f>
        <v>27</v>
      </c>
      <c r="C189" s="227">
        <f>IF(AND([0]!Godina=2026,MID(Osnovni_podaci!D20,3,1)="s",Osnovni_podaci!L24=6,Osnovni_podaci!G24=0,MID(Osnovni_podaci!D20,3,1)="s",MID(Osnovni_podaci!D20,8,1)=" "),VLOOKUP( T_ApifImport[[#This Row],[ld]], T_Aop[], 4, 0),A1)</f>
        <v>251</v>
      </c>
      <c r="D1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26</v>
      </c>
      <c r="E1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548568</v>
      </c>
      <c r="F1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1900420</v>
      </c>
      <c r="G1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9" s="8">
        <v>189</v>
      </c>
      <c r="P189" s="228" t="s">
        <v>255</v>
      </c>
    </row>
    <row r="190" spans="2:16" x14ac:dyDescent="0.3">
      <c r="B190" s="44">
        <f>VLOOKUP( T_ApifImport[[#This Row],[Bilans]], T_Bilansi[], 4, 0)</f>
        <v>27</v>
      </c>
      <c r="C190" s="227">
        <f>IF(AND([0]!Godina=2026,MID(Osnovni_podaci!D20,3,1)="s",Osnovni_podaci!L24=6,Osnovni_podaci!G24=0,MID(Osnovni_podaci!D20,3,1)="s",MID(Osnovni_podaci!D20,8,1)=" "),VLOOKUP( T_ApifImport[[#This Row],[ld]], T_Aop[], 4, 0),A1)</f>
        <v>252</v>
      </c>
      <c r="D1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313</v>
      </c>
      <c r="F1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0" s="8">
        <v>190</v>
      </c>
      <c r="P190" s="228" t="s">
        <v>255</v>
      </c>
    </row>
    <row r="191" spans="2:16" x14ac:dyDescent="0.3">
      <c r="B191" s="44">
        <f>VLOOKUP( T_ApifImport[[#This Row],[Bilans]], T_Bilansi[], 4, 0)</f>
        <v>27</v>
      </c>
      <c r="C191" s="227">
        <f>IF(AND([0]!Godina=2026,MID(Osnovni_podaci!D20,3,1)="s",Osnovni_podaci!L24=6,Osnovni_podaci!G24=0,MID(Osnovni_podaci!D20,3,1)="s",MID(Osnovni_podaci!D20,8,1)=" "),VLOOKUP( T_ApifImport[[#This Row],[ld]], T_Aop[], 4, 0),A1)</f>
        <v>253</v>
      </c>
      <c r="D1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1" s="8">
        <v>191</v>
      </c>
      <c r="P191" s="228" t="s">
        <v>255</v>
      </c>
    </row>
    <row r="192" spans="2:16" x14ac:dyDescent="0.3">
      <c r="B192" s="44">
        <f>VLOOKUP( T_ApifImport[[#This Row],[Bilans]], T_Bilansi[], 4, 0)</f>
        <v>27</v>
      </c>
      <c r="C192" s="227">
        <f>IF(AND([0]!Godina=2026,MID(Osnovni_podaci!D20,3,1)="s",Osnovni_podaci!L24=6,Osnovni_podaci!G24=0,MID(Osnovni_podaci!D20,3,1)="s",MID(Osnovni_podaci!D20,8,1)=" "),VLOOKUP( T_ApifImport[[#This Row],[ld]], T_Aop[], 4, 0),A1)</f>
        <v>254</v>
      </c>
      <c r="D1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2" s="8">
        <v>192</v>
      </c>
      <c r="P192" s="228" t="s">
        <v>255</v>
      </c>
    </row>
    <row r="193" spans="2:16" x14ac:dyDescent="0.3">
      <c r="B193" s="44">
        <f>VLOOKUP( T_ApifImport[[#This Row],[Bilans]], T_Bilansi[], 4, 0)</f>
        <v>27</v>
      </c>
      <c r="C193" s="227">
        <f>IF(AND([0]!Godina=2026,MID(Osnovni_podaci!D20,3,1)="s",Osnovni_podaci!L24=6,Osnovni_podaci!G24=0,MID(Osnovni_podaci!D20,3,1)="s",MID(Osnovni_podaci!D20,8,1)=" "),VLOOKUP( T_ApifImport[[#This Row],[ld]], T_Aop[], 4, 0),A1)</f>
        <v>255</v>
      </c>
      <c r="D1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3" s="8">
        <v>193</v>
      </c>
      <c r="P193" s="228" t="s">
        <v>255</v>
      </c>
    </row>
    <row r="194" spans="2:16" x14ac:dyDescent="0.3">
      <c r="B194" s="44">
        <f>VLOOKUP( T_ApifImport[[#This Row],[Bilans]], T_Bilansi[], 4, 0)</f>
        <v>27</v>
      </c>
      <c r="C194" s="227">
        <f>IF(AND([0]!Godina=2026,MID(Osnovni_podaci!D20,3,1)="s",Osnovni_podaci!L24=6,Osnovni_podaci!G24=0,MID(Osnovni_podaci!D20,3,1)="s",MID(Osnovni_podaci!D20,8,1)=" "),VLOOKUP( T_ApifImport[[#This Row],[ld]], T_Aop[], 4, 0),A1)</f>
        <v>256</v>
      </c>
      <c r="D1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4" s="8">
        <v>194</v>
      </c>
      <c r="P194" s="228" t="s">
        <v>255</v>
      </c>
    </row>
    <row r="195" spans="2:16" x14ac:dyDescent="0.3">
      <c r="B195" s="44">
        <f>VLOOKUP( T_ApifImport[[#This Row],[Bilans]], T_Bilansi[], 4, 0)</f>
        <v>27</v>
      </c>
      <c r="C195" s="227">
        <f>IF(AND([0]!Godina=2026,MID(Osnovni_podaci!D20,3,1)="s",Osnovni_podaci!L24=6,Osnovni_podaci!G24=0,MID(Osnovni_podaci!D20,3,1)="s",MID(Osnovni_podaci!D20,8,1)=" "),VLOOKUP( T_ApifImport[[#This Row],[ld]], T_Aop[], 4, 0),A1)</f>
        <v>257</v>
      </c>
      <c r="D1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5" s="8">
        <v>195</v>
      </c>
      <c r="P195" s="228" t="s">
        <v>255</v>
      </c>
    </row>
    <row r="196" spans="2:16" x14ac:dyDescent="0.3">
      <c r="B196" s="44">
        <f>VLOOKUP( T_ApifImport[[#This Row],[Bilans]], T_Bilansi[], 4, 0)</f>
        <v>27</v>
      </c>
      <c r="C196" s="227">
        <f>IF(AND([0]!Godina=2026,MID(Osnovni_podaci!D20,3,1)="s",Osnovni_podaci!L24=6,Osnovni_podaci!G24=0,MID(Osnovni_podaci!D20,3,1)="s",MID(Osnovni_podaci!D20,8,1)=" "),VLOOKUP( T_ApifImport[[#This Row],[ld]], T_Aop[], 4, 0),A1)</f>
        <v>258</v>
      </c>
      <c r="D1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6" s="8">
        <v>196</v>
      </c>
      <c r="P196" s="228" t="s">
        <v>255</v>
      </c>
    </row>
    <row r="197" spans="2:16" x14ac:dyDescent="0.3">
      <c r="B197" s="44">
        <f>VLOOKUP( T_ApifImport[[#This Row],[Bilans]], T_Bilansi[], 4, 0)</f>
        <v>27</v>
      </c>
      <c r="C197" s="227">
        <f>IF(AND([0]!Godina=2026,MID(Osnovni_podaci!D20,3,1)="s",Osnovni_podaci!L24=6,Osnovni_podaci!G24=0,MID(Osnovni_podaci!D20,3,1)="s",MID(Osnovni_podaci!D20,8,1)=" "),VLOOKUP( T_ApifImport[[#This Row],[ld]], T_Aop[], 4, 0),A1)</f>
        <v>259</v>
      </c>
      <c r="D1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548255</v>
      </c>
      <c r="F1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1900420</v>
      </c>
      <c r="G1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7" s="8">
        <v>197</v>
      </c>
      <c r="P197" s="228" t="s">
        <v>255</v>
      </c>
    </row>
    <row r="198" spans="2:16" x14ac:dyDescent="0.3">
      <c r="B198" s="44">
        <f>VLOOKUP( T_ApifImport[[#This Row],[Bilans]], T_Bilansi[], 4, 0)</f>
        <v>27</v>
      </c>
      <c r="C198" s="227">
        <f>IF(AND([0]!Godina=2026,MID(Osnovni_podaci!D20,3,1)="s",Osnovni_podaci!L24=6,Osnovni_podaci!G24=0,MID(Osnovni_podaci!D20,3,1)="s",MID(Osnovni_podaci!D20,8,1)=" "),VLOOKUP( T_ApifImport[[#This Row],[ld]], T_Aop[], 4, 0),A1)</f>
        <v>260</v>
      </c>
      <c r="D1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8" s="8">
        <v>198</v>
      </c>
      <c r="P198" s="228" t="s">
        <v>255</v>
      </c>
    </row>
    <row r="199" spans="2:16" x14ac:dyDescent="0.3">
      <c r="B199" s="44">
        <f>VLOOKUP( T_ApifImport[[#This Row],[Bilans]], T_Bilansi[], 4, 0)</f>
        <v>27</v>
      </c>
      <c r="C199" s="227">
        <f>IF(AND([0]!Godina=2026,MID(Osnovni_podaci!D20,3,1)="s",Osnovni_podaci!L24=6,Osnovni_podaci!G24=0,MID(Osnovni_podaci!D20,3,1)="s",MID(Osnovni_podaci!D20,8,1)=" "),VLOOKUP( T_ApifImport[[#This Row],[ld]], T_Aop[], 4, 0),A1)</f>
        <v>261</v>
      </c>
      <c r="D1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27</v>
      </c>
      <c r="E1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229129</v>
      </c>
      <c r="F1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200237</v>
      </c>
      <c r="G1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9" s="8">
        <v>199</v>
      </c>
      <c r="P199" s="228" t="s">
        <v>255</v>
      </c>
    </row>
    <row r="200" spans="2:16" x14ac:dyDescent="0.3">
      <c r="B200" s="44">
        <f>VLOOKUP( T_ApifImport[[#This Row],[Bilans]], T_Bilansi[], 4, 0)</f>
        <v>27</v>
      </c>
      <c r="C200" s="227">
        <f>IF(AND([0]!Godina=2026,MID(Osnovni_podaci!D20,3,1)="s",Osnovni_podaci!L24=6,Osnovni_podaci!G24=0,MID(Osnovni_podaci!D20,3,1)="s",MID(Osnovni_podaci!D20,8,1)=" "),VLOOKUP( T_ApifImport[[#This Row],[ld]], T_Aop[], 4, 0),A1)</f>
        <v>262</v>
      </c>
      <c r="D2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0" s="8">
        <v>200</v>
      </c>
      <c r="P200" s="228" t="s">
        <v>255</v>
      </c>
    </row>
    <row r="201" spans="2:16" x14ac:dyDescent="0.3">
      <c r="B201" s="44">
        <f>VLOOKUP( T_ApifImport[[#This Row],[Bilans]], T_Bilansi[], 4, 0)</f>
        <v>27</v>
      </c>
      <c r="C201" s="227">
        <f>VLOOKUP( T_ApifImport[[#This Row],[ld]], T_Aop[], 4, 0)</f>
        <v>263</v>
      </c>
      <c r="D2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1" s="8">
        <v>201</v>
      </c>
      <c r="P201" s="228" t="s">
        <v>255</v>
      </c>
    </row>
    <row r="202" spans="2:16" x14ac:dyDescent="0.3">
      <c r="B202" s="44">
        <f>VLOOKUP( T_ApifImport[[#This Row],[Bilans]], T_Bilansi[], 4, 0)</f>
        <v>27</v>
      </c>
      <c r="C202" s="227">
        <f>VLOOKUP( T_ApifImport[[#This Row],[ld]], T_Aop[], 4, 0)</f>
        <v>264</v>
      </c>
      <c r="D2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2" s="8">
        <v>202</v>
      </c>
      <c r="P202" s="228" t="s">
        <v>255</v>
      </c>
    </row>
    <row r="203" spans="2:16" x14ac:dyDescent="0.3">
      <c r="B203" s="44">
        <f>VLOOKUP( T_ApifImport[[#This Row],[Bilans]], T_Bilansi[], 4, 0)</f>
        <v>27</v>
      </c>
      <c r="C203" s="227">
        <f>VLOOKUP( T_ApifImport[[#This Row],[ld]], T_Aop[], 4, 0)</f>
        <v>265</v>
      </c>
      <c r="D2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3" s="8">
        <v>203</v>
      </c>
      <c r="P203" s="47" t="s">
        <v>255</v>
      </c>
    </row>
    <row r="204" spans="2:16" x14ac:dyDescent="0.3">
      <c r="B204" s="44">
        <f>VLOOKUP( T_ApifImport[[#This Row],[Bilans]], T_Bilansi[], 4, 0)</f>
        <v>27</v>
      </c>
      <c r="C204" s="227">
        <f>VLOOKUP( T_ApifImport[[#This Row],[ld]], T_Aop[], 4, 0)</f>
        <v>266</v>
      </c>
      <c r="D2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4" s="8">
        <v>204</v>
      </c>
      <c r="P204" s="47" t="s">
        <v>255</v>
      </c>
    </row>
    <row r="205" spans="2:16" x14ac:dyDescent="0.3">
      <c r="B205" s="44">
        <f>VLOOKUP( T_ApifImport[[#This Row],[Bilans]], T_Bilansi[], 4, 0)</f>
        <v>27</v>
      </c>
      <c r="C205" s="227">
        <f>VLOOKUP( T_ApifImport[[#This Row],[ld]], T_Aop[], 4, 0)</f>
        <v>267</v>
      </c>
      <c r="D2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5" s="8">
        <v>205</v>
      </c>
      <c r="P205" s="47" t="s">
        <v>255</v>
      </c>
    </row>
    <row r="206" spans="2:16" x14ac:dyDescent="0.3">
      <c r="B206" s="44">
        <f>VLOOKUP( T_ApifImport[[#This Row],[Bilans]], T_Bilansi[], 4, 0)</f>
        <v>27</v>
      </c>
      <c r="C206" s="227">
        <f>VLOOKUP( T_ApifImport[[#This Row],[ld]], T_Aop[], 4, 0)</f>
        <v>268</v>
      </c>
      <c r="D2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6" s="8">
        <v>206</v>
      </c>
      <c r="P206" s="47" t="s">
        <v>255</v>
      </c>
    </row>
    <row r="207" spans="2:16" x14ac:dyDescent="0.3">
      <c r="B207" s="44">
        <f>VLOOKUP( T_ApifImport[[#This Row],[Bilans]], T_Bilansi[], 4, 0)</f>
        <v>27</v>
      </c>
      <c r="C207" s="227">
        <f>VLOOKUP( T_ApifImport[[#This Row],[ld]], T_Aop[], 4, 0)</f>
        <v>269</v>
      </c>
      <c r="D2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7" s="8">
        <v>207</v>
      </c>
      <c r="P207" s="47" t="s">
        <v>255</v>
      </c>
    </row>
    <row r="208" spans="2:16" x14ac:dyDescent="0.3">
      <c r="B208" s="44">
        <f>VLOOKUP( T_ApifImport[[#This Row],[Bilans]], T_Bilansi[], 4, 0)</f>
        <v>27</v>
      </c>
      <c r="C208" s="227">
        <f>VLOOKUP( T_ApifImport[[#This Row],[ld]], T_Aop[], 4, 0)</f>
        <v>270</v>
      </c>
      <c r="D2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229129</v>
      </c>
      <c r="F20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200237</v>
      </c>
      <c r="G2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8" s="8">
        <v>208</v>
      </c>
      <c r="P208" s="47" t="s">
        <v>255</v>
      </c>
    </row>
    <row r="209" spans="2:16" x14ac:dyDescent="0.3">
      <c r="B209" s="44">
        <f>VLOOKUP( T_ApifImport[[#This Row],[Bilans]], T_Bilansi[], 4, 0)</f>
        <v>27</v>
      </c>
      <c r="C209" s="227">
        <f>VLOOKUP( T_ApifImport[[#This Row],[ld]], T_Aop[], 4, 0)</f>
        <v>271</v>
      </c>
      <c r="D2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319439</v>
      </c>
      <c r="F20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1700183</v>
      </c>
      <c r="G2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9" s="8">
        <v>209</v>
      </c>
      <c r="P209" s="47" t="s">
        <v>255</v>
      </c>
    </row>
    <row r="210" spans="2:16" x14ac:dyDescent="0.3">
      <c r="B210" s="44">
        <f>VLOOKUP( T_ApifImport[[#This Row],[Bilans]], T_Bilansi[], 4, 0)</f>
        <v>27</v>
      </c>
      <c r="C210" s="227">
        <f>VLOOKUP( T_ApifImport[[#This Row],[ld]], T_Aop[], 4, 0)</f>
        <v>272</v>
      </c>
      <c r="D2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0" s="8">
        <v>210</v>
      </c>
      <c r="P210" s="47" t="s">
        <v>255</v>
      </c>
    </row>
    <row r="211" spans="2:16" x14ac:dyDescent="0.3">
      <c r="B211" s="44">
        <f>VLOOKUP( T_ApifImport[[#This Row],[Bilans]], T_Bilansi[], 4, 0)</f>
        <v>27</v>
      </c>
      <c r="C211" s="227">
        <f>VLOOKUP( T_ApifImport[[#This Row],[ld]], T_Aop[], 4, 0)</f>
        <v>273</v>
      </c>
      <c r="D2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1" s="8">
        <v>211</v>
      </c>
      <c r="P211" s="47" t="s">
        <v>255</v>
      </c>
    </row>
    <row r="212" spans="2:16" x14ac:dyDescent="0.3">
      <c r="B212" s="44">
        <f>VLOOKUP( T_ApifImport[[#This Row],[Bilans]], T_Bilansi[], 4, 0)</f>
        <v>27</v>
      </c>
      <c r="C212" s="227">
        <f>VLOOKUP( T_ApifImport[[#This Row],[ld]], T_Aop[], 4, 0)</f>
        <v>274</v>
      </c>
      <c r="D2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2" s="8">
        <v>212</v>
      </c>
      <c r="P212" s="47" t="s">
        <v>255</v>
      </c>
    </row>
    <row r="213" spans="2:16" x14ac:dyDescent="0.3">
      <c r="B213" s="44">
        <f>VLOOKUP( T_ApifImport[[#This Row],[Bilans]], T_Bilansi[], 4, 0)</f>
        <v>27</v>
      </c>
      <c r="C213" s="227">
        <f>VLOOKUP( T_ApifImport[[#This Row],[ld]], T_Aop[], 4, 0)</f>
        <v>275</v>
      </c>
      <c r="D2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3" s="8">
        <v>213</v>
      </c>
      <c r="P213" s="47" t="s">
        <v>255</v>
      </c>
    </row>
    <row r="214" spans="2:16" x14ac:dyDescent="0.3">
      <c r="B214" s="44">
        <f>VLOOKUP( T_ApifImport[[#This Row],[Bilans]], T_Bilansi[], 4, 0)</f>
        <v>27</v>
      </c>
      <c r="C214" s="227">
        <f>VLOOKUP( T_ApifImport[[#This Row],[ld]], T_Aop[], 4, 0)</f>
        <v>276</v>
      </c>
      <c r="D2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4" s="8">
        <v>214</v>
      </c>
      <c r="P214" s="47" t="s">
        <v>255</v>
      </c>
    </row>
    <row r="215" spans="2:16" x14ac:dyDescent="0.3">
      <c r="B215" s="44">
        <f>VLOOKUP( T_ApifImport[[#This Row],[Bilans]], T_Bilansi[], 4, 0)</f>
        <v>27</v>
      </c>
      <c r="C215" s="227">
        <f>VLOOKUP( T_ApifImport[[#This Row],[ld]], T_Aop[], 4, 0)</f>
        <v>277</v>
      </c>
      <c r="D2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5" s="8">
        <v>215</v>
      </c>
      <c r="P215" s="47" t="s">
        <v>255</v>
      </c>
    </row>
    <row r="216" spans="2:16" x14ac:dyDescent="0.3">
      <c r="B216" s="44">
        <f>VLOOKUP( T_ApifImport[[#This Row],[Bilans]], T_Bilansi[], 4, 0)</f>
        <v>27</v>
      </c>
      <c r="C216" s="227">
        <f>VLOOKUP( T_ApifImport[[#This Row],[ld]], T_Aop[], 4, 0)</f>
        <v>278</v>
      </c>
      <c r="D2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6" s="8">
        <v>216</v>
      </c>
      <c r="P216" s="47" t="s">
        <v>255</v>
      </c>
    </row>
    <row r="217" spans="2:16" x14ac:dyDescent="0.3">
      <c r="B217" s="44">
        <f>VLOOKUP( T_ApifImport[[#This Row],[Bilans]], T_Bilansi[], 4, 0)</f>
        <v>27</v>
      </c>
      <c r="C217" s="227">
        <f>VLOOKUP( T_ApifImport[[#This Row],[ld]], T_Aop[], 4, 0)</f>
        <v>279</v>
      </c>
      <c r="D2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7" s="8">
        <v>217</v>
      </c>
      <c r="P217" s="47" t="s">
        <v>255</v>
      </c>
    </row>
    <row r="218" spans="2:16" x14ac:dyDescent="0.3">
      <c r="B218" s="44">
        <f>VLOOKUP( T_ApifImport[[#This Row],[Bilans]], T_Bilansi[], 4, 0)</f>
        <v>27</v>
      </c>
      <c r="C218" s="227">
        <f>VLOOKUP( T_ApifImport[[#This Row],[ld]], T_Aop[], 4, 0)</f>
        <v>280</v>
      </c>
      <c r="D2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8" s="8">
        <v>218</v>
      </c>
      <c r="P218" s="47" t="s">
        <v>255</v>
      </c>
    </row>
    <row r="219" spans="2:16" x14ac:dyDescent="0.3">
      <c r="B219" s="44">
        <f>VLOOKUP( T_ApifImport[[#This Row],[Bilans]], T_Bilansi[], 4, 0)</f>
        <v>27</v>
      </c>
      <c r="C219" s="227">
        <f>VLOOKUP( T_ApifImport[[#This Row],[ld]], T_Aop[], 4, 0)</f>
        <v>281</v>
      </c>
      <c r="D2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9" s="8">
        <v>219</v>
      </c>
      <c r="P219" s="47" t="s">
        <v>255</v>
      </c>
    </row>
    <row r="220" spans="2:16" x14ac:dyDescent="0.3">
      <c r="B220" s="44">
        <f>VLOOKUP( T_ApifImport[[#This Row],[Bilans]], T_Bilansi[], 4, 0)</f>
        <v>27</v>
      </c>
      <c r="C220" s="227">
        <f>VLOOKUP( T_ApifImport[[#This Row],[ld]], T_Aop[], 4, 0)</f>
        <v>282</v>
      </c>
      <c r="D2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0" s="8">
        <v>220</v>
      </c>
      <c r="P220" s="47" t="s">
        <v>255</v>
      </c>
    </row>
    <row r="221" spans="2:16" x14ac:dyDescent="0.3">
      <c r="B221" s="44">
        <f>VLOOKUP( T_ApifImport[[#This Row],[Bilans]], T_Bilansi[], 4, 0)</f>
        <v>27</v>
      </c>
      <c r="C221" s="227">
        <f>VLOOKUP( T_ApifImport[[#This Row],[ld]], T_Aop[], 4, 0)</f>
        <v>283</v>
      </c>
      <c r="D2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1" s="8">
        <v>221</v>
      </c>
      <c r="P221" s="47" t="s">
        <v>255</v>
      </c>
    </row>
    <row r="222" spans="2:16" x14ac:dyDescent="0.3">
      <c r="B222" s="44">
        <f>VLOOKUP( T_ApifImport[[#This Row],[Bilans]], T_Bilansi[], 4, 0)</f>
        <v>27</v>
      </c>
      <c r="C222" s="227">
        <f>VLOOKUP( T_ApifImport[[#This Row],[ld]], T_Aop[], 4, 0)</f>
        <v>284</v>
      </c>
      <c r="D2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2" s="8">
        <v>222</v>
      </c>
      <c r="P222" s="47" t="s">
        <v>255</v>
      </c>
    </row>
    <row r="223" spans="2:16" x14ac:dyDescent="0.3">
      <c r="B223" s="44">
        <f>VLOOKUP( T_ApifImport[[#This Row],[Bilans]], T_Bilansi[], 4, 0)</f>
        <v>27</v>
      </c>
      <c r="C223" s="227">
        <f>VLOOKUP( T_ApifImport[[#This Row],[ld]], T_Aop[], 4, 0)</f>
        <v>285</v>
      </c>
      <c r="D2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3" s="8">
        <v>223</v>
      </c>
      <c r="P223" s="47" t="s">
        <v>255</v>
      </c>
    </row>
    <row r="224" spans="2:16" x14ac:dyDescent="0.3">
      <c r="B224" s="44">
        <f>VLOOKUP( T_ApifImport[[#This Row],[Bilans]], T_Bilansi[], 4, 0)</f>
        <v>27</v>
      </c>
      <c r="C224" s="227">
        <f>VLOOKUP( T_ApifImport[[#This Row],[ld]], T_Aop[], 4, 0)</f>
        <v>286</v>
      </c>
      <c r="D2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907596</v>
      </c>
      <c r="F22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570286</v>
      </c>
      <c r="G2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4" s="8">
        <v>224</v>
      </c>
      <c r="P224" s="47" t="s">
        <v>255</v>
      </c>
    </row>
    <row r="225" spans="2:16" x14ac:dyDescent="0.3">
      <c r="B225" s="44">
        <f>VLOOKUP( T_ApifImport[[#This Row],[Bilans]], T_Bilansi[], 4, 0)</f>
        <v>27</v>
      </c>
      <c r="C225" s="227">
        <f>VLOOKUP( T_ApifImport[[#This Row],[ld]], T_Aop[], 4, 0)</f>
        <v>287</v>
      </c>
      <c r="D2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5" s="8">
        <v>225</v>
      </c>
      <c r="P225" s="47" t="s">
        <v>255</v>
      </c>
    </row>
    <row r="226" spans="2:16" x14ac:dyDescent="0.3">
      <c r="B226" s="44">
        <f>VLOOKUP( T_ApifImport[[#This Row],[Bilans]], T_Bilansi[], 4, 0)</f>
        <v>27</v>
      </c>
      <c r="C226" s="227">
        <f>VLOOKUP( T_ApifImport[[#This Row],[ld]], T_Aop[], 4, 0)</f>
        <v>288</v>
      </c>
      <c r="D2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6" s="8">
        <v>226</v>
      </c>
      <c r="P226" s="47" t="s">
        <v>255</v>
      </c>
    </row>
    <row r="227" spans="2:16" x14ac:dyDescent="0.3">
      <c r="B227" s="44">
        <f>VLOOKUP( T_ApifImport[[#This Row],[Bilans]], T_Bilansi[], 4, 0)</f>
        <v>27</v>
      </c>
      <c r="C227" s="227">
        <f>VLOOKUP( T_ApifImport[[#This Row],[ld]], T_Aop[], 4, 0)</f>
        <v>289</v>
      </c>
      <c r="D2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7" s="8">
        <v>227</v>
      </c>
      <c r="P227" s="47" t="s">
        <v>255</v>
      </c>
    </row>
    <row r="228" spans="2:16" x14ac:dyDescent="0.3">
      <c r="B228" s="44">
        <f>VLOOKUP( T_ApifImport[[#This Row],[Bilans]], T_Bilansi[], 4, 0)</f>
        <v>27</v>
      </c>
      <c r="C228" s="227">
        <f>VLOOKUP( T_ApifImport[[#This Row],[ld]], T_Aop[], 4, 0)</f>
        <v>290</v>
      </c>
      <c r="D2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8" s="8">
        <v>228</v>
      </c>
      <c r="P228" s="47" t="s">
        <v>255</v>
      </c>
    </row>
    <row r="229" spans="2:16" x14ac:dyDescent="0.3">
      <c r="B229" s="44">
        <f>VLOOKUP( T_ApifImport[[#This Row],[Bilans]], T_Bilansi[], 4, 0)</f>
        <v>27</v>
      </c>
      <c r="C229" s="227">
        <f>VLOOKUP( T_ApifImport[[#This Row],[ld]], T_Aop[], 4, 0)</f>
        <v>291</v>
      </c>
      <c r="D2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9" s="8">
        <v>229</v>
      </c>
      <c r="P229" s="47" t="s">
        <v>255</v>
      </c>
    </row>
    <row r="230" spans="2:16" x14ac:dyDescent="0.3">
      <c r="B230" s="44">
        <f>VLOOKUP( T_ApifImport[[#This Row],[Bilans]], T_Bilansi[], 4, 0)</f>
        <v>27</v>
      </c>
      <c r="C230" s="227">
        <f>VLOOKUP( T_ApifImport[[#This Row],[ld]], T_Aop[], 4, 0)</f>
        <v>292</v>
      </c>
      <c r="D2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0" s="8">
        <v>230</v>
      </c>
      <c r="P230" s="47" t="s">
        <v>255</v>
      </c>
    </row>
    <row r="231" spans="2:16" x14ac:dyDescent="0.3">
      <c r="B231" s="44">
        <f>VLOOKUP( T_ApifImport[[#This Row],[Bilans]], T_Bilansi[], 4, 0)</f>
        <v>27</v>
      </c>
      <c r="C231" s="227">
        <f>VLOOKUP( T_ApifImport[[#This Row],[ld]], T_Aop[], 4, 0)</f>
        <v>293</v>
      </c>
      <c r="D2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1" s="8">
        <v>231</v>
      </c>
      <c r="P231" s="47" t="s">
        <v>255</v>
      </c>
    </row>
    <row r="232" spans="2:16" x14ac:dyDescent="0.3">
      <c r="B232" s="44">
        <f>VLOOKUP( T_ApifImport[[#This Row],[Bilans]], T_Bilansi[], 4, 0)</f>
        <v>27</v>
      </c>
      <c r="C232" s="227">
        <f>VLOOKUP( T_ApifImport[[#This Row],[ld]], T_Aop[], 4, 0)</f>
        <v>294</v>
      </c>
      <c r="D2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907596</v>
      </c>
      <c r="F23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570286</v>
      </c>
      <c r="G2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2" s="8">
        <v>232</v>
      </c>
      <c r="P232" s="47" t="s">
        <v>255</v>
      </c>
    </row>
    <row r="233" spans="2:16" x14ac:dyDescent="0.3">
      <c r="B233" s="44">
        <f>VLOOKUP( T_ApifImport[[#This Row],[Bilans]], T_Bilansi[], 4, 0)</f>
        <v>27</v>
      </c>
      <c r="C233" s="227">
        <f>VLOOKUP( T_ApifImport[[#This Row],[ld]], T_Aop[], 4, 0)</f>
        <v>295</v>
      </c>
      <c r="D2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3" s="8">
        <v>233</v>
      </c>
      <c r="P233" s="47" t="s">
        <v>255</v>
      </c>
    </row>
    <row r="234" spans="2:16" x14ac:dyDescent="0.3">
      <c r="B234" s="44">
        <f>VLOOKUP( T_ApifImport[[#This Row],[Bilans]], T_Bilansi[], 4, 0)</f>
        <v>27</v>
      </c>
      <c r="C234" s="227">
        <f>VLOOKUP( T_ApifImport[[#This Row],[ld]], T_Aop[], 4, 0)</f>
        <v>296</v>
      </c>
      <c r="D2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4" s="8">
        <v>234</v>
      </c>
      <c r="P234" s="47" t="s">
        <v>255</v>
      </c>
    </row>
    <row r="235" spans="2:16" x14ac:dyDescent="0.3">
      <c r="B235" s="44">
        <f>VLOOKUP( T_ApifImport[[#This Row],[Bilans]], T_Bilansi[], 4, 0)</f>
        <v>27</v>
      </c>
      <c r="C235" s="227">
        <f>VLOOKUP( T_ApifImport[[#This Row],[ld]], T_Aop[], 4, 0)</f>
        <v>297</v>
      </c>
      <c r="D2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907596</v>
      </c>
      <c r="F23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570286</v>
      </c>
      <c r="G2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5" s="8">
        <v>235</v>
      </c>
      <c r="P235" s="47" t="s">
        <v>255</v>
      </c>
    </row>
    <row r="236" spans="2:16" x14ac:dyDescent="0.3">
      <c r="B236" s="44">
        <f>VLOOKUP( T_ApifImport[[#This Row],[Bilans]], T_Bilansi[], 4, 0)</f>
        <v>27</v>
      </c>
      <c r="C236" s="227">
        <f>VLOOKUP( T_ApifImport[[#This Row],[ld]], T_Aop[], 4, 0)</f>
        <v>298</v>
      </c>
      <c r="D2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6" s="8">
        <v>236</v>
      </c>
      <c r="P236" s="47" t="s">
        <v>255</v>
      </c>
    </row>
    <row r="237" spans="2:16" x14ac:dyDescent="0.3">
      <c r="B237" s="44">
        <f>VLOOKUP( T_ApifImport[[#This Row],[Bilans]], T_Bilansi[], 4, 0)</f>
        <v>27</v>
      </c>
      <c r="C237" s="227">
        <f>VLOOKUP( T_ApifImport[[#This Row],[ld]], T_Aop[], 4, 0)</f>
        <v>299</v>
      </c>
      <c r="D2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7" s="8">
        <v>237</v>
      </c>
      <c r="P237" s="47" t="s">
        <v>255</v>
      </c>
    </row>
    <row r="238" spans="2:16" x14ac:dyDescent="0.3">
      <c r="B238" s="44">
        <f>VLOOKUP( T_ApifImport[[#This Row],[Bilans]], T_Bilansi[], 4, 0)</f>
        <v>27</v>
      </c>
      <c r="C238" s="227">
        <f>VLOOKUP( T_ApifImport[[#This Row],[ld]], T_Aop[], 4, 0)</f>
        <v>300</v>
      </c>
      <c r="D2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907596</v>
      </c>
      <c r="F23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570286</v>
      </c>
      <c r="G2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8" s="8">
        <v>238</v>
      </c>
      <c r="P238" s="47" t="s">
        <v>255</v>
      </c>
    </row>
    <row r="239" spans="2:16" x14ac:dyDescent="0.3">
      <c r="B239" s="44">
        <f>VLOOKUP( T_ApifImport[[#This Row],[Bilans]], T_Bilansi[], 4, 0)</f>
        <v>27</v>
      </c>
      <c r="C239" s="227">
        <f>VLOOKUP( T_ApifImport[[#This Row],[ld]], T_Aop[], 4, 0)</f>
        <v>301</v>
      </c>
      <c r="D2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9" s="8">
        <v>239</v>
      </c>
      <c r="P239" s="47" t="s">
        <v>255</v>
      </c>
    </row>
    <row r="240" spans="2:16" x14ac:dyDescent="0.3">
      <c r="B240" s="44">
        <f>VLOOKUP( T_ApifImport[[#This Row],[Bilans]], T_Bilansi[], 4, 0)</f>
        <v>27</v>
      </c>
      <c r="C240" s="227">
        <f>VLOOKUP( T_ApifImport[[#This Row],[ld]], T_Aop[], 4, 0)</f>
        <v>302</v>
      </c>
      <c r="D2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2606</v>
      </c>
      <c r="F24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0" s="8">
        <v>240</v>
      </c>
      <c r="P240" s="47" t="s">
        <v>255</v>
      </c>
    </row>
    <row r="241" spans="2:16" x14ac:dyDescent="0.3">
      <c r="B241" s="44">
        <f>VLOOKUP( T_ApifImport[[#This Row],[Bilans]], T_Bilansi[], 4, 0)</f>
        <v>27</v>
      </c>
      <c r="C241" s="227">
        <f>VLOOKUP( T_ApifImport[[#This Row],[ld]], T_Aop[], 4, 0)</f>
        <v>303</v>
      </c>
      <c r="D2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1" s="8">
        <v>241</v>
      </c>
      <c r="P241" s="47" t="s">
        <v>255</v>
      </c>
    </row>
    <row r="242" spans="2:16" x14ac:dyDescent="0.3">
      <c r="B242" s="44">
        <f>VLOOKUP( T_ApifImport[[#This Row],[Bilans]], T_Bilansi[], 4, 0)</f>
        <v>27</v>
      </c>
      <c r="C242" s="227">
        <f>VLOOKUP( T_ApifImport[[#This Row],[ld]], T_Aop[], 4, 0)</f>
        <v>304</v>
      </c>
      <c r="D2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2" s="8">
        <v>242</v>
      </c>
      <c r="P242" s="47" t="s">
        <v>255</v>
      </c>
    </row>
    <row r="243" spans="2:16" x14ac:dyDescent="0.3">
      <c r="B243" s="44">
        <f>VLOOKUP( T_ApifImport[[#This Row],[Bilans]], T_Bilansi[], 4, 0)</f>
        <v>27</v>
      </c>
      <c r="C243" s="227">
        <f>VLOOKUP( T_ApifImport[[#This Row],[ld]], T_Aop[], 4, 0)</f>
        <v>305</v>
      </c>
      <c r="D2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10409553</v>
      </c>
      <c r="F24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10676245</v>
      </c>
      <c r="G2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3" s="8">
        <v>243</v>
      </c>
      <c r="P243" s="47" t="s">
        <v>255</v>
      </c>
    </row>
    <row r="244" spans="2:16" x14ac:dyDescent="0.3">
      <c r="B244" s="44">
        <f>VLOOKUP( T_ApifImport[[#This Row],[Bilans]], T_Bilansi[], 4, 0)</f>
        <v>27</v>
      </c>
      <c r="C244" s="227">
        <f>VLOOKUP( T_ApifImport[[#This Row],[ld]], T_Aop[], 4, 0)</f>
        <v>306</v>
      </c>
      <c r="D2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9164843</v>
      </c>
      <c r="F24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8248215</v>
      </c>
      <c r="G2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4" s="8">
        <v>244</v>
      </c>
      <c r="P244" s="47" t="s">
        <v>255</v>
      </c>
    </row>
    <row r="245" spans="2:16" x14ac:dyDescent="0.3">
      <c r="B245" s="44">
        <f>VLOOKUP( T_ApifImport[[#This Row],[Bilans]], T_Bilansi[], 4, 0)</f>
        <v>27</v>
      </c>
      <c r="C245" s="227">
        <f>VLOOKUP( T_ApifImport[[#This Row],[ld]], T_Aop[], 4, 0)</f>
        <v>307</v>
      </c>
      <c r="D2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1244710</v>
      </c>
      <c r="F24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2428030</v>
      </c>
      <c r="G2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5" s="8">
        <v>245</v>
      </c>
      <c r="P245" s="47" t="s">
        <v>255</v>
      </c>
    </row>
    <row r="246" spans="2:16" x14ac:dyDescent="0.3">
      <c r="B246" s="44">
        <f>VLOOKUP( T_ApifImport[[#This Row],[Bilans]], T_Bilansi[], 4, 0)</f>
        <v>27</v>
      </c>
      <c r="C246" s="227">
        <f>VLOOKUP( T_ApifImport[[#This Row],[ld]], T_Aop[], 4, 0)</f>
        <v>308</v>
      </c>
      <c r="D2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6" s="8">
        <v>246</v>
      </c>
      <c r="P246" s="47" t="s">
        <v>255</v>
      </c>
    </row>
    <row r="247" spans="2:16" x14ac:dyDescent="0.3">
      <c r="B247" s="44">
        <f>VLOOKUP( T_ApifImport[[#This Row],[Bilans]], T_Bilansi[], 4, 0)</f>
        <v>27</v>
      </c>
      <c r="C247" s="227">
        <f>VLOOKUP( T_ApifImport[[#This Row],[ld]], T_Aop[], 4, 0)</f>
        <v>309</v>
      </c>
      <c r="D2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176797</v>
      </c>
      <c r="F24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242803</v>
      </c>
      <c r="G2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7" s="8">
        <v>247</v>
      </c>
      <c r="P247" s="47" t="s">
        <v>255</v>
      </c>
    </row>
    <row r="248" spans="2:16" x14ac:dyDescent="0.3">
      <c r="B248" s="44">
        <f>VLOOKUP( T_ApifImport[[#This Row],[Bilans]], T_Bilansi[], 4, 0)</f>
        <v>27</v>
      </c>
      <c r="C248" s="227">
        <f>VLOOKUP( T_ApifImport[[#This Row],[ld]], T_Aop[], 4, 0)</f>
        <v>310</v>
      </c>
      <c r="D2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8" s="8">
        <v>248</v>
      </c>
      <c r="P248" s="47" t="s">
        <v>255</v>
      </c>
    </row>
    <row r="249" spans="2:16" x14ac:dyDescent="0.3">
      <c r="B249" s="44">
        <f>VLOOKUP( T_ApifImport[[#This Row],[Bilans]], T_Bilansi[], 4, 0)</f>
        <v>27</v>
      </c>
      <c r="C249" s="227">
        <f>VLOOKUP( T_ApifImport[[#This Row],[ld]], T_Aop[], 4, 0)</f>
        <v>311</v>
      </c>
      <c r="D2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9" s="8">
        <v>249</v>
      </c>
      <c r="P249" s="47" t="s">
        <v>255</v>
      </c>
    </row>
    <row r="250" spans="2:16" x14ac:dyDescent="0.3">
      <c r="B250" s="44">
        <f>VLOOKUP( T_ApifImport[[#This Row],[Bilans]], T_Bilansi[], 4, 0)</f>
        <v>27</v>
      </c>
      <c r="C250" s="227">
        <f>VLOOKUP( T_ApifImport[[#This Row],[ld]], T_Aop[], 4, 0)</f>
        <v>312</v>
      </c>
      <c r="D2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0" s="8">
        <v>250</v>
      </c>
      <c r="P250" s="47" t="s">
        <v>255</v>
      </c>
    </row>
    <row r="251" spans="2:16" x14ac:dyDescent="0.3">
      <c r="B251" s="44">
        <f>VLOOKUP( T_ApifImport[[#This Row],[Bilans]], T_Bilansi[], 4, 0)</f>
        <v>27</v>
      </c>
      <c r="C251" s="227">
        <f>VLOOKUP( T_ApifImport[[#This Row],[ld]], T_Aop[], 4, 0)</f>
        <v>313</v>
      </c>
      <c r="D2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1" s="8">
        <v>251</v>
      </c>
      <c r="P251" s="47" t="s">
        <v>255</v>
      </c>
    </row>
    <row r="252" spans="2:16" x14ac:dyDescent="0.3">
      <c r="B252" s="44">
        <f>VLOOKUP( T_ApifImport[[#This Row],[Bilans]], T_Bilansi[], 4, 0)</f>
        <v>27</v>
      </c>
      <c r="C252" s="227">
        <f>VLOOKUP( T_ApifImport[[#This Row],[ld]], T_Aop[], 4, 0)</f>
        <v>314</v>
      </c>
      <c r="D2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2" s="8">
        <v>252</v>
      </c>
      <c r="P252" s="47" t="s">
        <v>255</v>
      </c>
    </row>
    <row r="253" spans="2:16" x14ac:dyDescent="0.3">
      <c r="B253" s="44">
        <f>VLOOKUP( T_ApifImport[[#This Row],[Bilans]], T_Bilansi[], 4, 0)</f>
        <v>27</v>
      </c>
      <c r="C253" s="227">
        <f>VLOOKUP( T_ApifImport[[#This Row],[ld]], T_Aop[], 4, 0)</f>
        <v>315</v>
      </c>
      <c r="D2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3" s="8">
        <v>253</v>
      </c>
      <c r="P253" s="47" t="s">
        <v>255</v>
      </c>
    </row>
    <row r="254" spans="2:16" x14ac:dyDescent="0.3">
      <c r="B254" s="44">
        <f>VLOOKUP( T_ApifImport[[#This Row],[Bilans]], T_Bilansi[], 4, 0)</f>
        <v>27</v>
      </c>
      <c r="C254" s="227">
        <f>VLOOKUP( T_ApifImport[[#This Row],[ld]], T_Aop[], 4, 0)</f>
        <v>316</v>
      </c>
      <c r="D2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29</v>
      </c>
      <c r="E2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1067913</v>
      </c>
      <c r="F25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2185227</v>
      </c>
      <c r="G2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4" s="8">
        <v>254</v>
      </c>
      <c r="P254" s="47" t="s">
        <v>255</v>
      </c>
    </row>
    <row r="255" spans="2:16" x14ac:dyDescent="0.3">
      <c r="B255" s="44">
        <f>VLOOKUP( T_ApifImport[[#This Row],[Bilans]], T_Bilansi[], 4, 0)</f>
        <v>27</v>
      </c>
      <c r="C255" s="227">
        <f>VLOOKUP( T_ApifImport[[#This Row],[ld]], T_Aop[], 4, 0)</f>
        <v>317</v>
      </c>
      <c r="D2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5" s="8">
        <v>255</v>
      </c>
      <c r="P255" s="47" t="s">
        <v>255</v>
      </c>
    </row>
    <row r="256" spans="2:16" x14ac:dyDescent="0.3">
      <c r="B256" s="44">
        <f>VLOOKUP( T_ApifImport[[#This Row],[Bilans]], T_Bilansi[], 4, 0)</f>
        <v>27</v>
      </c>
      <c r="C256" s="227">
        <f>VLOOKUP( T_ApifImport[[#This Row],[ld]], T_Aop[], 4, 0)</f>
        <v>318</v>
      </c>
      <c r="D2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6" s="8">
        <v>256</v>
      </c>
      <c r="P256" s="47" t="s">
        <v>255</v>
      </c>
    </row>
    <row r="257" spans="2:16" x14ac:dyDescent="0.3">
      <c r="B257" s="44">
        <f>VLOOKUP( T_ApifImport[[#This Row],[Bilans]], T_Bilansi[], 4, 0)</f>
        <v>27</v>
      </c>
      <c r="C257" s="227">
        <f>VLOOKUP( T_ApifImport[[#This Row],[ld]], T_Aop[], 4, 0)</f>
        <v>319</v>
      </c>
      <c r="D2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544940</v>
      </c>
      <c r="F25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1115090</v>
      </c>
      <c r="G2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7" s="8">
        <v>257</v>
      </c>
      <c r="P257" s="47" t="s">
        <v>255</v>
      </c>
    </row>
    <row r="258" spans="2:16" x14ac:dyDescent="0.3">
      <c r="B258" s="44">
        <f>VLOOKUP( T_ApifImport[[#This Row],[Bilans]], T_Bilansi[], 4, 0)</f>
        <v>27</v>
      </c>
      <c r="C258" s="227">
        <f>VLOOKUP( T_ApifImport[[#This Row],[ld]], T_Aop[], 4, 0)</f>
        <v>320</v>
      </c>
      <c r="D2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522973</v>
      </c>
      <c r="F25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1070137</v>
      </c>
      <c r="G2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8" s="8">
        <v>258</v>
      </c>
      <c r="P258" s="47" t="s">
        <v>255</v>
      </c>
    </row>
    <row r="259" spans="2:16" x14ac:dyDescent="0.3">
      <c r="B259" s="44">
        <f>VLOOKUP( T_ApifImport[[#This Row],[Bilans]], T_Bilansi[], 4, 0)</f>
        <v>27</v>
      </c>
      <c r="C259" s="227">
        <f>VLOOKUP( T_ApifImport[[#This Row],[ld]], T_Aop[], 4, 0)</f>
        <v>321</v>
      </c>
      <c r="D2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0,1112</v>
      </c>
      <c r="F25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0.22750000000000001</v>
      </c>
      <c r="G2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9" s="8">
        <v>259</v>
      </c>
      <c r="P259" s="47" t="s">
        <v>255</v>
      </c>
    </row>
    <row r="260" spans="2:16" x14ac:dyDescent="0.3">
      <c r="B260" s="44">
        <f>VLOOKUP( T_ApifImport[[#This Row],[Bilans]], T_Bilansi[], 4, 0)</f>
        <v>27</v>
      </c>
      <c r="C260" s="227">
        <f>VLOOKUP( T_ApifImport[[#This Row],[ld]], T_Aop[], 4, 0)</f>
        <v>322</v>
      </c>
      <c r="D2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0" s="8">
        <v>260</v>
      </c>
      <c r="P260" s="47" t="s">
        <v>255</v>
      </c>
    </row>
    <row r="261" spans="2:16" x14ac:dyDescent="0.3">
      <c r="B261" s="44">
        <f>VLOOKUP( T_ApifImport[[#This Row],[Bilans]], T_Bilansi[], 4, 0)</f>
        <v>27</v>
      </c>
      <c r="C261" s="227">
        <f>VLOOKUP( T_ApifImport[[#This Row],[ld]], T_Aop[], 4, 0)</f>
        <v>323</v>
      </c>
      <c r="D2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208,03</v>
      </c>
      <c r="F26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216</v>
      </c>
      <c r="G2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1" s="8">
        <v>261</v>
      </c>
      <c r="P261" s="47" t="s">
        <v>255</v>
      </c>
    </row>
    <row r="262" spans="2:16" x14ac:dyDescent="0.3">
      <c r="B262" s="44">
        <f>VLOOKUP( T_ApifImport[[#This Row],[Bilans]], T_Bilansi[], 4, 0)</f>
        <v>27</v>
      </c>
      <c r="C262" s="227">
        <f>VLOOKUP( T_ApifImport[[#This Row],[ld]], T_Aop[], 4, 0)</f>
        <v>324</v>
      </c>
      <c r="D2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211,33</v>
      </c>
      <c r="F26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218</v>
      </c>
      <c r="G2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2" s="8">
        <v>262</v>
      </c>
      <c r="P262" s="47" t="s">
        <v>255</v>
      </c>
    </row>
    <row r="263" spans="2:16" x14ac:dyDescent="0.3">
      <c r="B263" s="44">
        <f>VLOOKUP( T_ApifImport[[#This Row],[Bilans]], T_Bilansi[], 4, 0)</f>
        <v>27</v>
      </c>
      <c r="C263" s="227">
        <f>VLOOKUP( T_ApifImport[[#This Row],[ld]], T_Aop[], 4, 0)</f>
        <v>400</v>
      </c>
      <c r="D2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1067913</v>
      </c>
      <c r="F26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2185227</v>
      </c>
      <c r="G2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3" s="8">
        <v>263</v>
      </c>
      <c r="P263" s="47" t="s">
        <v>264</v>
      </c>
    </row>
    <row r="264" spans="2:16" x14ac:dyDescent="0.3">
      <c r="B264" s="44">
        <f>VLOOKUP( T_ApifImport[[#This Row],[Bilans]], T_Bilansi[], 4, 0)</f>
        <v>27</v>
      </c>
      <c r="C264" s="227">
        <f>VLOOKUP( T_ApifImport[[#This Row],[ld]], T_Aop[], 4, 0)</f>
        <v>401</v>
      </c>
      <c r="D2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4" s="8">
        <v>264</v>
      </c>
      <c r="P264" s="47" t="s">
        <v>264</v>
      </c>
    </row>
    <row r="265" spans="2:16" x14ac:dyDescent="0.3">
      <c r="B265" s="44">
        <f>VLOOKUP( T_ApifImport[[#This Row],[Bilans]], T_Bilansi[], 4, 0)</f>
        <v>27</v>
      </c>
      <c r="C265" s="227">
        <f>VLOOKUP( T_ApifImport[[#This Row],[ld]], T_Aop[], 4, 0)</f>
        <v>402</v>
      </c>
      <c r="D2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5" s="8">
        <v>265</v>
      </c>
      <c r="P265" s="47" t="s">
        <v>264</v>
      </c>
    </row>
    <row r="266" spans="2:16" x14ac:dyDescent="0.3">
      <c r="B266" s="44">
        <f>VLOOKUP( T_ApifImport[[#This Row],[Bilans]], T_Bilansi[], 4, 0)</f>
        <v>27</v>
      </c>
      <c r="C266" s="227">
        <f>VLOOKUP( T_ApifImport[[#This Row],[ld]], T_Aop[], 4, 0)</f>
        <v>403</v>
      </c>
      <c r="D2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6" s="8">
        <v>266</v>
      </c>
      <c r="P266" s="47" t="s">
        <v>264</v>
      </c>
    </row>
    <row r="267" spans="2:16" x14ac:dyDescent="0.3">
      <c r="B267" s="44">
        <f>VLOOKUP( T_ApifImport[[#This Row],[Bilans]], T_Bilansi[], 4, 0)</f>
        <v>27</v>
      </c>
      <c r="C267" s="227">
        <f>VLOOKUP( T_ApifImport[[#This Row],[ld]], T_Aop[], 4, 0)</f>
        <v>404</v>
      </c>
      <c r="D2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7" s="8">
        <v>267</v>
      </c>
      <c r="P267" s="47" t="s">
        <v>264</v>
      </c>
    </row>
    <row r="268" spans="2:16" x14ac:dyDescent="0.3">
      <c r="B268" s="44">
        <f>VLOOKUP( T_ApifImport[[#This Row],[Bilans]], T_Bilansi[], 4, 0)</f>
        <v>27</v>
      </c>
      <c r="C268" s="227">
        <f>VLOOKUP( T_ApifImport[[#This Row],[ld]], T_Aop[], 4, 0)</f>
        <v>405</v>
      </c>
      <c r="D2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8" s="8">
        <v>268</v>
      </c>
      <c r="P268" s="47" t="s">
        <v>264</v>
      </c>
    </row>
    <row r="269" spans="2:16" x14ac:dyDescent="0.3">
      <c r="B269" s="44">
        <f>VLOOKUP( T_ApifImport[[#This Row],[Bilans]], T_Bilansi[], 4, 0)</f>
        <v>27</v>
      </c>
      <c r="C269" s="227">
        <f>VLOOKUP( T_ApifImport[[#This Row],[ld]], T_Aop[], 4, 0)</f>
        <v>406</v>
      </c>
      <c r="D2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9" s="8">
        <v>269</v>
      </c>
      <c r="P269" s="47" t="s">
        <v>264</v>
      </c>
    </row>
    <row r="270" spans="2:16" x14ac:dyDescent="0.3">
      <c r="B270" s="44">
        <f>VLOOKUP( T_ApifImport[[#This Row],[Bilans]], T_Bilansi[], 4, 0)</f>
        <v>27</v>
      </c>
      <c r="C270" s="227">
        <f>VLOOKUP( T_ApifImport[[#This Row],[ld]], T_Aop[], 4, 0)</f>
        <v>407</v>
      </c>
      <c r="D2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0" s="8">
        <v>270</v>
      </c>
      <c r="P270" s="47" t="s">
        <v>264</v>
      </c>
    </row>
    <row r="271" spans="2:16" x14ac:dyDescent="0.3">
      <c r="B271" s="44">
        <f>VLOOKUP( T_ApifImport[[#This Row],[Bilans]], T_Bilansi[], 4, 0)</f>
        <v>27</v>
      </c>
      <c r="C271" s="227">
        <f>VLOOKUP( T_ApifImport[[#This Row],[ld]], T_Aop[], 4, 0)</f>
        <v>408</v>
      </c>
      <c r="D2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1" s="8">
        <v>271</v>
      </c>
      <c r="P271" s="47" t="s">
        <v>264</v>
      </c>
    </row>
    <row r="272" spans="2:16" x14ac:dyDescent="0.3">
      <c r="B272" s="44">
        <f>VLOOKUP( T_ApifImport[[#This Row],[Bilans]], T_Bilansi[], 4, 0)</f>
        <v>27</v>
      </c>
      <c r="C272" s="227">
        <f>VLOOKUP( T_ApifImport[[#This Row],[ld]], T_Aop[], 4, 0)</f>
        <v>409</v>
      </c>
      <c r="D2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2" s="8">
        <v>272</v>
      </c>
      <c r="P272" s="47" t="s">
        <v>264</v>
      </c>
    </row>
    <row r="273" spans="2:16" x14ac:dyDescent="0.3">
      <c r="B273" s="44">
        <f>VLOOKUP( T_ApifImport[[#This Row],[Bilans]], T_Bilansi[], 4, 0)</f>
        <v>27</v>
      </c>
      <c r="C273" s="227">
        <f>VLOOKUP( T_ApifImport[[#This Row],[ld]], T_Aop[], 4, 0)</f>
        <v>410</v>
      </c>
      <c r="D2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3" s="8">
        <v>273</v>
      </c>
      <c r="P273" s="47" t="s">
        <v>264</v>
      </c>
    </row>
    <row r="274" spans="2:16" x14ac:dyDescent="0.3">
      <c r="B274" s="44">
        <f>VLOOKUP( T_ApifImport[[#This Row],[Bilans]], T_Bilansi[], 4, 0)</f>
        <v>27</v>
      </c>
      <c r="C274" s="227">
        <f>VLOOKUP( T_ApifImport[[#This Row],[ld]], T_Aop[], 4, 0)</f>
        <v>411</v>
      </c>
      <c r="D2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4" s="8">
        <v>274</v>
      </c>
      <c r="P274" s="47" t="s">
        <v>264</v>
      </c>
    </row>
    <row r="275" spans="2:16" x14ac:dyDescent="0.3">
      <c r="B275" s="44">
        <f>VLOOKUP( T_ApifImport[[#This Row],[Bilans]], T_Bilansi[], 4, 0)</f>
        <v>27</v>
      </c>
      <c r="C275" s="227">
        <f>VLOOKUP( T_ApifImport[[#This Row],[ld]], T_Aop[], 4, 0)</f>
        <v>412</v>
      </c>
      <c r="D2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5" s="8">
        <v>275</v>
      </c>
      <c r="P275" s="47" t="s">
        <v>264</v>
      </c>
    </row>
    <row r="276" spans="2:16" x14ac:dyDescent="0.3">
      <c r="B276" s="44">
        <f>VLOOKUP( T_ApifImport[[#This Row],[Bilans]], T_Bilansi[], 4, 0)</f>
        <v>27</v>
      </c>
      <c r="C276" s="227">
        <f>VLOOKUP( T_ApifImport[[#This Row],[ld]], T_Aop[], 4, 0)</f>
        <v>413</v>
      </c>
      <c r="D2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6" s="8">
        <v>276</v>
      </c>
      <c r="P276" s="47" t="s">
        <v>264</v>
      </c>
    </row>
    <row r="277" spans="2:16" x14ac:dyDescent="0.3">
      <c r="B277" s="44">
        <f>VLOOKUP( T_ApifImport[[#This Row],[Bilans]], T_Bilansi[], 4, 0)</f>
        <v>27</v>
      </c>
      <c r="C277" s="227">
        <f>VLOOKUP( T_ApifImport[[#This Row],[ld]], T_Aop[], 4, 0)</f>
        <v>414</v>
      </c>
      <c r="D2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7" s="8">
        <v>277</v>
      </c>
      <c r="P277" s="47" t="s">
        <v>264</v>
      </c>
    </row>
    <row r="278" spans="2:16" x14ac:dyDescent="0.3">
      <c r="B278" s="44">
        <f>VLOOKUP( T_ApifImport[[#This Row],[Bilans]], T_Bilansi[], 4, 0)</f>
        <v>27</v>
      </c>
      <c r="C278" s="227">
        <f>VLOOKUP( T_ApifImport[[#This Row],[ld]], T_Aop[], 4, 0)</f>
        <v>415</v>
      </c>
      <c r="D2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8" s="8">
        <v>278</v>
      </c>
      <c r="P278" s="47" t="s">
        <v>264</v>
      </c>
    </row>
    <row r="279" spans="2:16" x14ac:dyDescent="0.3">
      <c r="B279" s="44">
        <f>VLOOKUP( T_ApifImport[[#This Row],[Bilans]], T_Bilansi[], 4, 0)</f>
        <v>27</v>
      </c>
      <c r="C279" s="227">
        <f>VLOOKUP( T_ApifImport[[#This Row],[ld]], T_Aop[], 4, 0)</f>
        <v>416</v>
      </c>
      <c r="D2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1067913</v>
      </c>
      <c r="F27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2185227</v>
      </c>
      <c r="G2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9" s="8">
        <v>280</v>
      </c>
      <c r="P279" s="47" t="s">
        <v>264</v>
      </c>
    </row>
    <row r="280" spans="2:16" x14ac:dyDescent="0.3">
      <c r="B280" s="44">
        <f>VLOOKUP( T_ApifImport[[#This Row],[Bilans]], T_Bilansi[], 4, 0)</f>
        <v>27</v>
      </c>
      <c r="C280" s="227">
        <f>VLOOKUP( T_ApifImport[[#This Row],[ld]], T_Aop[], 4, 0)</f>
        <v>417</v>
      </c>
      <c r="D2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0" s="8">
        <v>282</v>
      </c>
      <c r="P280" s="47" t="s">
        <v>264</v>
      </c>
    </row>
    <row r="281" spans="2:16" x14ac:dyDescent="0.3">
      <c r="B281" s="506">
        <f>VLOOKUP( T_ApifImport[[#This Row],[Bilans]], T_Bilansi[], 4, 0)</f>
        <v>27</v>
      </c>
      <c r="C281" s="263">
        <f>VLOOKUP( T_ApifImport[[#This Row],[ld]], T_Aop[], 4, 0)</f>
        <v>418</v>
      </c>
      <c r="D2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1" s="264">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1"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1"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1"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1" s="262">
        <v>283</v>
      </c>
      <c r="P281" s="265" t="s">
        <v>264</v>
      </c>
    </row>
    <row r="282" spans="2:16" x14ac:dyDescent="0.3">
      <c r="B282" s="44">
        <f>VLOOKUP( T_ApifImport[[#This Row],[Bilans]], T_Bilansi[], 4, 0)</f>
        <v>29</v>
      </c>
      <c r="C282" s="227">
        <f>VLOOKUP( T_ApifImport[[#This Row],[ld]], T_Aop[], 4, 0)</f>
        <v>501</v>
      </c>
      <c r="D2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30</v>
      </c>
      <c r="E2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8965753</v>
      </c>
      <c r="F28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9445223</v>
      </c>
      <c r="G2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2" s="8">
        <v>284</v>
      </c>
      <c r="P282" s="47" t="s">
        <v>133</v>
      </c>
    </row>
    <row r="283" spans="2:16" x14ac:dyDescent="0.3">
      <c r="B283" s="44">
        <f>VLOOKUP( T_ApifImport[[#This Row],[Bilans]], T_Bilansi[], 4, 0)</f>
        <v>29</v>
      </c>
      <c r="C283" s="227">
        <f>VLOOKUP( T_ApifImport[[#This Row],[ld]], T_Aop[], 4, 0)</f>
        <v>502</v>
      </c>
      <c r="D2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8770027</v>
      </c>
      <c r="F28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7596547</v>
      </c>
      <c r="G2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3" s="8">
        <v>285</v>
      </c>
      <c r="P283" s="47" t="s">
        <v>133</v>
      </c>
    </row>
    <row r="284" spans="2:16" x14ac:dyDescent="0.3">
      <c r="B284" s="44">
        <f>VLOOKUP( T_ApifImport[[#This Row],[Bilans]], T_Bilansi[], 4, 0)</f>
        <v>29</v>
      </c>
      <c r="C284" s="227">
        <f>VLOOKUP( T_ApifImport[[#This Row],[ld]], T_Aop[], 4, 0)</f>
        <v>503</v>
      </c>
      <c r="D2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4" s="8">
        <v>286</v>
      </c>
      <c r="P284" s="47" t="s">
        <v>133</v>
      </c>
    </row>
    <row r="285" spans="2:16" x14ac:dyDescent="0.3">
      <c r="B285" s="44">
        <f>VLOOKUP( T_ApifImport[[#This Row],[Bilans]], T_Bilansi[], 4, 0)</f>
        <v>29</v>
      </c>
      <c r="C285" s="227">
        <f>VLOOKUP( T_ApifImport[[#This Row],[ld]], T_Aop[], 4, 0)</f>
        <v>504</v>
      </c>
      <c r="D2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94782</v>
      </c>
      <c r="G2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5" s="8">
        <v>287</v>
      </c>
      <c r="P285" s="47" t="s">
        <v>133</v>
      </c>
    </row>
    <row r="286" spans="2:16" x14ac:dyDescent="0.3">
      <c r="B286" s="44">
        <f>VLOOKUP( T_ApifImport[[#This Row],[Bilans]], T_Bilansi[], 4, 0)</f>
        <v>29</v>
      </c>
      <c r="C286" s="227">
        <f>VLOOKUP( T_ApifImport[[#This Row],[ld]], T_Aop[], 4, 0)</f>
        <v>505</v>
      </c>
      <c r="D2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195726</v>
      </c>
      <c r="F28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1753894</v>
      </c>
      <c r="G2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6" s="8">
        <v>288</v>
      </c>
      <c r="P286" s="47" t="s">
        <v>133</v>
      </c>
    </row>
    <row r="287" spans="2:16" x14ac:dyDescent="0.3">
      <c r="B287" s="44">
        <f>VLOOKUP( T_ApifImport[[#This Row],[Bilans]], T_Bilansi[], 4, 0)</f>
        <v>29</v>
      </c>
      <c r="C287" s="227">
        <f>VLOOKUP( T_ApifImport[[#This Row],[ld]], T_Aop[], 4, 0)</f>
        <v>506</v>
      </c>
      <c r="D2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31</v>
      </c>
      <c r="E2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8554512</v>
      </c>
      <c r="F28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9149335</v>
      </c>
      <c r="G2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7" s="8">
        <v>289</v>
      </c>
      <c r="P287" s="47" t="s">
        <v>133</v>
      </c>
    </row>
    <row r="288" spans="2:16" x14ac:dyDescent="0.3">
      <c r="B288" s="44">
        <f>VLOOKUP( T_ApifImport[[#This Row],[Bilans]], T_Bilansi[], 4, 0)</f>
        <v>29</v>
      </c>
      <c r="C288" s="227">
        <f>VLOOKUP( T_ApifImport[[#This Row],[ld]], T_Aop[], 4, 0)</f>
        <v>507</v>
      </c>
      <c r="D2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4322981</v>
      </c>
      <c r="F28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4857117</v>
      </c>
      <c r="G2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8" s="8">
        <v>290</v>
      </c>
      <c r="P288" s="47" t="s">
        <v>133</v>
      </c>
    </row>
    <row r="289" spans="2:16" x14ac:dyDescent="0.3">
      <c r="B289" s="44">
        <f>VLOOKUP( T_ApifImport[[#This Row],[Bilans]], T_Bilansi[], 4, 0)</f>
        <v>29</v>
      </c>
      <c r="C289" s="227">
        <f>VLOOKUP( T_ApifImport[[#This Row],[ld]], T_Aop[], 4, 0)</f>
        <v>508</v>
      </c>
      <c r="D2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33957</v>
      </c>
      <c r="F28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20518</v>
      </c>
      <c r="G2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9" s="8">
        <v>291</v>
      </c>
      <c r="P289" s="47" t="s">
        <v>133</v>
      </c>
    </row>
    <row r="290" spans="2:16" x14ac:dyDescent="0.3">
      <c r="B290" s="44">
        <f>VLOOKUP( T_ApifImport[[#This Row],[Bilans]], T_Bilansi[], 4, 0)</f>
        <v>29</v>
      </c>
      <c r="C290" s="227">
        <f>VLOOKUP( T_ApifImport[[#This Row],[ld]], T_Aop[], 4, 0)</f>
        <v>509</v>
      </c>
      <c r="D2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20642</v>
      </c>
      <c r="F29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24069</v>
      </c>
      <c r="G2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0" s="8">
        <v>292</v>
      </c>
      <c r="P290" s="47" t="s">
        <v>133</v>
      </c>
    </row>
    <row r="291" spans="2:16" x14ac:dyDescent="0.3">
      <c r="B291" s="44">
        <f>VLOOKUP( T_ApifImport[[#This Row],[Bilans]], T_Bilansi[], 4, 0)</f>
        <v>29</v>
      </c>
      <c r="C291" s="227">
        <f>VLOOKUP( T_ApifImport[[#This Row],[ld]], T_Aop[], 4, 0)</f>
        <v>510</v>
      </c>
      <c r="D2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2894302</v>
      </c>
      <c r="F291"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2720967</v>
      </c>
      <c r="G2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1" s="8">
        <v>293</v>
      </c>
      <c r="P291" s="47" t="s">
        <v>133</v>
      </c>
    </row>
    <row r="292" spans="2:16" x14ac:dyDescent="0.3">
      <c r="B292" s="44">
        <f>VLOOKUP( T_ApifImport[[#This Row],[Bilans]], T_Bilansi[], 4, 0)</f>
        <v>29</v>
      </c>
      <c r="C292" s="227">
        <f>VLOOKUP( T_ApifImport[[#This Row],[ld]], T_Aop[], 4, 0)</f>
        <v>511</v>
      </c>
      <c r="D2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98103</v>
      </c>
      <c r="F292"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87915</v>
      </c>
      <c r="G2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2" s="8">
        <v>294</v>
      </c>
      <c r="P292" s="47" t="s">
        <v>133</v>
      </c>
    </row>
    <row r="293" spans="2:16" x14ac:dyDescent="0.3">
      <c r="B293" s="44">
        <f>VLOOKUP( T_ApifImport[[#This Row],[Bilans]], T_Bilansi[], 4, 0)</f>
        <v>29</v>
      </c>
      <c r="C293" s="227">
        <f>VLOOKUP( T_ApifImport[[#This Row],[ld]], T_Aop[], 4, 0)</f>
        <v>512</v>
      </c>
      <c r="D2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1184527</v>
      </c>
      <c r="F293"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1438749</v>
      </c>
      <c r="G2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3" s="8">
        <v>295</v>
      </c>
      <c r="P293" s="47" t="s">
        <v>133</v>
      </c>
    </row>
    <row r="294" spans="2:16" x14ac:dyDescent="0.3">
      <c r="B294" s="44">
        <f>VLOOKUP( T_ApifImport[[#This Row],[Bilans]], T_Bilansi[], 4, 0)</f>
        <v>29</v>
      </c>
      <c r="C294" s="227">
        <f>VLOOKUP( T_ApifImport[[#This Row],[ld]], T_Aop[], 4, 0)</f>
        <v>513</v>
      </c>
      <c r="D2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411241</v>
      </c>
      <c r="F294"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295888</v>
      </c>
      <c r="G2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4" s="8">
        <v>296</v>
      </c>
      <c r="P294" s="47" t="s">
        <v>133</v>
      </c>
    </row>
    <row r="295" spans="2:16" x14ac:dyDescent="0.3">
      <c r="B295" s="44">
        <f>VLOOKUP( T_ApifImport[[#This Row],[Bilans]], T_Bilansi[], 4, 0)</f>
        <v>29</v>
      </c>
      <c r="C295" s="227">
        <f>VLOOKUP( T_ApifImport[[#This Row],[ld]], T_Aop[], 4, 0)</f>
        <v>514</v>
      </c>
      <c r="D2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5"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5" s="8">
        <v>297</v>
      </c>
      <c r="P295" s="47" t="s">
        <v>133</v>
      </c>
    </row>
    <row r="296" spans="2:16" x14ac:dyDescent="0.3">
      <c r="B296" s="44">
        <f>VLOOKUP( T_ApifImport[[#This Row],[Bilans]], T_Bilansi[], 4, 0)</f>
        <v>29</v>
      </c>
      <c r="C296" s="227">
        <f>VLOOKUP( T_ApifImport[[#This Row],[ld]], T_Aop[], 4, 0)</f>
        <v>515</v>
      </c>
      <c r="D2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32</v>
      </c>
      <c r="E2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905784</v>
      </c>
      <c r="F296"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383782</v>
      </c>
      <c r="G2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6" s="8">
        <v>298</v>
      </c>
      <c r="P296" s="47" t="s">
        <v>133</v>
      </c>
    </row>
    <row r="297" spans="2:16" x14ac:dyDescent="0.3">
      <c r="B297" s="44">
        <f>VLOOKUP( T_ApifImport[[#This Row],[Bilans]], T_Bilansi[], 4, 0)</f>
        <v>29</v>
      </c>
      <c r="C297" s="227">
        <f>VLOOKUP( T_ApifImport[[#This Row],[ld]], T_Aop[], 4, 0)</f>
        <v>516</v>
      </c>
      <c r="D2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7"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7" s="8">
        <v>299</v>
      </c>
      <c r="P297" s="47" t="s">
        <v>133</v>
      </c>
    </row>
    <row r="298" spans="2:16" x14ac:dyDescent="0.3">
      <c r="B298" s="44">
        <f>VLOOKUP( T_ApifImport[[#This Row],[Bilans]], T_Bilansi[], 4, 0)</f>
        <v>29</v>
      </c>
      <c r="C298" s="227">
        <f>VLOOKUP( T_ApifImport[[#This Row],[ld]], T_Aop[], 4, 0)</f>
        <v>517</v>
      </c>
      <c r="D2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8"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8" s="8">
        <v>300</v>
      </c>
      <c r="P298" s="47" t="s">
        <v>133</v>
      </c>
    </row>
    <row r="299" spans="2:16" x14ac:dyDescent="0.3">
      <c r="B299" s="44">
        <f>VLOOKUP( T_ApifImport[[#This Row],[Bilans]], T_Bilansi[], 4, 0)</f>
        <v>29</v>
      </c>
      <c r="C299" s="227">
        <f>VLOOKUP( T_ApifImport[[#This Row],[ld]], T_Aop[], 4, 0)</f>
        <v>518</v>
      </c>
      <c r="D2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9"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9" s="8">
        <v>301</v>
      </c>
      <c r="P299" s="47" t="s">
        <v>133</v>
      </c>
    </row>
    <row r="300" spans="2:16" x14ac:dyDescent="0.3">
      <c r="B300" s="44">
        <f>VLOOKUP( T_ApifImport[[#This Row],[Bilans]], T_Bilansi[], 4, 0)</f>
        <v>29</v>
      </c>
      <c r="C300" s="227">
        <f>VLOOKUP( T_ApifImport[[#This Row],[ld]], T_Aop[], 4, 0)</f>
        <v>519</v>
      </c>
      <c r="D3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0" s="228">
        <f ca="1">IF(AND([0]!Godina=2026,MID(Osnovni_podaci!D20,3,1)="s",Osnovni_podaci!L24=6,Osnovni_podaci!G24=0,MID(Osnovni_podaci!D20,3,1)="s",MID(Osnovni_podaci!D20,8,1)=" "),IF(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3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0" s="8">
        <v>302</v>
      </c>
      <c r="P300" s="47" t="s">
        <v>133</v>
      </c>
    </row>
    <row r="301" spans="2:16" x14ac:dyDescent="0.3">
      <c r="B301" s="44">
        <f>VLOOKUP( T_ApifImport[[#This Row],[Bilans]], T_Bilansi[], 4, 0)</f>
        <v>29</v>
      </c>
      <c r="C301" s="227">
        <f>VLOOKUP( T_ApifImport[[#This Row],[ld]], T_Aop[], 4, 0)</f>
        <v>520</v>
      </c>
      <c r="D3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1" s="8">
        <v>303</v>
      </c>
      <c r="P301" s="47" t="s">
        <v>133</v>
      </c>
    </row>
    <row r="302" spans="2:16" x14ac:dyDescent="0.3">
      <c r="B302" s="44">
        <f>VLOOKUP( T_ApifImport[[#This Row],[Bilans]], T_Bilansi[], 4, 0)</f>
        <v>29</v>
      </c>
      <c r="C302" s="227">
        <f>VLOOKUP( T_ApifImport[[#This Row],[ld]], T_Aop[], 4, 0)</f>
        <v>521</v>
      </c>
      <c r="D3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2" s="8">
        <v>304</v>
      </c>
      <c r="P302" s="47" t="s">
        <v>133</v>
      </c>
    </row>
    <row r="303" spans="2:16" x14ac:dyDescent="0.3">
      <c r="B303" s="44">
        <f>VLOOKUP( T_ApifImport[[#This Row],[Bilans]], T_Bilansi[], 4, 0)</f>
        <v>29</v>
      </c>
      <c r="C303" s="227">
        <f>VLOOKUP( T_ApifImport[[#This Row],[ld]], T_Aop[], 4, 0)</f>
        <v>522</v>
      </c>
      <c r="D3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3" s="8">
        <v>305</v>
      </c>
      <c r="P303" s="47" t="s">
        <v>133</v>
      </c>
    </row>
    <row r="304" spans="2:16" x14ac:dyDescent="0.3">
      <c r="B304" s="44">
        <f>VLOOKUP( T_ApifImport[[#This Row],[Bilans]], T_Bilansi[], 4, 0)</f>
        <v>29</v>
      </c>
      <c r="C304" s="227">
        <f>VLOOKUP( T_ApifImport[[#This Row],[ld]], T_Aop[], 4, 0)</f>
        <v>523</v>
      </c>
      <c r="D3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4" s="8">
        <v>306</v>
      </c>
      <c r="P304" s="47" t="s">
        <v>133</v>
      </c>
    </row>
    <row r="305" spans="2:16" x14ac:dyDescent="0.3">
      <c r="B305" s="44">
        <f>VLOOKUP( T_ApifImport[[#This Row],[Bilans]], T_Bilansi[], 4, 0)</f>
        <v>29</v>
      </c>
      <c r="C305" s="227">
        <f>VLOOKUP( T_ApifImport[[#This Row],[ld]], T_Aop[], 4, 0)</f>
        <v>524</v>
      </c>
      <c r="D3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901000</v>
      </c>
      <c r="F3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5" s="8">
        <v>307</v>
      </c>
      <c r="P305" s="47" t="s">
        <v>133</v>
      </c>
    </row>
    <row r="306" spans="2:16" x14ac:dyDescent="0.3">
      <c r="B306" s="44">
        <f>VLOOKUP( T_ApifImport[[#This Row],[Bilans]], T_Bilansi[], 4, 0)</f>
        <v>29</v>
      </c>
      <c r="C306" s="227">
        <f>VLOOKUP( T_ApifImport[[#This Row],[ld]], T_Aop[], 4, 0)</f>
        <v>525</v>
      </c>
      <c r="D3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6" s="8">
        <v>308</v>
      </c>
      <c r="P306" s="47" t="s">
        <v>133</v>
      </c>
    </row>
    <row r="307" spans="2:16" x14ac:dyDescent="0.3">
      <c r="B307" s="44">
        <f>VLOOKUP( T_ApifImport[[#This Row],[Bilans]], T_Bilansi[], 4, 0)</f>
        <v>29</v>
      </c>
      <c r="C307" s="227">
        <f>VLOOKUP( T_ApifImport[[#This Row],[ld]], T_Aop[], 4, 0)</f>
        <v>526</v>
      </c>
      <c r="D3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7" s="8">
        <v>309</v>
      </c>
      <c r="P307" s="47" t="s">
        <v>133</v>
      </c>
    </row>
    <row r="308" spans="2:16" x14ac:dyDescent="0.3">
      <c r="B308" s="44">
        <f>VLOOKUP( T_ApifImport[[#This Row],[Bilans]], T_Bilansi[], 4, 0)</f>
        <v>29</v>
      </c>
      <c r="C308" s="227">
        <f>VLOOKUP( T_ApifImport[[#This Row],[ld]], T_Aop[], 4, 0)</f>
        <v>527</v>
      </c>
      <c r="D3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4784</v>
      </c>
      <c r="F3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383782</v>
      </c>
      <c r="G3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8" s="8">
        <v>310</v>
      </c>
      <c r="P308" s="47" t="s">
        <v>133</v>
      </c>
    </row>
    <row r="309" spans="2:16" x14ac:dyDescent="0.3">
      <c r="B309" s="44">
        <f>VLOOKUP( T_ApifImport[[#This Row],[Bilans]], T_Bilansi[], 4, 0)</f>
        <v>29</v>
      </c>
      <c r="C309" s="227">
        <f>VLOOKUP( T_ApifImport[[#This Row],[ld]], T_Aop[], 4, 0)</f>
        <v>528</v>
      </c>
      <c r="D3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9" s="8">
        <v>311</v>
      </c>
      <c r="P309" s="47" t="s">
        <v>133</v>
      </c>
    </row>
    <row r="310" spans="2:16" x14ac:dyDescent="0.3">
      <c r="B310" s="44">
        <f>VLOOKUP( T_ApifImport[[#This Row],[Bilans]], T_Bilansi[], 4, 0)</f>
        <v>29</v>
      </c>
      <c r="C310" s="227">
        <f>VLOOKUP( T_ApifImport[[#This Row],[ld]], T_Aop[], 4, 0)</f>
        <v>529</v>
      </c>
      <c r="D3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0" s="8">
        <v>312</v>
      </c>
      <c r="P310" s="47" t="s">
        <v>133</v>
      </c>
    </row>
    <row r="311" spans="2:16" x14ac:dyDescent="0.3">
      <c r="B311" s="44">
        <f>VLOOKUP( T_ApifImport[[#This Row],[Bilans]], T_Bilansi[], 4, 0)</f>
        <v>29</v>
      </c>
      <c r="C311" s="227">
        <f>VLOOKUP( T_ApifImport[[#This Row],[ld]], T_Aop[], 4, 0)</f>
        <v>530</v>
      </c>
      <c r="D3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1" s="8">
        <v>313</v>
      </c>
      <c r="P311" s="47" t="s">
        <v>133</v>
      </c>
    </row>
    <row r="312" spans="2:16" x14ac:dyDescent="0.3">
      <c r="B312" s="44">
        <f>VLOOKUP( T_ApifImport[[#This Row],[Bilans]], T_Bilansi[], 4, 0)</f>
        <v>29</v>
      </c>
      <c r="C312" s="227">
        <f>VLOOKUP( T_ApifImport[[#This Row],[ld]], T_Aop[], 4, 0)</f>
        <v>531</v>
      </c>
      <c r="D3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32</v>
      </c>
      <c r="E31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1814355</v>
      </c>
      <c r="F3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142131</v>
      </c>
      <c r="G3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2" s="8">
        <v>314</v>
      </c>
      <c r="P312" s="47" t="s">
        <v>133</v>
      </c>
    </row>
    <row r="313" spans="2:16" x14ac:dyDescent="0.3">
      <c r="B313" s="44">
        <f>VLOOKUP( T_ApifImport[[#This Row],[Bilans]], T_Bilansi[], 4, 0)</f>
        <v>29</v>
      </c>
      <c r="C313" s="227">
        <f>VLOOKUP( T_ApifImport[[#This Row],[ld]], T_Aop[], 4, 0)</f>
        <v>532</v>
      </c>
      <c r="D3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3" s="8">
        <v>315</v>
      </c>
      <c r="P313" s="47" t="s">
        <v>133</v>
      </c>
    </row>
    <row r="314" spans="2:16" x14ac:dyDescent="0.3">
      <c r="B314" s="44">
        <f>VLOOKUP( T_ApifImport[[#This Row],[Bilans]], T_Bilansi[], 4, 0)</f>
        <v>29</v>
      </c>
      <c r="C314" s="227">
        <f>VLOOKUP( T_ApifImport[[#This Row],[ld]], T_Aop[], 4, 0)</f>
        <v>533</v>
      </c>
      <c r="D3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1238355</v>
      </c>
      <c r="F3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142131</v>
      </c>
      <c r="G3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4" s="8">
        <v>316</v>
      </c>
      <c r="P314" s="47" t="s">
        <v>133</v>
      </c>
    </row>
    <row r="315" spans="2:16" x14ac:dyDescent="0.3">
      <c r="B315" s="44">
        <f>VLOOKUP( T_ApifImport[[#This Row],[Bilans]], T_Bilansi[], 4, 0)</f>
        <v>29</v>
      </c>
      <c r="C315" s="227">
        <f>VLOOKUP( T_ApifImport[[#This Row],[ld]], T_Aop[], 4, 0)</f>
        <v>534</v>
      </c>
      <c r="D3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5" s="8">
        <v>317</v>
      </c>
      <c r="P315" s="47" t="s">
        <v>133</v>
      </c>
    </row>
    <row r="316" spans="2:16" x14ac:dyDescent="0.3">
      <c r="B316" s="44">
        <f>VLOOKUP( T_ApifImport[[#This Row],[Bilans]], T_Bilansi[], 4, 0)</f>
        <v>29</v>
      </c>
      <c r="C316" s="227">
        <f>VLOOKUP( T_ApifImport[[#This Row],[ld]], T_Aop[], 4, 0)</f>
        <v>535</v>
      </c>
      <c r="D3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6" s="8">
        <v>318</v>
      </c>
      <c r="P316" s="47" t="s">
        <v>133</v>
      </c>
    </row>
    <row r="317" spans="2:16" x14ac:dyDescent="0.3">
      <c r="B317" s="44">
        <f>VLOOKUP( T_ApifImport[[#This Row],[Bilans]], T_Bilansi[], 4, 0)</f>
        <v>29</v>
      </c>
      <c r="C317" s="227">
        <f>VLOOKUP( T_ApifImport[[#This Row],[ld]], T_Aop[], 4, 0)</f>
        <v>536</v>
      </c>
      <c r="D3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7" s="8">
        <v>319</v>
      </c>
      <c r="P317" s="47" t="s">
        <v>133</v>
      </c>
    </row>
    <row r="318" spans="2:16" x14ac:dyDescent="0.3">
      <c r="B318" s="44">
        <f>VLOOKUP( T_ApifImport[[#This Row],[Bilans]], T_Bilansi[], 4, 0)</f>
        <v>29</v>
      </c>
      <c r="C318" s="227">
        <f>VLOOKUP( T_ApifImport[[#This Row],[ld]], T_Aop[], 4, 0)</f>
        <v>537</v>
      </c>
      <c r="D3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8" s="8">
        <v>320</v>
      </c>
      <c r="P318" s="47" t="s">
        <v>133</v>
      </c>
    </row>
    <row r="319" spans="2:16" x14ac:dyDescent="0.3">
      <c r="B319" s="44">
        <f>VLOOKUP( T_ApifImport[[#This Row],[Bilans]], T_Bilansi[], 4, 0)</f>
        <v>29</v>
      </c>
      <c r="C319" s="227">
        <f>VLOOKUP( T_ApifImport[[#This Row],[ld]], T_Aop[], 4, 0)</f>
        <v>538</v>
      </c>
      <c r="D3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9" s="8">
        <v>321</v>
      </c>
      <c r="P319" s="47" t="s">
        <v>133</v>
      </c>
    </row>
    <row r="320" spans="2:16" x14ac:dyDescent="0.3">
      <c r="B320" s="44">
        <f>VLOOKUP( T_ApifImport[[#This Row],[Bilans]], T_Bilansi[], 4, 0)</f>
        <v>29</v>
      </c>
      <c r="C320" s="227">
        <f>VLOOKUP( T_ApifImport[[#This Row],[ld]], T_Aop[], 4, 0)</f>
        <v>539</v>
      </c>
      <c r="D3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576000</v>
      </c>
      <c r="F3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0" s="8">
        <v>322</v>
      </c>
      <c r="P320" s="47" t="s">
        <v>133</v>
      </c>
    </row>
    <row r="321" spans="2:16" x14ac:dyDescent="0.3">
      <c r="B321" s="44">
        <f>VLOOKUP( T_ApifImport[[#This Row],[Bilans]], T_Bilansi[], 4, 0)</f>
        <v>29</v>
      </c>
      <c r="C321" s="227">
        <f>VLOOKUP( T_ApifImport[[#This Row],[ld]], T_Aop[], 4, 0)</f>
        <v>540</v>
      </c>
      <c r="D3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1" s="8">
        <v>323</v>
      </c>
      <c r="P321" s="47" t="s">
        <v>133</v>
      </c>
    </row>
    <row r="322" spans="2:16" x14ac:dyDescent="0.3">
      <c r="B322" s="44">
        <f>VLOOKUP( T_ApifImport[[#This Row],[Bilans]], T_Bilansi[], 4, 0)</f>
        <v>29</v>
      </c>
      <c r="C322" s="227">
        <f>VLOOKUP( T_ApifImport[[#This Row],[ld]], T_Aop[], 4, 0)</f>
        <v>541</v>
      </c>
      <c r="D3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2" s="8">
        <v>324</v>
      </c>
      <c r="P322" s="47" t="s">
        <v>133</v>
      </c>
    </row>
    <row r="323" spans="2:16" x14ac:dyDescent="0.3">
      <c r="B323" s="44">
        <f>VLOOKUP( T_ApifImport[[#This Row],[Bilans]], T_Bilansi[], 4, 0)</f>
        <v>29</v>
      </c>
      <c r="C323" s="227">
        <f>VLOOKUP( T_ApifImport[[#This Row],[ld]], T_Aop[], 4, 0)</f>
        <v>542</v>
      </c>
      <c r="D3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241651</v>
      </c>
      <c r="G3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3" s="8">
        <v>325</v>
      </c>
      <c r="P323" s="47" t="s">
        <v>133</v>
      </c>
    </row>
    <row r="324" spans="2:16" x14ac:dyDescent="0.3">
      <c r="B324" s="44">
        <f>VLOOKUP( T_ApifImport[[#This Row],[Bilans]], T_Bilansi[], 4, 0)</f>
        <v>29</v>
      </c>
      <c r="C324" s="227">
        <f>VLOOKUP( T_ApifImport[[#This Row],[ld]], T_Aop[], 4, 0)</f>
        <v>543</v>
      </c>
      <c r="D3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908571</v>
      </c>
      <c r="F3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4" s="8">
        <v>326</v>
      </c>
      <c r="P324" s="47" t="s">
        <v>133</v>
      </c>
    </row>
    <row r="325" spans="2:16" x14ac:dyDescent="0.3">
      <c r="B325" s="44">
        <f>VLOOKUP( T_ApifImport[[#This Row],[Bilans]], T_Bilansi[], 4, 0)</f>
        <v>29</v>
      </c>
      <c r="C325" s="227">
        <f>VLOOKUP( T_ApifImport[[#This Row],[ld]], T_Aop[], 4, 0)</f>
        <v>544</v>
      </c>
      <c r="D3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33</v>
      </c>
      <c r="E32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5335872</v>
      </c>
      <c r="F3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10413144</v>
      </c>
      <c r="G3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5" s="8">
        <v>327</v>
      </c>
      <c r="P325" s="47" t="s">
        <v>133</v>
      </c>
    </row>
    <row r="326" spans="2:16" x14ac:dyDescent="0.3">
      <c r="B326" s="44">
        <f>VLOOKUP( T_ApifImport[[#This Row],[Bilans]], T_Bilansi[], 4, 0)</f>
        <v>29</v>
      </c>
      <c r="C326" s="227">
        <f>VLOOKUP( T_ApifImport[[#This Row],[ld]], T_Aop[], 4, 0)</f>
        <v>545</v>
      </c>
      <c r="D3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6" s="8">
        <v>328</v>
      </c>
      <c r="P326" s="47" t="s">
        <v>133</v>
      </c>
    </row>
    <row r="327" spans="2:16" x14ac:dyDescent="0.3">
      <c r="B327" s="44">
        <f>VLOOKUP( T_ApifImport[[#This Row],[Bilans]], T_Bilansi[], 4, 0)</f>
        <v>29</v>
      </c>
      <c r="C327" s="227">
        <f>VLOOKUP( T_ApifImport[[#This Row],[ld]], T_Aop[], 4, 0)</f>
        <v>546</v>
      </c>
      <c r="D3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7" s="8">
        <v>329</v>
      </c>
      <c r="P327" s="47" t="s">
        <v>133</v>
      </c>
    </row>
    <row r="328" spans="2:16" x14ac:dyDescent="0.3">
      <c r="B328" s="44">
        <f>VLOOKUP( T_ApifImport[[#This Row],[Bilans]], T_Bilansi[], 4, 0)</f>
        <v>29</v>
      </c>
      <c r="C328" s="227">
        <f>VLOOKUP( T_ApifImport[[#This Row],[ld]], T_Aop[], 4, 0)</f>
        <v>547</v>
      </c>
      <c r="D3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8" s="8">
        <v>330</v>
      </c>
      <c r="P328" s="47" t="s">
        <v>133</v>
      </c>
    </row>
    <row r="329" spans="2:16" x14ac:dyDescent="0.3">
      <c r="B329" s="44">
        <f>VLOOKUP( T_ApifImport[[#This Row],[Bilans]], T_Bilansi[], 4, 0)</f>
        <v>29</v>
      </c>
      <c r="C329" s="227">
        <f>VLOOKUP( T_ApifImport[[#This Row],[ld]], T_Aop[], 4, 0)</f>
        <v>548</v>
      </c>
      <c r="D3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5335872</v>
      </c>
      <c r="F3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10413144</v>
      </c>
      <c r="G3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9" s="8">
        <v>331</v>
      </c>
      <c r="P329" s="47" t="s">
        <v>133</v>
      </c>
    </row>
    <row r="330" spans="2:16" x14ac:dyDescent="0.3">
      <c r="B330" s="44">
        <f>VLOOKUP( T_ApifImport[[#This Row],[Bilans]], T_Bilansi[], 4, 0)</f>
        <v>29</v>
      </c>
      <c r="C330" s="227">
        <f>VLOOKUP( T_ApifImport[[#This Row],[ld]], T_Aop[], 4, 0)</f>
        <v>549</v>
      </c>
      <c r="D3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0" s="8">
        <v>332</v>
      </c>
      <c r="P330" s="47" t="s">
        <v>133</v>
      </c>
    </row>
    <row r="331" spans="2:16" x14ac:dyDescent="0.3">
      <c r="B331" s="44">
        <f>VLOOKUP( T_ApifImport[[#This Row],[Bilans]], T_Bilansi[], 4, 0)</f>
        <v>29</v>
      </c>
      <c r="C331" s="227">
        <f>VLOOKUP( T_ApifImport[[#This Row],[ld]], T_Aop[], 4, 0)</f>
        <v>550</v>
      </c>
      <c r="D3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1" s="8">
        <v>333</v>
      </c>
      <c r="P331" s="47" t="s">
        <v>133</v>
      </c>
    </row>
    <row r="332" spans="2:16" x14ac:dyDescent="0.3">
      <c r="B332" s="44">
        <f>VLOOKUP( T_ApifImport[[#This Row],[Bilans]], T_Bilansi[], 4, 0)</f>
        <v>29</v>
      </c>
      <c r="C332" s="227">
        <f>VLOOKUP( T_ApifImport[[#This Row],[ld]], T_Aop[], 4, 0)</f>
        <v>551</v>
      </c>
      <c r="D3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34</v>
      </c>
      <c r="E33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4785788</v>
      </c>
      <c r="F3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13776152</v>
      </c>
      <c r="G3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2" s="8">
        <v>334</v>
      </c>
      <c r="P332" s="47" t="s">
        <v>133</v>
      </c>
    </row>
    <row r="333" spans="2:16" x14ac:dyDescent="0.3">
      <c r="B333" s="44">
        <f>VLOOKUP( T_ApifImport[[#This Row],[Bilans]], T_Bilansi[], 4, 0)</f>
        <v>29</v>
      </c>
      <c r="C333" s="227">
        <f>VLOOKUP( T_ApifImport[[#This Row],[ld]], T_Aop[], 4, 0)</f>
        <v>552</v>
      </c>
      <c r="D3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3" s="8">
        <v>335</v>
      </c>
      <c r="P333" s="47" t="s">
        <v>133</v>
      </c>
    </row>
    <row r="334" spans="2:16" x14ac:dyDescent="0.3">
      <c r="B334" s="44">
        <f>VLOOKUP( T_ApifImport[[#This Row],[Bilans]], T_Bilansi[], 4, 0)</f>
        <v>29</v>
      </c>
      <c r="C334" s="227">
        <f>VLOOKUP( T_ApifImport[[#This Row],[ld]], T_Aop[], 4, 0)</f>
        <v>553</v>
      </c>
      <c r="D3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4" s="8">
        <v>336</v>
      </c>
      <c r="P334" s="47" t="s">
        <v>133</v>
      </c>
    </row>
    <row r="335" spans="2:16" x14ac:dyDescent="0.3">
      <c r="B335" s="44">
        <f>VLOOKUP( T_ApifImport[[#This Row],[Bilans]], T_Bilansi[], 4, 0)</f>
        <v>29</v>
      </c>
      <c r="C335" s="227">
        <f>VLOOKUP( T_ApifImport[[#This Row],[ld]], T_Aop[], 4, 0)</f>
        <v>554</v>
      </c>
      <c r="D3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4785788</v>
      </c>
      <c r="F3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13776152</v>
      </c>
      <c r="G3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5" s="8">
        <v>337</v>
      </c>
      <c r="P335" s="47" t="s">
        <v>133</v>
      </c>
    </row>
    <row r="336" spans="2:16" x14ac:dyDescent="0.3">
      <c r="B336" s="44">
        <f>VLOOKUP( T_ApifImport[[#This Row],[Bilans]], T_Bilansi[], 4, 0)</f>
        <v>29</v>
      </c>
      <c r="C336" s="227">
        <f>VLOOKUP( T_ApifImport[[#This Row],[ld]], T_Aop[], 4, 0)</f>
        <v>555</v>
      </c>
      <c r="D3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6" s="8">
        <v>338</v>
      </c>
      <c r="P336" s="47" t="s">
        <v>133</v>
      </c>
    </row>
    <row r="337" spans="2:16" x14ac:dyDescent="0.3">
      <c r="B337" s="44">
        <f>VLOOKUP( T_ApifImport[[#This Row],[Bilans]], T_Bilansi[], 4, 0)</f>
        <v>29</v>
      </c>
      <c r="C337" s="227">
        <f>VLOOKUP( T_ApifImport[[#This Row],[ld]], T_Aop[], 4, 0)</f>
        <v>556</v>
      </c>
      <c r="D3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7" s="8">
        <v>339</v>
      </c>
      <c r="P337" s="47" t="s">
        <v>133</v>
      </c>
    </row>
    <row r="338" spans="2:16" x14ac:dyDescent="0.3">
      <c r="B338" s="44">
        <f>VLOOKUP( T_ApifImport[[#This Row],[Bilans]], T_Bilansi[], 4, 0)</f>
        <v>29</v>
      </c>
      <c r="C338" s="227">
        <f>VLOOKUP( T_ApifImport[[#This Row],[ld]], T_Aop[], 4, 0)</f>
        <v>557</v>
      </c>
      <c r="D3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8" s="8">
        <v>340</v>
      </c>
      <c r="P338" s="47" t="s">
        <v>133</v>
      </c>
    </row>
    <row r="339" spans="2:16" x14ac:dyDescent="0.3">
      <c r="B339" s="44">
        <f>VLOOKUP( T_ApifImport[[#This Row],[Bilans]], T_Bilansi[], 4, 0)</f>
        <v>29</v>
      </c>
      <c r="C339" s="227">
        <f>VLOOKUP( T_ApifImport[[#This Row],[ld]], T_Aop[], 4, 0)</f>
        <v>558</v>
      </c>
      <c r="D3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9" s="8">
        <v>341</v>
      </c>
      <c r="P339" s="47" t="s">
        <v>133</v>
      </c>
    </row>
    <row r="340" spans="2:16" x14ac:dyDescent="0.3">
      <c r="B340" s="44">
        <f>VLOOKUP( T_ApifImport[[#This Row],[Bilans]], T_Bilansi[], 4, 0)</f>
        <v>29</v>
      </c>
      <c r="C340" s="227">
        <f>VLOOKUP( T_ApifImport[[#This Row],[ld]], T_Aop[], 4, 0)</f>
        <v>559</v>
      </c>
      <c r="D3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550084</v>
      </c>
      <c r="F3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0" s="8">
        <v>342</v>
      </c>
      <c r="P340" s="47" t="s">
        <v>133</v>
      </c>
    </row>
    <row r="341" spans="2:16" x14ac:dyDescent="0.3">
      <c r="B341" s="44">
        <f>VLOOKUP( T_ApifImport[[#This Row],[Bilans]], T_Bilansi[], 4, 0)</f>
        <v>29</v>
      </c>
      <c r="C341" s="227">
        <f>VLOOKUP( T_ApifImport[[#This Row],[ld]], T_Aop[], 4, 0)</f>
        <v>560</v>
      </c>
      <c r="D3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3363008</v>
      </c>
      <c r="G3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1" s="8">
        <v>343</v>
      </c>
      <c r="P341" s="47" t="s">
        <v>133</v>
      </c>
    </row>
    <row r="342" spans="2:16" x14ac:dyDescent="0.3">
      <c r="B342" s="44">
        <f>VLOOKUP( T_ApifImport[[#This Row],[Bilans]], T_Bilansi[], 4, 0)</f>
        <v>29</v>
      </c>
      <c r="C342" s="227">
        <f>VLOOKUP( T_ApifImport[[#This Row],[ld]], T_Aop[], 4, 0)</f>
        <v>561</v>
      </c>
      <c r="D3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30</v>
      </c>
      <c r="E34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15207409</v>
      </c>
      <c r="F3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20242149</v>
      </c>
      <c r="G3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2" s="8">
        <v>344</v>
      </c>
      <c r="P342" s="47" t="s">
        <v>133</v>
      </c>
    </row>
    <row r="343" spans="2:16" x14ac:dyDescent="0.3">
      <c r="B343" s="44">
        <f>VLOOKUP( T_ApifImport[[#This Row],[Bilans]], T_Bilansi[], 4, 0)</f>
        <v>29</v>
      </c>
      <c r="C343" s="227">
        <f>VLOOKUP( T_ApifImport[[#This Row],[ld]], T_Aop[], 4, 0)</f>
        <v>562</v>
      </c>
      <c r="D3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31</v>
      </c>
      <c r="E34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15154655</v>
      </c>
      <c r="F3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23067618</v>
      </c>
      <c r="G3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3" s="8">
        <v>345</v>
      </c>
      <c r="P343" s="47" t="s">
        <v>133</v>
      </c>
    </row>
    <row r="344" spans="2:16" x14ac:dyDescent="0.3">
      <c r="B344" s="44">
        <f>VLOOKUP( T_ApifImport[[#This Row],[Bilans]], T_Bilansi[], 4, 0)</f>
        <v>29</v>
      </c>
      <c r="C344" s="227">
        <f>VLOOKUP( T_ApifImport[[#This Row],[ld]], T_Aop[], 4, 0)</f>
        <v>563</v>
      </c>
      <c r="D3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52754</v>
      </c>
      <c r="F3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4" s="8">
        <v>346</v>
      </c>
      <c r="P344" s="47" t="s">
        <v>133</v>
      </c>
    </row>
    <row r="345" spans="2:16" x14ac:dyDescent="0.3">
      <c r="B345" s="44">
        <f>VLOOKUP( T_ApifImport[[#This Row],[Bilans]], T_Bilansi[], 4, 0)</f>
        <v>29</v>
      </c>
      <c r="C345" s="227">
        <f>VLOOKUP( T_ApifImport[[#This Row],[ld]], T_Aop[], 4, 0)</f>
        <v>564</v>
      </c>
      <c r="D3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2825469</v>
      </c>
      <c r="G3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5" s="8">
        <v>347</v>
      </c>
      <c r="P345" s="47" t="s">
        <v>133</v>
      </c>
    </row>
    <row r="346" spans="2:16" x14ac:dyDescent="0.3">
      <c r="B346" s="44">
        <f>VLOOKUP( T_ApifImport[[#This Row],[Bilans]], T_Bilansi[], 4, 0)</f>
        <v>29</v>
      </c>
      <c r="C346" s="227">
        <f>VLOOKUP( T_ApifImport[[#This Row],[ld]], T_Aop[], 4, 0)</f>
        <v>565</v>
      </c>
      <c r="D3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197935</v>
      </c>
      <c r="F3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2953513</v>
      </c>
      <c r="G3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6" s="8">
        <v>348</v>
      </c>
      <c r="P346" s="47" t="s">
        <v>133</v>
      </c>
    </row>
    <row r="347" spans="2:16" x14ac:dyDescent="0.3">
      <c r="B347" s="44">
        <f>VLOOKUP( T_ApifImport[[#This Row],[Bilans]], T_Bilansi[], 4, 0)</f>
        <v>29</v>
      </c>
      <c r="C347" s="227">
        <f>VLOOKUP( T_ApifImport[[#This Row],[ld]], T_Aop[], 4, 0)</f>
        <v>566</v>
      </c>
      <c r="D3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7" s="8">
        <v>349</v>
      </c>
      <c r="P347" s="47" t="s">
        <v>133</v>
      </c>
    </row>
    <row r="348" spans="2:16" x14ac:dyDescent="0.3">
      <c r="B348" s="44">
        <f>VLOOKUP( T_ApifImport[[#This Row],[Bilans]], T_Bilansi[], 4, 0)</f>
        <v>29</v>
      </c>
      <c r="C348" s="227">
        <f>VLOOKUP( T_ApifImport[[#This Row],[ld]], T_Aop[], 4, 0)</f>
        <v>567</v>
      </c>
      <c r="D3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8" s="8">
        <v>350</v>
      </c>
      <c r="P348" s="47" t="s">
        <v>133</v>
      </c>
    </row>
    <row r="349" spans="2:16" x14ac:dyDescent="0.3">
      <c r="B349" s="506">
        <f>VLOOKUP( T_ApifImport[[#This Row],[Bilans]], T_Bilansi[], 4, 0)</f>
        <v>29</v>
      </c>
      <c r="C349" s="227">
        <f>VLOOKUP( T_ApifImport[[#This Row],[ld]], T_Aop[], 4, 0)</f>
        <v>568</v>
      </c>
      <c r="D3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250689</v>
      </c>
      <c r="F3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128044</v>
      </c>
      <c r="G3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9" s="8">
        <v>351</v>
      </c>
      <c r="P349" s="47" t="s">
        <v>133</v>
      </c>
    </row>
    <row r="350" spans="2:16" x14ac:dyDescent="0.3">
      <c r="B350" s="44">
        <f>VLOOKUP( T_ApifImport[[#This Row],[Bilans]], T_Bilansi[], 4, 0)</f>
        <v>28</v>
      </c>
      <c r="C350" s="227">
        <f>VLOOKUP( T_ApifImport[[#This Row],[ld]], T_Aop[], 4, 0)</f>
        <v>601</v>
      </c>
      <c r="D3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0" s="8">
        <v>352</v>
      </c>
      <c r="P350" s="47" t="s">
        <v>134</v>
      </c>
    </row>
    <row r="351" spans="2:16" x14ac:dyDescent="0.3">
      <c r="B351" s="44">
        <f>VLOOKUP( T_ApifImport[[#This Row],[Bilans]], T_Bilansi[], 4, 0)</f>
        <v>28</v>
      </c>
      <c r="C351" s="227">
        <f>VLOOKUP( T_ApifImport[[#This Row],[ld]], T_Aop[], 4, 0)</f>
        <v>602</v>
      </c>
      <c r="D3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10364624</v>
      </c>
      <c r="F3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8768095</v>
      </c>
      <c r="G3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1" s="8">
        <v>353</v>
      </c>
      <c r="P351" s="47" t="s">
        <v>134</v>
      </c>
    </row>
    <row r="352" spans="2:16" x14ac:dyDescent="0.3">
      <c r="B352" s="44">
        <f>VLOOKUP( T_ApifImport[[#This Row],[Bilans]], T_Bilansi[], 4, 0)</f>
        <v>28</v>
      </c>
      <c r="C352" s="227">
        <f>VLOOKUP( T_ApifImport[[#This Row],[ld]], T_Aop[], 4, 0)</f>
        <v>603</v>
      </c>
      <c r="D3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239607</v>
      </c>
      <c r="F3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220370</v>
      </c>
      <c r="G3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2" s="8">
        <v>354</v>
      </c>
      <c r="P352" s="47" t="s">
        <v>134</v>
      </c>
    </row>
    <row r="353" spans="2:16" x14ac:dyDescent="0.3">
      <c r="B353" s="44">
        <f>VLOOKUP( T_ApifImport[[#This Row],[Bilans]], T_Bilansi[], 4, 0)</f>
        <v>28</v>
      </c>
      <c r="C353" s="227">
        <f>VLOOKUP( T_ApifImport[[#This Row],[ld]], T_Aop[], 4, 0)</f>
        <v>604</v>
      </c>
      <c r="D3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756</v>
      </c>
      <c r="F3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1855</v>
      </c>
      <c r="G3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3" s="8">
        <v>355</v>
      </c>
      <c r="P353" s="47" t="s">
        <v>134</v>
      </c>
    </row>
    <row r="354" spans="2:16" x14ac:dyDescent="0.3">
      <c r="B354" s="44">
        <f>VLOOKUP( T_ApifImport[[#This Row],[Bilans]], T_Bilansi[], 4, 0)</f>
        <v>28</v>
      </c>
      <c r="C354" s="227">
        <f>VLOOKUP( T_ApifImport[[#This Row],[ld]], T_Aop[], 4, 0)</f>
        <v>605</v>
      </c>
      <c r="D3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5399356</v>
      </c>
      <c r="F3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4536524</v>
      </c>
      <c r="G3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4" s="8">
        <v>356</v>
      </c>
      <c r="P354" s="47" t="s">
        <v>134</v>
      </c>
    </row>
    <row r="355" spans="2:16" x14ac:dyDescent="0.3">
      <c r="B355" s="44">
        <f>VLOOKUP( T_ApifImport[[#This Row],[Bilans]], T_Bilansi[], 4, 0)</f>
        <v>28</v>
      </c>
      <c r="C355" s="227">
        <f>VLOOKUP( T_ApifImport[[#This Row],[ld]], T_Aop[], 4, 0)</f>
        <v>606</v>
      </c>
      <c r="D3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758560</v>
      </c>
      <c r="F3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155678</v>
      </c>
      <c r="G3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5" s="8">
        <v>357</v>
      </c>
      <c r="P355" s="47" t="s">
        <v>134</v>
      </c>
    </row>
    <row r="356" spans="2:16" x14ac:dyDescent="0.3">
      <c r="B356" s="44">
        <f>VLOOKUP( T_ApifImport[[#This Row],[Bilans]], T_Bilansi[], 4, 0)</f>
        <v>28</v>
      </c>
      <c r="C356" s="227">
        <f>VLOOKUP( T_ApifImport[[#This Row],[ld]], T_Aop[], 4, 0)</f>
        <v>607</v>
      </c>
      <c r="D3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37445</v>
      </c>
      <c r="G3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6" s="8">
        <v>358</v>
      </c>
      <c r="P356" s="47" t="s">
        <v>134</v>
      </c>
    </row>
    <row r="357" spans="2:16" x14ac:dyDescent="0.3">
      <c r="B357" s="44">
        <f>VLOOKUP( T_ApifImport[[#This Row],[Bilans]], T_Bilansi[], 4, 0)</f>
        <v>28</v>
      </c>
      <c r="C357" s="227">
        <f>VLOOKUP( T_ApifImport[[#This Row],[ld]], T_Aop[], 4, 0)</f>
        <v>608</v>
      </c>
      <c r="D3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114212</v>
      </c>
      <c r="F3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144724</v>
      </c>
      <c r="G3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7" s="8">
        <v>359</v>
      </c>
      <c r="P357" s="47" t="s">
        <v>134</v>
      </c>
    </row>
    <row r="358" spans="2:16" x14ac:dyDescent="0.3">
      <c r="B358" s="44">
        <f>VLOOKUP( T_ApifImport[[#This Row],[Bilans]], T_Bilansi[], 4, 0)</f>
        <v>28</v>
      </c>
      <c r="C358" s="227">
        <f>VLOOKUP( T_ApifImport[[#This Row],[ld]], T_Aop[], 4, 0)</f>
        <v>609</v>
      </c>
      <c r="D3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8" s="8">
        <v>360</v>
      </c>
      <c r="P358" s="47" t="s">
        <v>134</v>
      </c>
    </row>
    <row r="359" spans="2:16" x14ac:dyDescent="0.3">
      <c r="B359" s="44">
        <f>VLOOKUP( T_ApifImport[[#This Row],[Bilans]], T_Bilansi[], 4, 0)</f>
        <v>28</v>
      </c>
      <c r="C359" s="227">
        <f>VLOOKUP( T_ApifImport[[#This Row],[ld]], T_Aop[], 4, 0)</f>
        <v>610</v>
      </c>
      <c r="D3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9" s="8">
        <v>361</v>
      </c>
      <c r="P359" s="47" t="s">
        <v>134</v>
      </c>
    </row>
    <row r="360" spans="2:16" x14ac:dyDescent="0.3">
      <c r="B360" s="44">
        <f>VLOOKUP( T_ApifImport[[#This Row],[Bilans]], T_Bilansi[], 4, 0)</f>
        <v>28</v>
      </c>
      <c r="C360" s="227">
        <f>VLOOKUP( T_ApifImport[[#This Row],[ld]], T_Aop[], 4, 0)</f>
        <v>611</v>
      </c>
      <c r="D3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0" s="8">
        <v>362</v>
      </c>
      <c r="P360" s="47" t="s">
        <v>134</v>
      </c>
    </row>
    <row r="361" spans="2:16" x14ac:dyDescent="0.3">
      <c r="B361" s="44">
        <f>VLOOKUP( T_ApifImport[[#This Row],[Bilans]], T_Bilansi[], 4, 0)</f>
        <v>28</v>
      </c>
      <c r="C361" s="227">
        <f>VLOOKUP( T_ApifImport[[#This Row],[ld]], T_Aop[], 4, 0)</f>
        <v>612</v>
      </c>
      <c r="D3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1" s="8">
        <v>363</v>
      </c>
      <c r="P361" s="47" t="s">
        <v>134</v>
      </c>
    </row>
    <row r="362" spans="2:16" x14ac:dyDescent="0.3">
      <c r="B362" s="44">
        <f>VLOOKUP( T_ApifImport[[#This Row],[Bilans]], T_Bilansi[], 4, 0)</f>
        <v>28</v>
      </c>
      <c r="C362" s="227">
        <f>VLOOKUP( T_ApifImport[[#This Row],[ld]], T_Aop[], 4, 0)</f>
        <v>613</v>
      </c>
      <c r="D3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2" s="8">
        <v>364</v>
      </c>
      <c r="P362" s="47" t="s">
        <v>134</v>
      </c>
    </row>
    <row r="363" spans="2:16" x14ac:dyDescent="0.3">
      <c r="B363" s="44">
        <f>VLOOKUP( T_ApifImport[[#This Row],[Bilans]], T_Bilansi[], 4, 0)</f>
        <v>28</v>
      </c>
      <c r="C363" s="227">
        <f>VLOOKUP( T_ApifImport[[#This Row],[ld]], T_Aop[], 4, 0)</f>
        <v>614</v>
      </c>
      <c r="D3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9649679</v>
      </c>
      <c r="F3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8151159</v>
      </c>
      <c r="G3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3" s="8">
        <v>365</v>
      </c>
      <c r="P363" s="47" t="s">
        <v>134</v>
      </c>
    </row>
    <row r="364" spans="2:16" x14ac:dyDescent="0.3">
      <c r="B364" s="44">
        <f>VLOOKUP( T_ApifImport[[#This Row],[Bilans]], T_Bilansi[], 4, 0)</f>
        <v>28</v>
      </c>
      <c r="C364" s="227">
        <f>VLOOKUP( T_ApifImport[[#This Row],[ld]], T_Aop[], 4, 0)</f>
        <v>615</v>
      </c>
      <c r="D3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22542</v>
      </c>
      <c r="F3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23567</v>
      </c>
      <c r="G3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4" s="8">
        <v>366</v>
      </c>
      <c r="P364" s="47" t="s">
        <v>134</v>
      </c>
    </row>
    <row r="365" spans="2:16" x14ac:dyDescent="0.3">
      <c r="B365" s="44">
        <f>VLOOKUP( T_ApifImport[[#This Row],[Bilans]], T_Bilansi[], 4, 0)</f>
        <v>28</v>
      </c>
      <c r="C365" s="227">
        <f>VLOOKUP( T_ApifImport[[#This Row],[ld]], T_Aop[], 4, 0)</f>
        <v>616</v>
      </c>
      <c r="D3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930</v>
      </c>
      <c r="G3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5" s="8">
        <v>367</v>
      </c>
      <c r="P365" s="47" t="s">
        <v>134</v>
      </c>
    </row>
    <row r="366" spans="2:16" x14ac:dyDescent="0.3">
      <c r="B366" s="44">
        <f>VLOOKUP( T_ApifImport[[#This Row],[Bilans]], T_Bilansi[], 4, 0)</f>
        <v>28</v>
      </c>
      <c r="C366" s="227">
        <f>VLOOKUP( T_ApifImport[[#This Row],[ld]], T_Aop[], 4, 0)</f>
        <v>617</v>
      </c>
      <c r="D3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70930</v>
      </c>
      <c r="F3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71919</v>
      </c>
      <c r="G3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6" s="8">
        <v>368</v>
      </c>
      <c r="P366" s="47" t="s">
        <v>134</v>
      </c>
    </row>
    <row r="367" spans="2:16" x14ac:dyDescent="0.3">
      <c r="B367" s="44">
        <f>VLOOKUP( T_ApifImport[[#This Row],[Bilans]], T_Bilansi[], 4, 0)</f>
        <v>28</v>
      </c>
      <c r="C367" s="227">
        <f>VLOOKUP( T_ApifImport[[#This Row],[ld]], T_Aop[], 4, 0)</f>
        <v>618</v>
      </c>
      <c r="D3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7" s="8">
        <v>369</v>
      </c>
      <c r="P367" s="47" t="s">
        <v>134</v>
      </c>
    </row>
    <row r="368" spans="2:16" x14ac:dyDescent="0.3">
      <c r="B368" s="44">
        <f>VLOOKUP( T_ApifImport[[#This Row],[Bilans]], T_Bilansi[], 4, 0)</f>
        <v>28</v>
      </c>
      <c r="C368" s="227">
        <f>VLOOKUP( T_ApifImport[[#This Row],[ld]], T_Aop[], 4, 0)</f>
        <v>619</v>
      </c>
      <c r="D3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8" s="8">
        <v>370</v>
      </c>
      <c r="P368" s="47" t="s">
        <v>134</v>
      </c>
    </row>
    <row r="369" spans="2:16" x14ac:dyDescent="0.3">
      <c r="B369" s="44">
        <f>VLOOKUP( T_ApifImport[[#This Row],[Bilans]], T_Bilansi[], 4, 0)</f>
        <v>28</v>
      </c>
      <c r="C369" s="227">
        <f>VLOOKUP( T_ApifImport[[#This Row],[ld]], T_Aop[], 4, 0)</f>
        <v>620</v>
      </c>
      <c r="D3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9" s="8">
        <v>371</v>
      </c>
      <c r="P369" s="47" t="s">
        <v>134</v>
      </c>
    </row>
    <row r="370" spans="2:16" x14ac:dyDescent="0.3">
      <c r="B370" s="44">
        <f>VLOOKUP( T_ApifImport[[#This Row],[Bilans]], T_Bilansi[], 4, 0)</f>
        <v>28</v>
      </c>
      <c r="C370" s="227">
        <f>VLOOKUP( T_ApifImport[[#This Row],[ld]], T_Aop[], 4, 0)</f>
        <v>621</v>
      </c>
      <c r="D3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10049</v>
      </c>
      <c r="F3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8935</v>
      </c>
      <c r="G3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0" s="8">
        <v>372</v>
      </c>
      <c r="P370" s="47" t="s">
        <v>134</v>
      </c>
    </row>
    <row r="371" spans="2:16" x14ac:dyDescent="0.3">
      <c r="B371" s="44">
        <f>VLOOKUP( T_ApifImport[[#This Row],[Bilans]], T_Bilansi[], 4, 0)</f>
        <v>28</v>
      </c>
      <c r="C371" s="227">
        <f>VLOOKUP( T_ApifImport[[#This Row],[ld]], T_Aop[], 4, 0)</f>
        <v>622</v>
      </c>
      <c r="D3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10187</v>
      </c>
      <c r="F3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14525</v>
      </c>
      <c r="G3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1" s="8">
        <v>373</v>
      </c>
      <c r="P371" s="47" t="s">
        <v>134</v>
      </c>
    </row>
    <row r="372" spans="2:16" x14ac:dyDescent="0.3">
      <c r="B372" s="44">
        <f>VLOOKUP( T_ApifImport[[#This Row],[Bilans]], T_Bilansi[], 4, 0)</f>
        <v>28</v>
      </c>
      <c r="C372" s="227">
        <f>VLOOKUP( T_ApifImport[[#This Row],[ld]], T_Aop[], 4, 0)</f>
        <v>623</v>
      </c>
      <c r="D3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2" s="8">
        <v>374</v>
      </c>
      <c r="P372" s="47" t="s">
        <v>134</v>
      </c>
    </row>
    <row r="373" spans="2:16" x14ac:dyDescent="0.3">
      <c r="B373" s="44">
        <f>VLOOKUP( T_ApifImport[[#This Row],[Bilans]], T_Bilansi[], 4, 0)</f>
        <v>28</v>
      </c>
      <c r="C373" s="227">
        <f>VLOOKUP( T_ApifImport[[#This Row],[ld]], T_Aop[], 4, 0)</f>
        <v>624</v>
      </c>
      <c r="D3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3" s="8">
        <v>375</v>
      </c>
      <c r="P373" s="47" t="s">
        <v>134</v>
      </c>
    </row>
    <row r="374" spans="2:16" x14ac:dyDescent="0.3">
      <c r="B374" s="44">
        <f>VLOOKUP( T_ApifImport[[#This Row],[Bilans]], T_Bilansi[], 4, 0)</f>
        <v>28</v>
      </c>
      <c r="C374" s="227">
        <f>VLOOKUP( T_ApifImport[[#This Row],[ld]], T_Aop[], 4, 0)</f>
        <v>625</v>
      </c>
      <c r="D3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40617</v>
      </c>
      <c r="F3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40535</v>
      </c>
      <c r="G3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4" s="8">
        <v>376</v>
      </c>
      <c r="P374" s="47" t="s">
        <v>134</v>
      </c>
    </row>
    <row r="375" spans="2:16" x14ac:dyDescent="0.3">
      <c r="B375" s="44">
        <f>VLOOKUP( T_ApifImport[[#This Row],[Bilans]], T_Bilansi[], 4, 0)</f>
        <v>28</v>
      </c>
      <c r="C375" s="227">
        <f>VLOOKUP( T_ApifImport[[#This Row],[ld]], T_Aop[], 4, 0)</f>
        <v>626</v>
      </c>
      <c r="D3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5" s="8">
        <v>377</v>
      </c>
      <c r="P375" s="47" t="s">
        <v>134</v>
      </c>
    </row>
    <row r="376" spans="2:16" x14ac:dyDescent="0.3">
      <c r="B376" s="44">
        <f>VLOOKUP( T_ApifImport[[#This Row],[Bilans]], T_Bilansi[], 4, 0)</f>
        <v>28</v>
      </c>
      <c r="C376" s="227">
        <f>VLOOKUP( T_ApifImport[[#This Row],[ld]], T_Aop[], 4, 0)</f>
        <v>627</v>
      </c>
      <c r="D3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6" s="8">
        <v>378</v>
      </c>
      <c r="P376" s="47" t="s">
        <v>134</v>
      </c>
    </row>
    <row r="377" spans="2:16" x14ac:dyDescent="0.3">
      <c r="B377" s="44">
        <f>VLOOKUP( T_ApifImport[[#This Row],[Bilans]], T_Bilansi[], 4, 0)</f>
        <v>28</v>
      </c>
      <c r="C377" s="227">
        <f>VLOOKUP( T_ApifImport[[#This Row],[ld]], T_Aop[], 4, 0)</f>
        <v>628</v>
      </c>
      <c r="D3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10077</v>
      </c>
      <c r="F3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7924</v>
      </c>
      <c r="G3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7" s="8">
        <v>379</v>
      </c>
      <c r="P377" s="47" t="s">
        <v>134</v>
      </c>
    </row>
    <row r="378" spans="2:16" x14ac:dyDescent="0.3">
      <c r="B378" s="44">
        <f>VLOOKUP( T_ApifImport[[#This Row],[Bilans]], T_Bilansi[], 4, 0)</f>
        <v>28</v>
      </c>
      <c r="C378" s="227">
        <f>VLOOKUP( T_ApifImport[[#This Row],[ld]], T_Aop[], 4, 0)</f>
        <v>629</v>
      </c>
      <c r="D3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552190</v>
      </c>
      <c r="F3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2283946</v>
      </c>
      <c r="G3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8" s="8">
        <v>380</v>
      </c>
      <c r="P378" s="47" t="s">
        <v>134</v>
      </c>
    </row>
    <row r="379" spans="2:16" x14ac:dyDescent="0.3">
      <c r="B379" s="44">
        <f>VLOOKUP( T_ApifImport[[#This Row],[Bilans]], T_Bilansi[], 4, 0)</f>
        <v>28</v>
      </c>
      <c r="C379" s="227">
        <f>VLOOKUP( T_ApifImport[[#This Row],[ld]], T_Aop[], 4, 0)</f>
        <v>630</v>
      </c>
      <c r="D3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313</v>
      </c>
      <c r="F3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9" s="8">
        <v>381</v>
      </c>
      <c r="P379" s="47" t="s">
        <v>134</v>
      </c>
    </row>
    <row r="380" spans="2:16" x14ac:dyDescent="0.3">
      <c r="B380" s="44">
        <f>VLOOKUP( T_ApifImport[[#This Row],[Bilans]], T_Bilansi[], 4, 0)</f>
        <v>28</v>
      </c>
      <c r="C380" s="227">
        <f>VLOOKUP( T_ApifImport[[#This Row],[ld]], T_Aop[], 4, 0)</f>
        <v>631</v>
      </c>
      <c r="D3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0" s="8">
        <v>382</v>
      </c>
      <c r="P380" s="47" t="s">
        <v>134</v>
      </c>
    </row>
    <row r="381" spans="2:16" x14ac:dyDescent="0.3">
      <c r="B381" s="44">
        <f>VLOOKUP( T_ApifImport[[#This Row],[Bilans]], T_Bilansi[], 4, 0)</f>
        <v>28</v>
      </c>
      <c r="C381" s="227">
        <f>VLOOKUP( T_ApifImport[[#This Row],[ld]], T_Aop[], 4, 0)</f>
        <v>632</v>
      </c>
      <c r="D3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3170777</v>
      </c>
      <c r="F3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2961774</v>
      </c>
      <c r="G3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1" s="8">
        <v>383</v>
      </c>
      <c r="P381" s="47" t="s">
        <v>134</v>
      </c>
    </row>
    <row r="382" spans="2:16" x14ac:dyDescent="0.3">
      <c r="B382" s="44">
        <f>VLOOKUP( T_ApifImport[[#This Row],[Bilans]], T_Bilansi[], 4, 0)</f>
        <v>28</v>
      </c>
      <c r="C382" s="227">
        <f>VLOOKUP( T_ApifImport[[#This Row],[ld]], T_Aop[], 4, 0)</f>
        <v>633</v>
      </c>
      <c r="D3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17491</v>
      </c>
      <c r="F3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15825</v>
      </c>
      <c r="G3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2" s="8">
        <v>384</v>
      </c>
      <c r="P382" s="47" t="s">
        <v>134</v>
      </c>
    </row>
    <row r="383" spans="2:16" x14ac:dyDescent="0.3">
      <c r="B383" s="44">
        <f>VLOOKUP( T_ApifImport[[#This Row],[Bilans]], T_Bilansi[], 4, 0)</f>
        <v>28</v>
      </c>
      <c r="C383" s="227">
        <f>VLOOKUP( T_ApifImport[[#This Row],[ld]], T_Aop[], 4, 0)</f>
        <v>634</v>
      </c>
      <c r="D3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385</v>
      </c>
      <c r="F3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748</v>
      </c>
      <c r="G3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3" s="8">
        <v>385</v>
      </c>
      <c r="P383" s="47" t="s">
        <v>134</v>
      </c>
    </row>
    <row r="384" spans="2:16" x14ac:dyDescent="0.3">
      <c r="B384" s="44">
        <f>VLOOKUP( T_ApifImport[[#This Row],[Bilans]], T_Bilansi[], 4, 0)</f>
        <v>28</v>
      </c>
      <c r="C384" s="227">
        <f>VLOOKUP( T_ApifImport[[#This Row],[ld]], T_Aop[], 4, 0)</f>
        <v>635</v>
      </c>
      <c r="D3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359</v>
      </c>
      <c r="F3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583</v>
      </c>
      <c r="G3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4" s="8">
        <v>386</v>
      </c>
      <c r="P384" s="47" t="s">
        <v>134</v>
      </c>
    </row>
    <row r="385" spans="2:16" x14ac:dyDescent="0.3">
      <c r="B385" s="44">
        <f>VLOOKUP( T_ApifImport[[#This Row],[Bilans]], T_Bilansi[], 4, 0)</f>
        <v>28</v>
      </c>
      <c r="C385" s="227">
        <f>VLOOKUP( T_ApifImport[[#This Row],[ld]], T_Aop[], 4, 0)</f>
        <v>636</v>
      </c>
      <c r="D3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2606046</v>
      </c>
      <c r="F3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2495790</v>
      </c>
      <c r="G3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5" s="8">
        <v>387</v>
      </c>
      <c r="P385" s="47" t="s">
        <v>134</v>
      </c>
    </row>
    <row r="386" spans="2:16" x14ac:dyDescent="0.3">
      <c r="B386" s="44">
        <f>VLOOKUP( T_ApifImport[[#This Row],[Bilans]], T_Bilansi[], 4, 0)</f>
        <v>28</v>
      </c>
      <c r="C386" s="227">
        <f>VLOOKUP( T_ApifImport[[#This Row],[ld]], T_Aop[], 4, 0)</f>
        <v>637</v>
      </c>
      <c r="D3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298076</v>
      </c>
      <c r="F3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246097</v>
      </c>
      <c r="G3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6" s="8">
        <v>388</v>
      </c>
      <c r="P386" s="47" t="s">
        <v>134</v>
      </c>
    </row>
    <row r="387" spans="2:16" x14ac:dyDescent="0.3">
      <c r="B387" s="44">
        <f>VLOOKUP( T_ApifImport[[#This Row],[Bilans]], T_Bilansi[], 4, 0)</f>
        <v>28</v>
      </c>
      <c r="C387" s="227">
        <f>VLOOKUP( T_ApifImport[[#This Row],[ld]], T_Aop[], 4, 0)</f>
        <v>638</v>
      </c>
      <c r="D3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58228</v>
      </c>
      <c r="F3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50589</v>
      </c>
      <c r="G3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7" s="8">
        <v>389</v>
      </c>
      <c r="P387" s="47" t="s">
        <v>134</v>
      </c>
    </row>
    <row r="388" spans="2:16" x14ac:dyDescent="0.3">
      <c r="B388" s="44">
        <f>VLOOKUP( T_ApifImport[[#This Row],[Bilans]], T_Bilansi[], 4, 0)</f>
        <v>28</v>
      </c>
      <c r="C388" s="227">
        <f>VLOOKUP( T_ApifImport[[#This Row],[ld]], T_Aop[], 4, 0)</f>
        <v>639</v>
      </c>
      <c r="D3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110150</v>
      </c>
      <c r="F3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88858</v>
      </c>
      <c r="G3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8" s="8">
        <v>390</v>
      </c>
      <c r="P388" s="47" t="s">
        <v>134</v>
      </c>
    </row>
    <row r="389" spans="2:16" x14ac:dyDescent="0.3">
      <c r="B389" s="44">
        <f>VLOOKUP( T_ApifImport[[#This Row],[Bilans]], T_Bilansi[], 4, 0)</f>
        <v>28</v>
      </c>
      <c r="C389" s="227">
        <f>VLOOKUP( T_ApifImport[[#This Row],[ld]], T_Aop[], 4, 0)</f>
        <v>640</v>
      </c>
      <c r="D3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9" s="8">
        <v>391</v>
      </c>
      <c r="P389" s="47" t="s">
        <v>134</v>
      </c>
    </row>
    <row r="390" spans="2:16" x14ac:dyDescent="0.3">
      <c r="B390" s="44">
        <f>VLOOKUP( T_ApifImport[[#This Row],[Bilans]], T_Bilansi[], 4, 0)</f>
        <v>28</v>
      </c>
      <c r="C390" s="227">
        <f>VLOOKUP( T_ApifImport[[#This Row],[ld]], T_Aop[], 4, 0)</f>
        <v>641</v>
      </c>
      <c r="D3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880350</v>
      </c>
      <c r="F3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815260</v>
      </c>
      <c r="G3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0" s="8">
        <v>392</v>
      </c>
      <c r="P390" s="47" t="s">
        <v>134</v>
      </c>
    </row>
    <row r="391" spans="2:16" x14ac:dyDescent="0.3">
      <c r="B391" s="44">
        <f>VLOOKUP( T_ApifImport[[#This Row],[Bilans]], T_Bilansi[], 4, 0)</f>
        <v>28</v>
      </c>
      <c r="C391" s="227">
        <f>VLOOKUP( T_ApifImport[[#This Row],[ld]], T_Aop[], 4, 0)</f>
        <v>642</v>
      </c>
      <c r="D3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1"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143579</v>
      </c>
      <c r="F3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169821</v>
      </c>
      <c r="G3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1" s="8">
        <v>393</v>
      </c>
      <c r="P391" s="47" t="s">
        <v>134</v>
      </c>
    </row>
    <row r="392" spans="2:16" x14ac:dyDescent="0.3">
      <c r="B392" s="44">
        <f>VLOOKUP( T_ApifImport[[#This Row],[Bilans]], T_Bilansi[], 4, 0)</f>
        <v>28</v>
      </c>
      <c r="C392" s="227">
        <f>VLOOKUP( T_ApifImport[[#This Row],[ld]], T_Aop[], 4, 0)</f>
        <v>643</v>
      </c>
      <c r="D3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2"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2" s="8">
        <v>394</v>
      </c>
      <c r="P392" s="47" t="s">
        <v>134</v>
      </c>
    </row>
    <row r="393" spans="2:16" x14ac:dyDescent="0.3">
      <c r="B393" s="44">
        <f>VLOOKUP( T_ApifImport[[#This Row],[Bilans]], T_Bilansi[], 4, 0)</f>
        <v>28</v>
      </c>
      <c r="C393" s="227">
        <f>VLOOKUP( T_ApifImport[[#This Row],[ld]], T_Aop[], 4, 0)</f>
        <v>644</v>
      </c>
      <c r="D3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3"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1115663</v>
      </c>
      <c r="F3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1125165</v>
      </c>
      <c r="G3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3" s="8">
        <v>395</v>
      </c>
      <c r="P393" s="47" t="s">
        <v>134</v>
      </c>
    </row>
    <row r="394" spans="2:16" x14ac:dyDescent="0.3">
      <c r="B394" s="44">
        <f>VLOOKUP( T_ApifImport[[#This Row],[Bilans]], T_Bilansi[], 4, 0)</f>
        <v>28</v>
      </c>
      <c r="C394" s="227">
        <f>VLOOKUP( T_ApifImport[[#This Row],[ld]], T_Aop[], 4, 0)</f>
        <v>645</v>
      </c>
      <c r="D3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4"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4" s="8">
        <v>396</v>
      </c>
      <c r="P394" s="47" t="s">
        <v>134</v>
      </c>
    </row>
    <row r="395" spans="2:16" x14ac:dyDescent="0.3">
      <c r="B395" s="44">
        <f>VLOOKUP( T_ApifImport[[#This Row],[Bilans]], T_Bilansi[], 4, 0)</f>
        <v>28</v>
      </c>
      <c r="C395" s="227">
        <f>VLOOKUP( T_ApifImport[[#This Row],[ld]], T_Aop[], 4, 0)</f>
        <v>646</v>
      </c>
      <c r="D3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5"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344792</v>
      </c>
      <c r="F3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324911</v>
      </c>
      <c r="G3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5" s="8">
        <v>397</v>
      </c>
      <c r="P395" s="47" t="s">
        <v>134</v>
      </c>
    </row>
    <row r="396" spans="2:16" x14ac:dyDescent="0.3">
      <c r="B396" s="44">
        <f>VLOOKUP( T_ApifImport[[#This Row],[Bilans]], T_Bilansi[], 4, 0)</f>
        <v>28</v>
      </c>
      <c r="C396" s="227">
        <f>VLOOKUP( T_ApifImport[[#This Row],[ld]], T_Aop[], 4, 0)</f>
        <v>647</v>
      </c>
      <c r="D3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6"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125814</v>
      </c>
      <c r="F3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99494</v>
      </c>
      <c r="G3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6" s="8">
        <v>398</v>
      </c>
      <c r="P396" s="47" t="s">
        <v>134</v>
      </c>
    </row>
    <row r="397" spans="2:16" x14ac:dyDescent="0.3">
      <c r="B397" s="44">
        <f>VLOOKUP( T_ApifImport[[#This Row],[Bilans]], T_Bilansi[], 4, 0)</f>
        <v>28</v>
      </c>
      <c r="C397" s="227">
        <f>VLOOKUP( T_ApifImport[[#This Row],[ld]], T_Aop[], 4, 0)</f>
        <v>648</v>
      </c>
      <c r="D3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7"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4699</v>
      </c>
      <c r="F3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9645</v>
      </c>
      <c r="G3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7" s="8">
        <v>399</v>
      </c>
      <c r="P397" s="47" t="s">
        <v>134</v>
      </c>
    </row>
    <row r="398" spans="2:16" x14ac:dyDescent="0.3">
      <c r="B398" s="44">
        <f>VLOOKUP( T_ApifImport[[#This Row],[Bilans]], T_Bilansi[], 4, 0)</f>
        <v>28</v>
      </c>
      <c r="C398" s="227">
        <f>VLOOKUP( T_ApifImport[[#This Row],[ld]], T_Aop[], 4, 0)</f>
        <v>649</v>
      </c>
      <c r="D3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8"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8" s="8">
        <v>400</v>
      </c>
      <c r="P398" s="47" t="s">
        <v>134</v>
      </c>
    </row>
    <row r="399" spans="2:16" x14ac:dyDescent="0.3">
      <c r="B399" s="44">
        <f>VLOOKUP( T_ApifImport[[#This Row],[Bilans]], T_Bilansi[], 4, 0)</f>
        <v>28</v>
      </c>
      <c r="C399" s="227">
        <f>VLOOKUP( T_ApifImport[[#This Row],[ld]], T_Aop[], 4, 0)</f>
        <v>650</v>
      </c>
      <c r="D3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9"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21835</v>
      </c>
      <c r="F3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13691</v>
      </c>
      <c r="G3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9" s="8">
        <v>401</v>
      </c>
      <c r="P399" s="47" t="s">
        <v>134</v>
      </c>
    </row>
    <row r="400" spans="2:16" x14ac:dyDescent="0.3">
      <c r="B400" s="44">
        <f>VLOOKUP( T_ApifImport[[#This Row],[Bilans]], T_Bilansi[], 4, 0)</f>
        <v>28</v>
      </c>
      <c r="C400" s="227">
        <f>VLOOKUP( T_ApifImport[[#This Row],[ld]], T_Aop[], 4, 0)</f>
        <v>651</v>
      </c>
      <c r="D4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0" s="228" t="str">
        <f ca="1">IF(AND([0]!Godina=2026,MID(Osnovni_podaci!D20,3,1)="s",Osnovni_podaci!L24=6,Osnovni_podaci!G24=0,MID(Osnovni_podaci!D20,3,1)="s",MID(Osnovni_podaci!D20,8,1)=" "),IF(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45234</v>
      </c>
      <c r="F4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47299</v>
      </c>
      <c r="G4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0" s="8">
        <v>402</v>
      </c>
      <c r="P400" s="47" t="s">
        <v>134</v>
      </c>
    </row>
    <row r="401" spans="2:16" x14ac:dyDescent="0.3">
      <c r="B401" s="44">
        <f>VLOOKUP( T_ApifImport[[#This Row],[Bilans]], T_Bilansi[], 4, 0)</f>
        <v>28</v>
      </c>
      <c r="C401" s="227">
        <f>VLOOKUP( T_ApifImport[[#This Row],[ld]], T_Aop[], 4, 0)</f>
        <v>652</v>
      </c>
      <c r="D4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9582</v>
      </c>
      <c r="F4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8355</v>
      </c>
      <c r="G4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1" s="8">
        <v>403</v>
      </c>
      <c r="P401" s="47" t="s">
        <v>134</v>
      </c>
    </row>
    <row r="402" spans="2:16" x14ac:dyDescent="0.3">
      <c r="B402" s="44">
        <f>VLOOKUP( T_ApifImport[[#This Row],[Bilans]], T_Bilansi[], 4, 0)</f>
        <v>28</v>
      </c>
      <c r="C402" s="227">
        <f>VLOOKUP( T_ApifImport[[#This Row],[ld]], T_Aop[], 4, 0)</f>
        <v>653</v>
      </c>
      <c r="D4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2846</v>
      </c>
      <c r="F4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4473</v>
      </c>
      <c r="G4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2" s="8">
        <v>404</v>
      </c>
      <c r="P402" s="47" t="s">
        <v>134</v>
      </c>
    </row>
    <row r="403" spans="2:16" x14ac:dyDescent="0.3">
      <c r="B403" s="44">
        <f>VLOOKUP( T_ApifImport[[#This Row],[Bilans]], T_Bilansi[], 4, 0)</f>
        <v>28</v>
      </c>
      <c r="C403" s="227">
        <f>VLOOKUP( T_ApifImport[[#This Row],[ld]], T_Aop[], 4, 0)</f>
        <v>654</v>
      </c>
      <c r="D4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3" s="8">
        <v>405</v>
      </c>
      <c r="P403" s="47" t="s">
        <v>134</v>
      </c>
    </row>
    <row r="404" spans="2:16" x14ac:dyDescent="0.3">
      <c r="B404" s="44">
        <f>VLOOKUP( T_ApifImport[[#This Row],[Bilans]], T_Bilansi[], 4, 0)</f>
        <v>28</v>
      </c>
      <c r="C404" s="227">
        <f>VLOOKUP( T_ApifImport[[#This Row],[ld]], T_Aop[], 4, 0)</f>
        <v>655</v>
      </c>
      <c r="D4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37446</v>
      </c>
      <c r="F4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31924</v>
      </c>
      <c r="G4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4" s="8">
        <v>406</v>
      </c>
      <c r="P404" s="47" t="s">
        <v>134</v>
      </c>
    </row>
    <row r="405" spans="2:16" x14ac:dyDescent="0.3">
      <c r="B405" s="44">
        <f>VLOOKUP( T_ApifImport[[#This Row],[Bilans]], T_Bilansi[], 4, 0)</f>
        <v>28</v>
      </c>
      <c r="C405" s="227">
        <f>VLOOKUP( T_ApifImport[[#This Row],[ld]], T_Aop[], 4, 0)</f>
        <v>656</v>
      </c>
      <c r="D4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102035</v>
      </c>
      <c r="F4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119675</v>
      </c>
      <c r="G4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5" s="8">
        <v>407</v>
      </c>
      <c r="P405" s="47" t="s">
        <v>134</v>
      </c>
    </row>
    <row r="406" spans="2:16" x14ac:dyDescent="0.3">
      <c r="B406" s="44">
        <f>VLOOKUP( T_ApifImport[[#This Row],[Bilans]], T_Bilansi[], 4, 0)</f>
        <v>28</v>
      </c>
      <c r="C406" s="227">
        <f>VLOOKUP( T_ApifImport[[#This Row],[ld]], T_Aop[], 4, 0)</f>
        <v>657</v>
      </c>
      <c r="D4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6" s="8">
        <v>408</v>
      </c>
      <c r="P406" s="47" t="s">
        <v>134</v>
      </c>
    </row>
    <row r="407" spans="2:16" x14ac:dyDescent="0.3">
      <c r="B407" s="44">
        <f>VLOOKUP( T_ApifImport[[#This Row],[Bilans]], T_Bilansi[], 4, 0)</f>
        <v>28</v>
      </c>
      <c r="C407" s="227">
        <f>VLOOKUP( T_ApifImport[[#This Row],[ld]], T_Aop[], 4, 0)</f>
        <v>658</v>
      </c>
      <c r="D4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1664756</v>
      </c>
      <c r="F4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1425000</v>
      </c>
      <c r="G4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7" s="8">
        <v>409</v>
      </c>
      <c r="P407" s="47" t="s">
        <v>134</v>
      </c>
    </row>
    <row r="408" spans="2:16" x14ac:dyDescent="0.3">
      <c r="B408" s="44">
        <f>VLOOKUP( T_ApifImport[[#This Row],[Bilans]], T_Bilansi[], 4, 0)</f>
        <v>28</v>
      </c>
      <c r="C408" s="227">
        <f>VLOOKUP( T_ApifImport[[#This Row],[ld]], T_Aop[], 4, 0)</f>
        <v>659</v>
      </c>
      <c r="D4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765051</v>
      </c>
      <c r="F4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713732</v>
      </c>
      <c r="G4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8" s="8">
        <v>410</v>
      </c>
      <c r="P408" s="47" t="s">
        <v>134</v>
      </c>
    </row>
    <row r="409" spans="2:16" x14ac:dyDescent="0.3">
      <c r="B409" s="44">
        <f>VLOOKUP( T_ApifImport[[#This Row],[Bilans]], T_Bilansi[], 4, 0)</f>
        <v>28</v>
      </c>
      <c r="C409" s="227">
        <f>VLOOKUP( T_ApifImport[[#This Row],[ld]], T_Aop[], 4, 0)</f>
        <v>660</v>
      </c>
      <c r="D4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183805</v>
      </c>
      <c r="F4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51357</v>
      </c>
      <c r="G4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9" s="8">
        <v>411</v>
      </c>
      <c r="P409" s="47" t="s">
        <v>134</v>
      </c>
    </row>
    <row r="410" spans="2:16" x14ac:dyDescent="0.3">
      <c r="B410" s="44">
        <f>VLOOKUP( T_ApifImport[[#This Row],[Bilans]], T_Bilansi[], 4, 0)</f>
        <v>28</v>
      </c>
      <c r="C410" s="227">
        <f>VLOOKUP( T_ApifImport[[#This Row],[ld]], T_Aop[], 4, 0)</f>
        <v>661</v>
      </c>
      <c r="D4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0" s="8">
        <v>412</v>
      </c>
      <c r="P410" s="47" t="s">
        <v>134</v>
      </c>
    </row>
    <row r="411" spans="2:16" x14ac:dyDescent="0.3">
      <c r="B411" s="44">
        <f>VLOOKUP( T_ApifImport[[#This Row],[Bilans]], T_Bilansi[], 4, 0)</f>
        <v>28</v>
      </c>
      <c r="C411" s="227">
        <f>VLOOKUP( T_ApifImport[[#This Row],[ld]], T_Aop[], 4, 0)</f>
        <v>662</v>
      </c>
      <c r="D4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5202</v>
      </c>
      <c r="F4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1" s="8">
        <v>413</v>
      </c>
      <c r="P411" s="47" t="s">
        <v>134</v>
      </c>
    </row>
    <row r="412" spans="2:16" x14ac:dyDescent="0.3">
      <c r="B412" s="44">
        <f>VLOOKUP( T_ApifImport[[#This Row],[Bilans]], T_Bilansi[], 4, 0)</f>
        <v>28</v>
      </c>
      <c r="C412" s="227">
        <f>VLOOKUP( T_ApifImport[[#This Row],[ld]], T_Aop[], 4, 0)</f>
        <v>663</v>
      </c>
      <c r="D4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5202</v>
      </c>
      <c r="F4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2" s="8">
        <v>414</v>
      </c>
      <c r="P412" s="47" t="s">
        <v>134</v>
      </c>
    </row>
    <row r="413" spans="2:16" x14ac:dyDescent="0.3">
      <c r="B413" s="44">
        <f>VLOOKUP( T_ApifImport[[#This Row],[Bilans]], T_Bilansi[], 4, 0)</f>
        <v>28</v>
      </c>
      <c r="C413" s="227">
        <f>VLOOKUP( T_ApifImport[[#This Row],[ld]], T_Aop[], 4, 0)</f>
        <v>664</v>
      </c>
      <c r="D4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3" s="8">
        <v>415</v>
      </c>
      <c r="P413" s="47" t="s">
        <v>134</v>
      </c>
    </row>
    <row r="414" spans="2:16" x14ac:dyDescent="0.3">
      <c r="B414" s="44">
        <f>VLOOKUP( T_ApifImport[[#This Row],[Bilans]], T_Bilansi[], 4, 0)</f>
        <v>28</v>
      </c>
      <c r="C414" s="227">
        <f>VLOOKUP( T_ApifImport[[#This Row],[ld]], T_Aop[], 4, 0)</f>
        <v>665</v>
      </c>
      <c r="D4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4" s="8">
        <v>416</v>
      </c>
      <c r="P414" s="47" t="s">
        <v>134</v>
      </c>
    </row>
    <row r="415" spans="2:16" x14ac:dyDescent="0.3">
      <c r="B415" s="44">
        <f>VLOOKUP( T_ApifImport[[#This Row],[Bilans]], T_Bilansi[], 4, 0)</f>
        <v>28</v>
      </c>
      <c r="C415" s="227">
        <f>VLOOKUP( T_ApifImport[[#This Row],[ld]], T_Aop[], 4, 0)</f>
        <v>666</v>
      </c>
      <c r="D4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298076</v>
      </c>
      <c r="F4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5" s="8">
        <v>417</v>
      </c>
      <c r="P415" s="47" t="s">
        <v>134</v>
      </c>
    </row>
    <row r="416" spans="2:16" x14ac:dyDescent="0.3">
      <c r="B416" s="506">
        <f>VLOOKUP( T_ApifImport[[#This Row],[Bilans]], T_Bilansi[], 4, 0)</f>
        <v>28</v>
      </c>
      <c r="C416" s="263">
        <f>VLOOKUP( T_ApifImport[[#This Row],[ld]], T_Aop[], 4, 0)</f>
        <v>667</v>
      </c>
      <c r="D416" s="263"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6"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172784</v>
      </c>
      <c r="F416"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176148</v>
      </c>
      <c r="G416"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6"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6"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6" s="264"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6" s="264"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6" s="264"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6" s="264"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6" s="264"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6" s="8">
        <v>418</v>
      </c>
      <c r="P416" s="47" t="s">
        <v>134</v>
      </c>
    </row>
    <row r="417" spans="2:16" x14ac:dyDescent="0.3">
      <c r="B417" s="44">
        <f>VLOOKUP( T_ApifImport[[#This Row],[Bilans]], T_Bilansi[], 4, 0)</f>
        <v>30</v>
      </c>
      <c r="C417" s="227">
        <f>VLOOKUP( T_ApifImport[[#This Row],[ld]], T_Aop[], 4, 0)</f>
        <v>901</v>
      </c>
      <c r="D4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4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267513</v>
      </c>
      <c r="H41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6160233</v>
      </c>
      <c r="I41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4801420</v>
      </c>
      <c r="L41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20833110</v>
      </c>
      <c r="M41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20833110</v>
      </c>
      <c r="O417" s="8">
        <v>420</v>
      </c>
      <c r="P417" s="568" t="s">
        <v>135</v>
      </c>
    </row>
    <row r="418" spans="2:16" x14ac:dyDescent="0.3">
      <c r="B418" s="44">
        <f>VLOOKUP( T_ApifImport[[#This Row],[Bilans]], T_Bilansi[], 4, 0)</f>
        <v>30</v>
      </c>
      <c r="C418" s="227">
        <f>VLOOKUP( T_ApifImport[[#This Row],[ld]], T_Aop[], 4, 0)</f>
        <v>902</v>
      </c>
      <c r="D4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8" s="8">
        <v>422</v>
      </c>
      <c r="P418" s="568" t="s">
        <v>135</v>
      </c>
    </row>
    <row r="419" spans="2:16" x14ac:dyDescent="0.3">
      <c r="B419" s="44">
        <f>VLOOKUP( T_ApifImport[[#This Row],[Bilans]], T_Bilansi[], 4, 0)</f>
        <v>30</v>
      </c>
      <c r="C419" s="227">
        <f>VLOOKUP( T_ApifImport[[#This Row],[ld]], T_Aop[], 4, 0)</f>
        <v>903</v>
      </c>
      <c r="D4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9" s="8">
        <v>423</v>
      </c>
      <c r="P419" s="568" t="s">
        <v>135</v>
      </c>
    </row>
    <row r="420" spans="2:16" x14ac:dyDescent="0.3">
      <c r="B420" s="44">
        <f>VLOOKUP( T_ApifImport[[#This Row],[Bilans]], T_Bilansi[], 4, 0)</f>
        <v>30</v>
      </c>
      <c r="C420" s="227">
        <f>VLOOKUP( T_ApifImport[[#This Row],[ld]], T_Aop[], 4, 0)</f>
        <v>904</v>
      </c>
      <c r="D4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4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267513</v>
      </c>
      <c r="H42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6160233</v>
      </c>
      <c r="I42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4801420</v>
      </c>
      <c r="L42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20833110</v>
      </c>
      <c r="M42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20833110</v>
      </c>
      <c r="O420" s="8">
        <v>424</v>
      </c>
      <c r="P420" s="568" t="s">
        <v>135</v>
      </c>
    </row>
    <row r="421" spans="2:16" x14ac:dyDescent="0.3">
      <c r="B421" s="44">
        <f>VLOOKUP( T_ApifImport[[#This Row],[Bilans]], T_Bilansi[], 4, 0)</f>
        <v>30</v>
      </c>
      <c r="C421" s="227">
        <f>VLOOKUP( T_ApifImport[[#This Row],[ld]], T_Aop[], 4, 0)</f>
        <v>905</v>
      </c>
      <c r="D4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17497</v>
      </c>
      <c r="L42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17497</v>
      </c>
      <c r="M42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17497</v>
      </c>
      <c r="O421" s="8">
        <v>426</v>
      </c>
      <c r="P421" s="568" t="s">
        <v>135</v>
      </c>
    </row>
    <row r="422" spans="2:16" x14ac:dyDescent="0.3">
      <c r="B422" s="44">
        <f>VLOOKUP( T_ApifImport[[#This Row],[Bilans]], T_Bilansi[], 4, 0)</f>
        <v>30</v>
      </c>
      <c r="C422" s="227">
        <f>VLOOKUP( T_ApifImport[[#This Row],[ld]], T_Aop[], 4, 0)</f>
        <v>906</v>
      </c>
      <c r="D4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-13315</v>
      </c>
      <c r="I42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-13315</v>
      </c>
      <c r="M42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-13315</v>
      </c>
      <c r="O422" s="8">
        <v>427</v>
      </c>
      <c r="P422" s="568" t="s">
        <v>135</v>
      </c>
    </row>
    <row r="423" spans="2:16" x14ac:dyDescent="0.3">
      <c r="B423" s="44">
        <f>VLOOKUP( T_ApifImport[[#This Row],[Bilans]], T_Bilansi[], 4, 0)</f>
        <v>30</v>
      </c>
      <c r="C423" s="227">
        <f>VLOOKUP( T_ApifImport[[#This Row],[ld]], T_Aop[], 4, 0)</f>
        <v>907</v>
      </c>
      <c r="D4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-13315</v>
      </c>
      <c r="I42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17497</v>
      </c>
      <c r="L42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4182</v>
      </c>
      <c r="M42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4182</v>
      </c>
      <c r="O423" s="8">
        <v>428</v>
      </c>
      <c r="P423" s="568" t="s">
        <v>135</v>
      </c>
    </row>
    <row r="424" spans="2:16" x14ac:dyDescent="0.3">
      <c r="B424" s="44">
        <f>VLOOKUP( T_ApifImport[[#This Row],[Bilans]], T_Bilansi[], 4, 0)</f>
        <v>30</v>
      </c>
      <c r="C424" s="227">
        <f>VLOOKUP( T_ApifImport[[#This Row],[ld]], T_Aop[], 4, 0)</f>
        <v>908</v>
      </c>
      <c r="D4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4" s="8">
        <v>430</v>
      </c>
      <c r="P424" s="568" t="s">
        <v>135</v>
      </c>
    </row>
    <row r="425" spans="2:16" x14ac:dyDescent="0.3">
      <c r="B425" s="44">
        <f>VLOOKUP( T_ApifImport[[#This Row],[Bilans]], T_Bilansi[], 4, 0)</f>
        <v>30</v>
      </c>
      <c r="C425" s="227">
        <f>VLOOKUP( T_ApifImport[[#This Row],[ld]], T_Aop[], 4, 0)</f>
        <v>909</v>
      </c>
      <c r="D4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5" s="8">
        <v>431</v>
      </c>
      <c r="P425" s="568" t="s">
        <v>135</v>
      </c>
    </row>
    <row r="426" spans="2:16" x14ac:dyDescent="0.3">
      <c r="B426" s="44">
        <f>VLOOKUP( T_ApifImport[[#This Row],[Bilans]], T_Bilansi[], 4, 0)</f>
        <v>30</v>
      </c>
      <c r="C426" s="227">
        <f>VLOOKUP( T_ApifImport[[#This Row],[ld]], T_Aop[], 4, 0)</f>
        <v>910</v>
      </c>
      <c r="D4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6" s="8">
        <v>432</v>
      </c>
      <c r="P426" s="568" t="s">
        <v>135</v>
      </c>
    </row>
    <row r="427" spans="2:16" x14ac:dyDescent="0.3">
      <c r="B427" s="44">
        <f>VLOOKUP( T_ApifImport[[#This Row],[Bilans]], T_Bilansi[], 4, 0)</f>
        <v>30</v>
      </c>
      <c r="C427" s="227">
        <f>VLOOKUP( T_ApifImport[[#This Row],[ld]], T_Aop[], 4, 0)</f>
        <v>911</v>
      </c>
      <c r="D4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6453</v>
      </c>
      <c r="H42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6453</v>
      </c>
      <c r="M42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6453</v>
      </c>
      <c r="O427" s="8">
        <v>433</v>
      </c>
      <c r="P427" s="568" t="s">
        <v>135</v>
      </c>
    </row>
    <row r="428" spans="2:16" x14ac:dyDescent="0.3">
      <c r="B428" s="44">
        <f>VLOOKUP( T_ApifImport[[#This Row],[Bilans]], T_Bilansi[], 4, 0)</f>
        <v>30</v>
      </c>
      <c r="C428" s="227">
        <f>VLOOKUP( T_ApifImport[[#This Row],[ld]], T_Aop[], 4, 0)</f>
        <v>912</v>
      </c>
      <c r="D4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8" s="8">
        <v>434</v>
      </c>
      <c r="P428" s="568" t="s">
        <v>135</v>
      </c>
    </row>
    <row r="429" spans="2:16" x14ac:dyDescent="0.3">
      <c r="B429" s="44">
        <f>VLOOKUP( T_ApifImport[[#This Row],[Bilans]], T_Bilansi[], 4, 0)</f>
        <v>30</v>
      </c>
      <c r="C429" s="227">
        <f>VLOOKUP( T_ApifImport[[#This Row],[ld]], T_Aop[], 4, 0)</f>
        <v>913</v>
      </c>
      <c r="D4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4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273966</v>
      </c>
      <c r="H4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6146918</v>
      </c>
      <c r="I42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4818917</v>
      </c>
      <c r="L42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20843745</v>
      </c>
      <c r="M42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20843745</v>
      </c>
      <c r="O429" s="8">
        <v>436</v>
      </c>
      <c r="P429" s="568" t="s">
        <v>135</v>
      </c>
    </row>
    <row r="430" spans="2:16" x14ac:dyDescent="0.3">
      <c r="B430" s="44">
        <f>VLOOKUP( T_ApifImport[[#This Row],[Bilans]], T_Bilansi[], 4, 0)</f>
        <v>30</v>
      </c>
      <c r="C430" s="227">
        <f>VLOOKUP( T_ApifImport[[#This Row],[ld]], T_Aop[], 4, 0)</f>
        <v>914</v>
      </c>
      <c r="D4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0" s="8">
        <v>438</v>
      </c>
      <c r="P430" s="568" t="s">
        <v>135</v>
      </c>
    </row>
    <row r="431" spans="2:16" x14ac:dyDescent="0.3">
      <c r="B431" s="44">
        <f>VLOOKUP( T_ApifImport[[#This Row],[Bilans]], T_Bilansi[], 4, 0)</f>
        <v>30</v>
      </c>
      <c r="C431" s="227">
        <f>VLOOKUP( T_ApifImport[[#This Row],[ld]], T_Aop[], 4, 0)</f>
        <v>915</v>
      </c>
      <c r="D4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1" s="8">
        <v>439</v>
      </c>
      <c r="P431" s="568" t="s">
        <v>135</v>
      </c>
    </row>
    <row r="432" spans="2:16" x14ac:dyDescent="0.3">
      <c r="B432" s="44">
        <f>VLOOKUP( T_ApifImport[[#This Row],[Bilans]], T_Bilansi[], 4, 0)</f>
        <v>30</v>
      </c>
      <c r="C432" s="227">
        <f>VLOOKUP( T_ApifImport[[#This Row],[ld]], T_Aop[], 4, 0)</f>
        <v>916</v>
      </c>
      <c r="D4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4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273966</v>
      </c>
      <c r="H4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6146918</v>
      </c>
      <c r="I43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4818917</v>
      </c>
      <c r="L43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20843745</v>
      </c>
      <c r="M43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20843745</v>
      </c>
      <c r="O432" s="8">
        <v>440</v>
      </c>
      <c r="P432" s="568" t="s">
        <v>135</v>
      </c>
    </row>
    <row r="433" spans="2:16" x14ac:dyDescent="0.3">
      <c r="B433" s="44">
        <f>VLOOKUP( T_ApifImport[[#This Row],[Bilans]], T_Bilansi[], 4, 0)</f>
        <v>30</v>
      </c>
      <c r="C433" s="227">
        <f>VLOOKUP( T_ApifImport[[#This Row],[ld]], T_Aop[], 4, 0)</f>
        <v>917</v>
      </c>
      <c r="D4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1067913</v>
      </c>
      <c r="L43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1067913</v>
      </c>
      <c r="M43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1067913</v>
      </c>
      <c r="O433" s="8">
        <v>442</v>
      </c>
      <c r="P433" s="568" t="s">
        <v>135</v>
      </c>
    </row>
    <row r="434" spans="2:16" x14ac:dyDescent="0.3">
      <c r="B434" s="44">
        <f>VLOOKUP( T_ApifImport[[#This Row],[Bilans]], T_Bilansi[], 4, 0)</f>
        <v>30</v>
      </c>
      <c r="C434" s="227">
        <f>VLOOKUP( T_ApifImport[[#This Row],[ld]], T_Aop[], 4, 0)</f>
        <v>918</v>
      </c>
      <c r="D4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4" s="8">
        <v>443</v>
      </c>
      <c r="P434" s="568" t="s">
        <v>135</v>
      </c>
    </row>
    <row r="435" spans="2:16" x14ac:dyDescent="0.3">
      <c r="B435" s="44">
        <f>VLOOKUP( T_ApifImport[[#This Row],[Bilans]], T_Bilansi[], 4, 0)</f>
        <v>30</v>
      </c>
      <c r="C435" s="227">
        <f>VLOOKUP( T_ApifImport[[#This Row],[ld]], T_Aop[], 4, 0)</f>
        <v>919</v>
      </c>
      <c r="D4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1067913</v>
      </c>
      <c r="L43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1067913</v>
      </c>
      <c r="M43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1067913</v>
      </c>
      <c r="O435" s="8">
        <v>444</v>
      </c>
      <c r="P435" s="568" t="s">
        <v>135</v>
      </c>
    </row>
    <row r="436" spans="2:16" x14ac:dyDescent="0.3">
      <c r="B436" s="44">
        <f>VLOOKUP( T_ApifImport[[#This Row],[Bilans]], T_Bilansi[], 4, 0)</f>
        <v>30</v>
      </c>
      <c r="C436" s="227">
        <f>VLOOKUP( T_ApifImport[[#This Row],[ld]], T_Aop[], 4, 0)</f>
        <v>920</v>
      </c>
      <c r="D4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6" s="8">
        <v>446</v>
      </c>
      <c r="P436" s="568" t="s">
        <v>135</v>
      </c>
    </row>
    <row r="437" spans="2:16" x14ac:dyDescent="0.3">
      <c r="B437" s="44">
        <f>VLOOKUP( T_ApifImport[[#This Row],[Bilans]], T_Bilansi[], 4, 0)</f>
        <v>30</v>
      </c>
      <c r="C437" s="227">
        <f>VLOOKUP( T_ApifImport[[#This Row],[ld]], T_Aop[], 4, 0)</f>
        <v>921</v>
      </c>
      <c r="D4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7" s="8">
        <v>447</v>
      </c>
      <c r="P437" s="568" t="s">
        <v>135</v>
      </c>
    </row>
    <row r="438" spans="2:16" x14ac:dyDescent="0.3">
      <c r="B438" s="44">
        <f>VLOOKUP( T_ApifImport[[#This Row],[Bilans]], T_Bilansi[], 4, 0)</f>
        <v>30</v>
      </c>
      <c r="C438" s="227">
        <f>VLOOKUP( T_ApifImport[[#This Row],[ld]], T_Aop[], 4, 0)</f>
        <v>922</v>
      </c>
      <c r="D4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8" s="8">
        <v>448</v>
      </c>
      <c r="P438" s="568" t="s">
        <v>135</v>
      </c>
    </row>
    <row r="439" spans="2:16" x14ac:dyDescent="0.3">
      <c r="B439" s="44">
        <f>VLOOKUP( T_ApifImport[[#This Row],[Bilans]], T_Bilansi[], 4, 0)</f>
        <v>30</v>
      </c>
      <c r="C439" s="227">
        <f>VLOOKUP( T_ApifImport[[#This Row],[ld]], T_Aop[], 4, 0)</f>
        <v>923</v>
      </c>
      <c r="D4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875</v>
      </c>
      <c r="H4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-875</v>
      </c>
      <c r="L43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9" s="8">
        <v>449</v>
      </c>
      <c r="P439" s="568" t="s">
        <v>135</v>
      </c>
    </row>
    <row r="440" spans="2:16" x14ac:dyDescent="0.3">
      <c r="B440" s="44">
        <f>VLOOKUP( T_ApifImport[[#This Row],[Bilans]], T_Bilansi[], 4, 0)</f>
        <v>30</v>
      </c>
      <c r="C440" s="227">
        <f>VLOOKUP( T_ApifImport[[#This Row],[ld]], T_Aop[], 4, 0)</f>
        <v>924</v>
      </c>
      <c r="D4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4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4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4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40" s="8">
        <v>450</v>
      </c>
      <c r="P440" s="568" t="s">
        <v>135</v>
      </c>
    </row>
    <row r="441" spans="2:16" x14ac:dyDescent="0.3">
      <c r="B441" s="506">
        <f>VLOOKUP( T_ApifImport[[#This Row],[Bilans]], T_Bilansi[], 4, 0)</f>
        <v>30</v>
      </c>
      <c r="C441" s="263">
        <f>VLOOKUP( T_ApifImport[[#This Row],[ld]], T_Aop[], 4, 0)</f>
        <v>925</v>
      </c>
      <c r="D4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9603944</v>
      </c>
      <c r="F441"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1" s="264">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274841</v>
      </c>
      <c r="H441" s="264">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6146918</v>
      </c>
      <c r="I441" s="264">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1" s="264">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1" s="264">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5885955</v>
      </c>
      <c r="L441" s="264">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21911658</v>
      </c>
      <c r="M441" s="264">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1" s="264">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21911658</v>
      </c>
      <c r="O441" s="8">
        <v>452</v>
      </c>
      <c r="P441" s="568" t="s">
        <v>135</v>
      </c>
    </row>
  </sheetData>
  <sheetProtection algorithmName="SHA-512" hashValue="HhhAuf6+GFwvp5189cH8YTf+h9ohvayjVuMjmip8MrluCzSLvtx311NbMeS+V7rKtezWfbuCY2UpKIHZK3NJMg==" saltValue="TDYuEOwmiJb/06UhvZx+Ug==" spinCount="100000" sheet="1" objects="1" scenarios="1"/>
  <phoneticPr fontId="27" type="noConversion"/>
  <conditionalFormatting sqref="B2:B441 E397:I409">
    <cfRule type="expression" dxfId="22" priority="2527">
      <formula>#REF!&lt;&gt;$B2</formula>
    </cfRule>
  </conditionalFormatting>
  <conditionalFormatting sqref="B1:O1 C2:P135 C137:C277 E137:N277 P137:P277 D137:D441 O138 O140 O142 O144 O146 O148 O150 O152 O154 O156 O158 O160 O162 O164 O166 O168 O170 O172 O174 O176 O178 O180 O182 O184 O186 O188 O190 O192 O194 O196 O198 O200 O202 O204 O206 O208 O210 O212 O214 O216 O218 O220 O222 O224 O226 O228 O230 O232 O234 O236 O238 O240 O242 O244 O246 O248 O250 O252 O254 O256 O258 O260 O262 O264 O266 O268 O270 O272 O274 O276 O280 F280:I281 C280:C409 J280:N415 P280:P415 O282 E282:I396 O284 O286 O288 O290 O292 O294 O296 O298 O300 O302 O304 O306 O308 O310 O312 O314 O316 O318 O320 O322 O324 O326 O328 O330 O332 O334 O336 O338 O340 O342 O344 O346 O348 O350 O352 O354 O356 O358 O360 O362 O364 O366 O368 O370 O372 O374 O376 O378 O380 O382 O384 O386 O388 O390 O392 O394 O396 O398 O400 O402 O404 O406 O408 O410 O412 O414 O419 O422 O424 O426 O428 O430 O432 O434 O436 O438 O440">
    <cfRule type="expression" dxfId="21" priority="73">
      <formula>$B2&lt;&gt;$B1</formula>
    </cfRule>
  </conditionalFormatting>
  <conditionalFormatting sqref="C136 E136:I136 O136:O137 O139 O141 O143 O145 O147 O149 O151 O153 O155 O157 O159 O161 O163 O165 O167 O169 O171 O173 O175 O177 O179 O181 O183 O185 O187 O189 O191 O193 O195 O197 O199 O201 O203 O205 O207 O209 O211 O213 O215 O217 O219 O221 O223 O225 O227 O229 O231 O233 O235 O237 O239 O241 O243 O245 O247 O249 O251 O253 O255 O257 O259 O261 O263 O265 O267 O269 O271 O273 O275 O277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O403 O405 O407 O409 O411 O413 O415 O417:O418 O420:O421 O423 O425 O427 O429 O431 O433 O435 O437 O439 O441">
    <cfRule type="expression" dxfId="20" priority="2589">
      <formula>#REF!&lt;&gt;$B136</formula>
    </cfRule>
  </conditionalFormatting>
  <conditionalFormatting sqref="C278:C279 E278:P279 E280:E281">
    <cfRule type="expression" dxfId="19" priority="2608">
      <formula>#REF!&lt;&gt;$B278</formula>
    </cfRule>
  </conditionalFormatting>
  <conditionalFormatting sqref="D136 J136:N136 P136">
    <cfRule type="expression" dxfId="18" priority="2701">
      <formula>#REF!&lt;&gt;$B136</formula>
    </cfRule>
  </conditionalFormatting>
  <conditionalFormatting sqref="J416:P416">
    <cfRule type="expression" dxfId="17" priority="2697">
      <formula>#REF!&lt;&gt;$B416</formula>
    </cfRule>
  </conditionalFormatting>
  <pageMargins left="0.7" right="0.7" top="0.75" bottom="0.75" header="0.3" footer="0.3"/>
  <pageSetup paperSize="9" orientation="landscape" verticalDpi="200"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0b">
    <tabColor rgb="FFB2B2B2"/>
  </sheetPr>
  <dimension ref="A1:AG126"/>
  <sheetViews>
    <sheetView showGridLines="0" showRowColHeaders="0" zoomScaleNormal="100" zoomScaleSheetLayoutView="100" workbookViewId="0">
      <pane xSplit="1" ySplit="6" topLeftCell="B7" activePane="bottomRight" state="frozen"/>
      <selection activeCell="K31" sqref="K31"/>
      <selection pane="topRight" activeCell="K31" sqref="K31"/>
      <selection pane="bottomLeft" activeCell="K31" sqref="K31"/>
      <selection pane="bottomRight" activeCell="J43" sqref="J43:L43"/>
    </sheetView>
  </sheetViews>
  <sheetFormatPr defaultColWidth="0" defaultRowHeight="13" zeroHeight="1" x14ac:dyDescent="0.3"/>
  <cols>
    <col min="1" max="1" width="5.69921875" style="8" customWidth="1"/>
    <col min="2" max="2" width="41.3984375" style="8" customWidth="1"/>
    <col min="3" max="3" width="2.8984375" style="8" customWidth="1"/>
    <col min="4" max="23" width="3.09765625" style="8" customWidth="1"/>
    <col min="24" max="24" width="11.3984375" style="8" customWidth="1"/>
    <col min="25" max="26" width="13.09765625" style="8" hidden="1" customWidth="1"/>
    <col min="27" max="27" width="37.69921875" style="8" hidden="1" customWidth="1"/>
    <col min="28" max="28" width="38.09765625" style="8" customWidth="1"/>
    <col min="29" max="30" width="9.09765625" style="8" hidden="1" customWidth="1"/>
    <col min="31" max="31" width="12" style="8" hidden="1" customWidth="1"/>
    <col min="32" max="33" width="9.09765625" style="8" hidden="1" customWidth="1"/>
    <col min="34" max="16384" width="0" style="8" hidden="1"/>
  </cols>
  <sheetData>
    <row r="1" spans="2:31" ht="21" customHeight="1" x14ac:dyDescent="0.3"/>
    <row r="2" spans="2:31" ht="21" customHeight="1" x14ac:dyDescent="0.3">
      <c r="AA2" s="98"/>
    </row>
    <row r="3" spans="2:31" ht="19.5" customHeight="1" x14ac:dyDescent="0.3"/>
    <row r="4" spans="2:31" ht="16.5" customHeight="1" thickBot="1" x14ac:dyDescent="0.35"/>
    <row r="5" spans="2:31" ht="20.25" customHeight="1" thickBot="1" x14ac:dyDescent="0.35">
      <c r="B5" s="90" t="str">
        <f>Osnovno_Izaberite_jezik</f>
        <v>Izaberite jezik | Choose language</v>
      </c>
      <c r="C5"/>
      <c r="Y5" s="8">
        <f>COUNTIF(Y8:Y116, FALSE)</f>
        <v>2</v>
      </c>
      <c r="Z5" s="8">
        <f>COUNTIF(Z8:Z116, FALSE)</f>
        <v>0</v>
      </c>
    </row>
    <row r="6" spans="2:31" ht="12.75" customHeight="1" x14ac:dyDescent="0.3">
      <c r="Y6" s="120" t="s">
        <v>485</v>
      </c>
      <c r="Z6" s="120" t="s">
        <v>486</v>
      </c>
      <c r="AA6" s="147" t="s">
        <v>487</v>
      </c>
      <c r="AB6" s="148" t="s">
        <v>484</v>
      </c>
    </row>
    <row r="7" spans="2:31" ht="15.75" customHeight="1" thickBot="1" x14ac:dyDescent="0.35">
      <c r="B7" s="100" t="str">
        <f>Osnovno_Izvjestajni_period</f>
        <v>Izvještajni period:</v>
      </c>
      <c r="D7" s="86" t="str">
        <f>Objasnjenja_Dan</f>
        <v>Dan</v>
      </c>
      <c r="E7" s="86"/>
      <c r="F7" s="86"/>
      <c r="G7" s="86" t="str">
        <f>Objasnjenja_Mjesec</f>
        <v>Mjesec</v>
      </c>
      <c r="H7" s="86"/>
      <c r="I7" s="86"/>
      <c r="J7" s="86" t="str">
        <f>Objasnjenja_Godina</f>
        <v>Godina</v>
      </c>
      <c r="K7" s="86"/>
      <c r="L7" s="86"/>
      <c r="M7" s="86"/>
    </row>
    <row r="8" spans="2:31" ht="15.25" customHeight="1" x14ac:dyDescent="0.3">
      <c r="B8" s="85" t="str">
        <f>Osnovno_Pocetak_perioda</f>
        <v>Početak izvještajnog perioda:</v>
      </c>
      <c r="D8" s="590">
        <v>1</v>
      </c>
      <c r="E8" s="590"/>
      <c r="F8" s="44"/>
      <c r="G8" s="590">
        <v>1</v>
      </c>
      <c r="H8" s="590"/>
      <c r="I8" s="44"/>
      <c r="J8" s="593">
        <v>2026</v>
      </c>
      <c r="K8" s="594"/>
      <c r="L8" s="595"/>
      <c r="M8"/>
      <c r="N8"/>
      <c r="O8"/>
      <c r="P8"/>
      <c r="Y8" s="14" t="b">
        <f>AND( Period_Pocetak_Dan &lt;&gt; "", Period_Pocetak_Mjesec &lt;&gt; "", Godina &lt;&gt; "")</f>
        <v>1</v>
      </c>
      <c r="Z8" s="140" t="b">
        <f>IF( Y8, TEXT( DATE( Godina, Period_Pocetak_Mjesec, Period_Pocetak_Dan), "dd.mm.yyyy" ) = TEXT( Period_Pocetak_Dan, "00") &amp; "." &amp; TEXT( Period_Pocetak_Mjesec, "00") &amp;"." &amp; CONCATENATE( Godina), FALSE)</f>
        <v>1</v>
      </c>
      <c r="AA8" s="14" t="str">
        <f>TEXT( DATE( Godina, Period_Pocetak_Mjesec, Period_Pocetak_Dan), "dd.mm.yyyy.")</f>
        <v>01.01.2026.</v>
      </c>
      <c r="AB8" s="92" t="str">
        <f>IF(Y8, IF( Z8, AA8, Kontrola_Neispravno), Kontrola_Obavezno)</f>
        <v>01.01.2026.</v>
      </c>
    </row>
    <row r="9" spans="2:31" ht="4.9000000000000004" customHeight="1" x14ac:dyDescent="0.3">
      <c r="B9" s="85"/>
      <c r="J9" s="596"/>
      <c r="K9" s="597"/>
      <c r="L9" s="598"/>
      <c r="Y9" s="14"/>
      <c r="Z9" s="14"/>
      <c r="AA9" s="96"/>
      <c r="AB9" s="93"/>
    </row>
    <row r="10" spans="2:31" ht="15.75" customHeight="1" thickBot="1" x14ac:dyDescent="0.35">
      <c r="B10" s="85" t="str">
        <f>Osnovno_Kraj_perioda</f>
        <v>Kraj izvještajnog perioda:</v>
      </c>
      <c r="D10" s="591">
        <v>30</v>
      </c>
      <c r="E10" s="592"/>
      <c r="F10" s="44"/>
      <c r="G10" s="591">
        <v>6</v>
      </c>
      <c r="H10" s="592"/>
      <c r="I10" s="44"/>
      <c r="J10" s="599"/>
      <c r="K10" s="600"/>
      <c r="L10" s="601"/>
      <c r="M10"/>
      <c r="Y10" s="14" t="b">
        <f>AND( Period_Kraj_Dan &lt;&gt; "", Period_Kraj_Mjesec &lt;&gt; "", Godina &lt;&gt; "")</f>
        <v>1</v>
      </c>
      <c r="Z10" s="44" t="b">
        <f>IF( Y10, TEXT( DATE( Godina, Period_Kraj_Mjesec, Period_Kraj_Dan), "dd.mm.yyyy" ) = TEXT( Period_Kraj_Dan, "00") &amp; "." &amp; TEXT( Period_Kraj_Mjesec, "00") &amp;"." &amp; CONCATENATE( Godina), FALSE)</f>
        <v>1</v>
      </c>
      <c r="AA10" s="86" t="str">
        <f>TEXT( DATE( Godina, Period_Kraj_Mjesec, Period_Kraj_Dan), "dd.mm.yyyy.")</f>
        <v>30.06.2026.</v>
      </c>
      <c r="AB10" s="92" t="str">
        <f>IF(Y10, IF( Z10, AA10, Kontrola_Neispravno), Kontrola_Obavezno)</f>
        <v>30.06.2026.</v>
      </c>
      <c r="AD10"/>
      <c r="AE10"/>
    </row>
    <row r="11" spans="2:31" ht="4.9000000000000004" customHeight="1" x14ac:dyDescent="0.3">
      <c r="B11" s="85"/>
      <c r="D11"/>
      <c r="E11"/>
      <c r="F11"/>
      <c r="G11"/>
      <c r="H11"/>
      <c r="I11"/>
      <c r="J11"/>
      <c r="K11"/>
      <c r="L11"/>
      <c r="M11"/>
      <c r="Y11" s="14"/>
      <c r="Z11" s="44"/>
      <c r="AA11" s="86"/>
      <c r="AB11" s="93"/>
    </row>
    <row r="12" spans="2:31" ht="15.25" customHeight="1" x14ac:dyDescent="0.3">
      <c r="B12" s="85" t="str">
        <f>Osnovno_Vrsta_izvjestaja</f>
        <v>Vrsta izvještaja:</v>
      </c>
      <c r="D12" s="167" t="str">
        <f>IF( AND( DATE( Godina, Period_Pocetak_Mjesec, Period_Pocetak_Dan) = DATE( Godina, 1, 1), NOT( ISNA( VLOOKUP( Datum_Broj,T_Vrsta_izvjestaja[], 2, 0)))), VLOOKUP( Datum_Broj,T_Vrsta_izvjestaja[], 3, 0), Vrsta_izvjestaja_Specificni)</f>
        <v>Polugodišnji</v>
      </c>
      <c r="E12" s="167"/>
      <c r="F12" s="167"/>
      <c r="G12" s="167"/>
      <c r="H12" s="167"/>
      <c r="I12" s="167"/>
      <c r="J12" s="167"/>
      <c r="K12" s="167"/>
      <c r="L12" s="167"/>
      <c r="M12"/>
      <c r="N12"/>
      <c r="O12"/>
      <c r="P12"/>
      <c r="Q12"/>
      <c r="R12"/>
      <c r="S12"/>
      <c r="T12"/>
      <c r="U12"/>
      <c r="V12"/>
      <c r="Y12" s="14"/>
      <c r="Z12" s="14"/>
      <c r="AA12" s="86"/>
      <c r="AB12" s="92" t="str">
        <f>D12</f>
        <v>Polugodišnji</v>
      </c>
    </row>
    <row r="13" spans="2:31" ht="13.9" customHeight="1" x14ac:dyDescent="0.3">
      <c r="B13" s="47"/>
      <c r="M13"/>
      <c r="N13"/>
      <c r="O13"/>
      <c r="P13"/>
      <c r="Q13"/>
      <c r="R13"/>
      <c r="S13"/>
      <c r="T13"/>
      <c r="U13"/>
      <c r="V13"/>
      <c r="Y13" s="14"/>
      <c r="Z13" s="14"/>
      <c r="AA13" s="96"/>
      <c r="AB13" s="93"/>
    </row>
    <row r="14" spans="2:31" ht="15.75" customHeight="1" x14ac:dyDescent="0.3">
      <c r="B14" s="100" t="str">
        <f>Objasnjenja_Zaglavlje</f>
        <v>Podaci u zaglavlju:</v>
      </c>
      <c r="Y14" s="14"/>
      <c r="Z14" s="14"/>
      <c r="AA14" s="96"/>
      <c r="AB14" s="93"/>
    </row>
    <row r="15" spans="2:31" ht="15.25" customHeight="1" x14ac:dyDescent="0.3">
      <c r="B15" s="85" t="str">
        <f>Zaglavlje_MB</f>
        <v>Matični broj</v>
      </c>
      <c r="D15" s="83">
        <v>0</v>
      </c>
      <c r="E15" s="83">
        <v>1</v>
      </c>
      <c r="F15" s="83">
        <v>0</v>
      </c>
      <c r="G15" s="83">
        <v>4</v>
      </c>
      <c r="H15" s="83">
        <v>0</v>
      </c>
      <c r="I15" s="83">
        <v>1</v>
      </c>
      <c r="J15" s="83">
        <v>0</v>
      </c>
      <c r="K15" s="83">
        <v>3</v>
      </c>
      <c r="L15" s="83"/>
      <c r="M15" s="83"/>
      <c r="N15" s="83"/>
      <c r="O15" s="83"/>
      <c r="P15" s="83"/>
      <c r="Y15" s="14" t="b">
        <f>LEN(AA15) &gt;= 7</f>
        <v>1</v>
      </c>
      <c r="Z15" s="14" t="b">
        <v>1</v>
      </c>
      <c r="AA15" s="96" t="str">
        <f>CONCATENATE( D15, E15, F15, G15, H15, I15, J15, K15,L15,M15,N15,O15,P15)</f>
        <v>01040103</v>
      </c>
      <c r="AB15" s="92" t="str">
        <f>IF(Y15, IF( Z15, AA15, Kontrola_Neispravno), Kontrola_Obavezno)</f>
        <v>01040103</v>
      </c>
    </row>
    <row r="16" spans="2:31" ht="4.9000000000000004" customHeight="1" x14ac:dyDescent="0.3">
      <c r="B16" s="85"/>
      <c r="Y16" s="14"/>
      <c r="Z16" s="14"/>
      <c r="AA16" s="96"/>
      <c r="AB16" s="93"/>
    </row>
    <row r="17" spans="2:31" ht="15.25" customHeight="1" x14ac:dyDescent="0.3">
      <c r="B17" s="85" t="str">
        <f>Zaglavlje_Sifra_djelatnosti</f>
        <v>Šifra djelatnosti</v>
      </c>
      <c r="D17" s="83">
        <v>3</v>
      </c>
      <c r="E17" s="83">
        <v>8</v>
      </c>
      <c r="F17" s="87" t="s">
        <v>400</v>
      </c>
      <c r="G17" s="83">
        <v>1</v>
      </c>
      <c r="H17" s="83">
        <v>1</v>
      </c>
      <c r="I17" s="91"/>
      <c r="Y17" s="14" t="b">
        <f>AND( D17 &lt;&gt; "", LEN( AA17) &gt;= 5)</f>
        <v>1</v>
      </c>
      <c r="Z17" s="14" t="b">
        <v>1</v>
      </c>
      <c r="AA17" s="96" t="str">
        <f>CONCATENATE( D17, E17, F17, G17, H17, I17)</f>
        <v>38.11</v>
      </c>
      <c r="AB17" s="92" t="str">
        <f>IF(Y17, IF( Z17, AA17, Kontrola_Neispravno), Kontrola_Obavezno)</f>
        <v>38.11</v>
      </c>
      <c r="AE17" s="88"/>
    </row>
    <row r="18" spans="2:31" ht="4.9000000000000004" customHeight="1" x14ac:dyDescent="0.3">
      <c r="B18" s="85"/>
      <c r="Y18" s="14"/>
      <c r="Z18" s="14"/>
      <c r="AA18" s="96"/>
      <c r="AB18" s="93"/>
    </row>
    <row r="19" spans="2:31" ht="12.75" customHeight="1" x14ac:dyDescent="0.3">
      <c r="B19" s="583" t="str">
        <f>Zaglavlje_Naziv_preduzeca</f>
        <v xml:space="preserve">Naziv privrednog društva, zadruge, drugog pravnog lica ili preduzetnika: </v>
      </c>
      <c r="Y19" s="14"/>
      <c r="Z19" s="14"/>
      <c r="AA19" s="96"/>
      <c r="AB19" s="93"/>
    </row>
    <row r="20" spans="2:31" ht="22.9" customHeight="1" x14ac:dyDescent="0.3">
      <c r="B20" s="583"/>
      <c r="D20" s="584" t="s">
        <v>3074</v>
      </c>
      <c r="E20" s="584"/>
      <c r="F20" s="584"/>
      <c r="G20" s="584"/>
      <c r="H20" s="584"/>
      <c r="I20" s="584"/>
      <c r="J20" s="584"/>
      <c r="K20" s="584"/>
      <c r="L20" s="584"/>
      <c r="M20" s="584"/>
      <c r="N20" s="584"/>
      <c r="O20" s="584"/>
      <c r="P20" s="584"/>
      <c r="Q20" s="584"/>
      <c r="R20" s="584"/>
      <c r="S20" s="584"/>
      <c r="T20" s="584"/>
      <c r="U20" s="584"/>
      <c r="V20" s="584"/>
      <c r="Y20" s="14" t="b">
        <f>LEN(AA20) &gt; 0</f>
        <v>1</v>
      </c>
      <c r="Z20" s="14" t="b">
        <v>1</v>
      </c>
      <c r="AA20" s="96" t="str">
        <f>CONCATENATE( D20)</f>
        <v>Čistoća AD Banja Luka</v>
      </c>
      <c r="AB20" s="94" t="str">
        <f>IF(Y20, IF( Z20, AA20, Kontrola_Neispravno), Kontrola_Obavezno)</f>
        <v>Čistoća AD Banja Luka</v>
      </c>
    </row>
    <row r="21" spans="2:31" ht="8.25" customHeight="1" x14ac:dyDescent="0.3">
      <c r="B21" s="85"/>
      <c r="D21" s="2"/>
      <c r="E21" s="2"/>
      <c r="F21" s="2"/>
      <c r="G21" s="2"/>
      <c r="H21" s="2"/>
      <c r="I21" s="2"/>
      <c r="J21" s="2"/>
      <c r="K21" s="2"/>
      <c r="L21" s="2"/>
      <c r="M21" s="2"/>
      <c r="N21" s="2"/>
      <c r="O21" s="2"/>
      <c r="P21" s="2"/>
      <c r="Q21" s="2"/>
      <c r="R21" s="2"/>
      <c r="S21" s="2"/>
      <c r="T21" s="2"/>
      <c r="U21" s="2"/>
      <c r="V21" s="2"/>
      <c r="Y21" s="14"/>
      <c r="Z21" s="14"/>
      <c r="AA21" s="96"/>
      <c r="AB21" s="93"/>
    </row>
    <row r="22" spans="2:31" ht="15.25" customHeight="1" x14ac:dyDescent="0.3">
      <c r="B22" s="85" t="str">
        <f>Zaglavlje_Sjediste</f>
        <v>Sjedište:</v>
      </c>
      <c r="D22" s="588" t="s">
        <v>3075</v>
      </c>
      <c r="E22" s="589"/>
      <c r="F22" s="589"/>
      <c r="G22" s="589"/>
      <c r="H22" s="589"/>
      <c r="I22" s="589"/>
      <c r="J22" s="589"/>
      <c r="K22" s="589"/>
      <c r="L22" s="589"/>
      <c r="M22" s="589"/>
      <c r="N22" s="589"/>
      <c r="O22" s="589"/>
      <c r="P22" s="589"/>
      <c r="Q22" s="589"/>
      <c r="R22" s="589"/>
      <c r="S22" s="589"/>
      <c r="T22" s="589"/>
      <c r="U22" s="589"/>
      <c r="V22" s="589"/>
      <c r="Y22" s="14" t="b">
        <f>LEN(AA22) &gt; 0</f>
        <v>1</v>
      </c>
      <c r="Z22" s="14" t="b">
        <v>1</v>
      </c>
      <c r="AA22" s="96" t="str">
        <f>CONCATENATE( D22)</f>
        <v>Braće Podgornika 2 Banja Luka</v>
      </c>
      <c r="AB22" s="92" t="str">
        <f>IF(Y22, IF( Z22, AA22, Kontrola_Neispravno), Kontrola_Obavezno)</f>
        <v>Braće Podgornika 2 Banja Luka</v>
      </c>
    </row>
    <row r="23" spans="2:31" ht="6.75" customHeight="1" x14ac:dyDescent="0.3">
      <c r="B23" s="85"/>
      <c r="Y23" s="14"/>
      <c r="Z23" s="14"/>
      <c r="AA23" s="96"/>
      <c r="AB23" s="93"/>
    </row>
    <row r="24" spans="2:31" ht="15.25" customHeight="1" x14ac:dyDescent="0.3">
      <c r="B24" s="85" t="str">
        <f>Zaglavlje_JIB</f>
        <v>JIB</v>
      </c>
      <c r="D24" s="575">
        <v>4</v>
      </c>
      <c r="E24" s="576">
        <v>4</v>
      </c>
      <c r="F24" s="577">
        <v>0</v>
      </c>
      <c r="G24" s="575">
        <v>0</v>
      </c>
      <c r="H24" s="576">
        <v>8</v>
      </c>
      <c r="I24" s="577">
        <v>4</v>
      </c>
      <c r="J24" s="575">
        <v>9</v>
      </c>
      <c r="K24" s="576">
        <v>1</v>
      </c>
      <c r="L24" s="577">
        <v>6</v>
      </c>
      <c r="M24" s="576">
        <v>0</v>
      </c>
      <c r="N24" s="577">
        <v>0</v>
      </c>
      <c r="O24" s="576">
        <v>0</v>
      </c>
      <c r="P24" s="577">
        <v>4</v>
      </c>
      <c r="Q24" s="44"/>
      <c r="R24" s="44"/>
      <c r="S24" s="44"/>
      <c r="T24" s="44"/>
      <c r="U24" s="44"/>
      <c r="V24" s="44"/>
      <c r="Y24" s="14" t="b">
        <f>LEN(AA24) = 13</f>
        <v>1</v>
      </c>
      <c r="Z24" s="207" t="b">
        <f>IF( Y24, VALUE( CONCATENATE( P24)) = IF( 11 - MOD( SUMPRODUCT( {7;6;5;4;3;2;7;6;5;4;3;2}, VALUE( MID( CONCATENATE( D24, E24, F24, G24, H24, I24, J24, K24, L24, M24, N24, O24, P24), {1;2;3;4;5;6;7;8;9;10;11;12}, 1))), 11) &gt;= 10, 0, 11 - MOD( SUMPRODUCT( {7;6;5;4;3;2;7;6;5;4;3;2}, VALUE( MID( CONCATENATE( D24, E24, F24, G24, H24, I24, J24, K24, L24, M24, N24, O24, P24), {1;2;3;4;5;6;7;8;9;10;11;12}, 1))), 11)), FALSE)</f>
        <v>1</v>
      </c>
      <c r="AA24" s="97" t="str">
        <f>CONCATENATE( D24, E24, F24, G24, H24, I24, J24, K24, L24, M24, N24, O24, P24)</f>
        <v>4400849160004</v>
      </c>
      <c r="AB24" s="92" t="str">
        <f>IF(Y24, IF( Z24, AA24, Kontrola_Neispravno), Kontrola_Obavezno)</f>
        <v>4400849160004</v>
      </c>
    </row>
    <row r="25" spans="2:31" ht="15.25" customHeight="1" x14ac:dyDescent="0.3">
      <c r="B25" s="85"/>
      <c r="D25" s="2"/>
      <c r="E25" s="2"/>
      <c r="F25" s="2"/>
      <c r="G25" s="2"/>
      <c r="H25" s="2"/>
      <c r="I25" s="2"/>
      <c r="J25" s="2"/>
      <c r="K25" s="2"/>
      <c r="L25" s="2"/>
      <c r="M25" s="2"/>
      <c r="N25" s="2"/>
      <c r="O25" s="2"/>
      <c r="P25" s="2"/>
      <c r="Q25" s="2"/>
      <c r="R25" s="2"/>
      <c r="S25" s="2"/>
      <c r="T25" s="2"/>
      <c r="U25" s="2"/>
      <c r="V25" s="2"/>
      <c r="Y25" s="14"/>
      <c r="Z25" s="14"/>
      <c r="AA25" s="96"/>
      <c r="AB25" s="93"/>
    </row>
    <row r="26" spans="2:31" ht="15.25" customHeight="1" x14ac:dyDescent="0.3">
      <c r="B26" s="117" t="str">
        <f>Objasnjenja_Bankovni_racun</f>
        <v>Računi u banci:</v>
      </c>
      <c r="Y26" s="14"/>
      <c r="Z26" s="14"/>
      <c r="AA26" s="96"/>
      <c r="AB26" s="93"/>
    </row>
    <row r="27" spans="2:31" ht="15.25" customHeight="1" x14ac:dyDescent="0.3">
      <c r="B27" s="85" t="str">
        <f>Objasnjenja_Glavni_racun</f>
        <v>Glavni račun:</v>
      </c>
      <c r="D27" s="83">
        <v>5</v>
      </c>
      <c r="E27" s="83">
        <v>5</v>
      </c>
      <c r="F27" s="83">
        <v>5</v>
      </c>
      <c r="G27" s="84" t="s">
        <v>399</v>
      </c>
      <c r="H27" s="83">
        <v>0</v>
      </c>
      <c r="I27" s="83">
        <v>0</v>
      </c>
      <c r="J27" s="83">
        <v>7</v>
      </c>
      <c r="K27" s="84" t="s">
        <v>399</v>
      </c>
      <c r="L27" s="83">
        <v>0</v>
      </c>
      <c r="M27" s="83">
        <v>0</v>
      </c>
      <c r="N27" s="83">
        <v>0</v>
      </c>
      <c r="O27" s="83">
        <v>1</v>
      </c>
      <c r="P27" s="83">
        <v>1</v>
      </c>
      <c r="Q27" s="83">
        <v>3</v>
      </c>
      <c r="R27" s="83">
        <v>7</v>
      </c>
      <c r="S27" s="83">
        <v>5</v>
      </c>
      <c r="T27" s="44" t="s">
        <v>399</v>
      </c>
      <c r="U27" s="83">
        <v>8</v>
      </c>
      <c r="V27" s="83">
        <v>2</v>
      </c>
      <c r="Y27" s="14" t="b">
        <f>LEN(AA27) = 16</f>
        <v>1</v>
      </c>
      <c r="Z27" s="14" t="b">
        <f>IF(Y27, VALUE( CONCATENATE( U27, V27)) = 98 - MOD( CONCATENATE( MOD( CONCATENATE( D27, E27, F27, H27, I27, J27, L27, M27, N27), 97), CONCATENATE(O27, P27, Q27, R27, S27), "00"), 97), FALSE)</f>
        <v>1</v>
      </c>
      <c r="AA27" s="96" t="str">
        <f>CONCATENATE( D27, E27, F27, H27, I27, J27, L27, M27, N27, O27, P27, Q27, R27, S27, U27, V27)</f>
        <v>5550070001137582</v>
      </c>
      <c r="AB27" s="92" t="str">
        <f>IF(Y27, IF( Z27, CONCATENATE( D27, E27, F27, G27, H27, I27, J27, K27, L27, M27, N27, O27, P27, Q27, R27, S27, T27, U27, V27), Kontrola_Neispravno), Kontrola_Obavezno)</f>
        <v>555-007-00011375-82</v>
      </c>
    </row>
    <row r="28" spans="2:31" ht="4.9000000000000004" customHeight="1" x14ac:dyDescent="0.3">
      <c r="B28" s="85"/>
      <c r="D28" s="2"/>
      <c r="E28" s="2"/>
      <c r="F28" s="2"/>
      <c r="G28" s="2"/>
      <c r="H28" s="2"/>
      <c r="I28" s="2"/>
      <c r="J28" s="2"/>
      <c r="K28" s="2"/>
      <c r="L28" s="2"/>
      <c r="M28" s="2"/>
      <c r="N28" s="2"/>
      <c r="O28" s="2"/>
      <c r="P28" s="2"/>
      <c r="Q28" s="2"/>
      <c r="R28" s="2"/>
      <c r="S28" s="2"/>
      <c r="T28" s="2"/>
      <c r="U28" s="2"/>
      <c r="V28" s="2"/>
      <c r="Y28" s="14"/>
      <c r="Z28" s="14"/>
      <c r="AA28" s="96"/>
      <c r="AB28" s="93"/>
    </row>
    <row r="29" spans="2:31" ht="15.25" customHeight="1" x14ac:dyDescent="0.3">
      <c r="B29" s="85"/>
      <c r="D29" s="83">
        <v>1</v>
      </c>
      <c r="E29" s="83">
        <v>9</v>
      </c>
      <c r="F29" s="83">
        <v>4</v>
      </c>
      <c r="G29" s="84" t="s">
        <v>399</v>
      </c>
      <c r="H29" s="83">
        <v>1</v>
      </c>
      <c r="I29" s="83">
        <v>0</v>
      </c>
      <c r="J29" s="83">
        <v>6</v>
      </c>
      <c r="K29" s="84" t="s">
        <v>399</v>
      </c>
      <c r="L29" s="83">
        <v>2</v>
      </c>
      <c r="M29" s="83">
        <v>8</v>
      </c>
      <c r="N29" s="83">
        <v>9</v>
      </c>
      <c r="O29" s="83">
        <v>8</v>
      </c>
      <c r="P29" s="83">
        <v>8</v>
      </c>
      <c r="Q29" s="83">
        <v>0</v>
      </c>
      <c r="R29" s="83">
        <v>0</v>
      </c>
      <c r="S29" s="83">
        <v>1</v>
      </c>
      <c r="T29" s="44" t="s">
        <v>399</v>
      </c>
      <c r="U29" s="83">
        <v>3</v>
      </c>
      <c r="V29" s="83">
        <v>4</v>
      </c>
      <c r="Y29" s="14" t="b">
        <f>OR( LEN(AA29) = 16, LEN( AA29) = 0)</f>
        <v>1</v>
      </c>
      <c r="Z29" s="14" t="b">
        <f>IF( LEN(AA29) = 16, VALUE( CONCATENATE( U29, V29)) = 98 - MOD( CONCATENATE( MOD( CONCATENATE( D29, E29, F29, H29, I29, J29, L29, M29, N29), 97), CONCATENATE(O29, P29, Q29, R29, S29), "00"), 97), TRUE)</f>
        <v>1</v>
      </c>
      <c r="AA29" s="96" t="str">
        <f>CONCATENATE( D29, E29, F29, H29, I29, J29, L29, M29, N29, O29, P29, Q29, R29, S29, U29, V29)</f>
        <v>1941062898800134</v>
      </c>
      <c r="AB29" s="92" t="str">
        <f>IF( LEN(AA29) = 0, "", IF( AND( LEN(AA29) = 16, Z29), CONCATENATE( D29, E29, F29, G29, H29, I29, J29, K29, L29, M29, N29, O29, P29, Q29, R29, S29, T29, U29, V29), Kontrola_Neispravno))</f>
        <v>194-106-28988001-34</v>
      </c>
    </row>
    <row r="30" spans="2:31" ht="4.9000000000000004" customHeight="1" x14ac:dyDescent="0.3">
      <c r="B30" s="85"/>
      <c r="Y30" s="14"/>
      <c r="Z30" s="14"/>
      <c r="AA30" s="96"/>
      <c r="AB30" s="93"/>
    </row>
    <row r="31" spans="2:31" ht="15.25" customHeight="1" x14ac:dyDescent="0.3">
      <c r="B31" s="85"/>
      <c r="D31" s="83">
        <v>5</v>
      </c>
      <c r="E31" s="83">
        <v>6</v>
      </c>
      <c r="F31" s="83">
        <v>2</v>
      </c>
      <c r="G31" s="84" t="s">
        <v>399</v>
      </c>
      <c r="H31" s="83">
        <v>1</v>
      </c>
      <c r="I31" s="83">
        <v>0</v>
      </c>
      <c r="J31" s="83">
        <v>0</v>
      </c>
      <c r="K31" s="84" t="s">
        <v>399</v>
      </c>
      <c r="L31" s="83">
        <v>8</v>
      </c>
      <c r="M31" s="83">
        <v>0</v>
      </c>
      <c r="N31" s="83">
        <v>0</v>
      </c>
      <c r="O31" s="83">
        <v>0</v>
      </c>
      <c r="P31" s="83">
        <v>0</v>
      </c>
      <c r="Q31" s="83">
        <v>9</v>
      </c>
      <c r="R31" s="83">
        <v>4</v>
      </c>
      <c r="S31" s="83">
        <v>8</v>
      </c>
      <c r="T31" s="44" t="s">
        <v>399</v>
      </c>
      <c r="U31" s="83">
        <v>4</v>
      </c>
      <c r="V31" s="83">
        <v>5</v>
      </c>
      <c r="Y31" s="14" t="b">
        <f>OR( LEN(AA31) = 16, LEN( AA31) = 0)</f>
        <v>1</v>
      </c>
      <c r="Z31" s="14" t="b">
        <f>IF( LEN(AA31) = 16, VALUE( CONCATENATE( U31, V31)) = 98 - MOD( CONCATENATE( MOD( CONCATENATE( D31, E31, F31, H31, I31, J31, L31, M31, N31), 97), CONCATENATE(O31, P31, Q31, R31, S31), "00"), 97), TRUE)</f>
        <v>1</v>
      </c>
      <c r="AA31" s="96" t="str">
        <f>CONCATENATE( D31, E31, F31, H31, I31, J31, L31, M31, N31, O31, P31, Q31, R31, S31, U31, V31)</f>
        <v>5621008000094845</v>
      </c>
      <c r="AB31" s="92" t="str">
        <f>IF( LEN(AA31) = 0, "", IF( AND( LEN(AA31) = 16, Z31), CONCATENATE( D31, E31, F31, G31, H31, I31, J31, K31, L31, M31, N31, O31, P31, Q31, R31, S31, T31, U31, V31), Kontrola_Neispravno))</f>
        <v>562-100-80000948-45</v>
      </c>
    </row>
    <row r="32" spans="2:31" ht="4.9000000000000004" customHeight="1" x14ac:dyDescent="0.3">
      <c r="B32" s="85"/>
      <c r="Y32" s="14"/>
      <c r="Z32" s="14"/>
      <c r="AA32" s="96"/>
      <c r="AB32" s="93"/>
    </row>
    <row r="33" spans="2:28" ht="15.25" customHeight="1" x14ac:dyDescent="0.3">
      <c r="B33" s="85"/>
      <c r="D33" s="83">
        <v>5</v>
      </c>
      <c r="E33" s="83">
        <v>5</v>
      </c>
      <c r="F33" s="83">
        <v>1</v>
      </c>
      <c r="G33" s="84" t="s">
        <v>399</v>
      </c>
      <c r="H33" s="83">
        <v>7</v>
      </c>
      <c r="I33" s="83">
        <v>9</v>
      </c>
      <c r="J33" s="83">
        <v>0</v>
      </c>
      <c r="K33" s="84" t="s">
        <v>399</v>
      </c>
      <c r="L33" s="83">
        <v>2</v>
      </c>
      <c r="M33" s="83">
        <v>2</v>
      </c>
      <c r="N33" s="83">
        <v>1</v>
      </c>
      <c r="O33" s="83">
        <v>9</v>
      </c>
      <c r="P33" s="83">
        <v>8</v>
      </c>
      <c r="Q33" s="83">
        <v>5</v>
      </c>
      <c r="R33" s="83">
        <v>4</v>
      </c>
      <c r="S33" s="83">
        <v>5</v>
      </c>
      <c r="T33" s="44" t="s">
        <v>399</v>
      </c>
      <c r="U33" s="83">
        <v>7</v>
      </c>
      <c r="V33" s="83">
        <v>7</v>
      </c>
      <c r="Y33" s="14" t="b">
        <f>OR( LEN(AA33) = 16, LEN( AA33) = 0)</f>
        <v>1</v>
      </c>
      <c r="Z33" s="14" t="b">
        <f>IF( LEN(AA33) = 16, VALUE( CONCATENATE( U33, V33)) = 98 - MOD( CONCATENATE( MOD( CONCATENATE( D33, E33, F33, H33, I33, J33, L33, M33, N33), 97), CONCATENATE(O33, P33, Q33, R33, S33), "00"), 97), TRUE)</f>
        <v>1</v>
      </c>
      <c r="AA33" s="96" t="str">
        <f>CONCATENATE( D33, E33, F33, H33, I33, J33, L33, M33, N33, O33, P33, Q33, R33, S33, U33, V33)</f>
        <v>5517902219854577</v>
      </c>
      <c r="AB33" s="92" t="str">
        <f>IF( LEN(AA33) = 0, "", IF( AND( LEN(AA33) = 16, Z33), CONCATENATE( D33, E33, F33, G33, H33, I33, J33, K33, L33, M33, N33, O33, P33, Q33, R33, S33, T33, U33, V33), Kontrola_Neispravno))</f>
        <v>551-790-22198545-77</v>
      </c>
    </row>
    <row r="34" spans="2:28" ht="4.9000000000000004" customHeight="1" x14ac:dyDescent="0.3">
      <c r="B34" s="85"/>
      <c r="Y34" s="14"/>
      <c r="Z34" s="14"/>
      <c r="AA34" s="96"/>
      <c r="AB34" s="93"/>
    </row>
    <row r="35" spans="2:28" ht="15.25" customHeight="1" x14ac:dyDescent="0.3">
      <c r="B35" s="85"/>
      <c r="D35" s="83"/>
      <c r="E35" s="83"/>
      <c r="F35" s="83"/>
      <c r="G35" s="84" t="s">
        <v>399</v>
      </c>
      <c r="H35" s="83"/>
      <c r="I35" s="83"/>
      <c r="J35" s="83"/>
      <c r="K35" s="84" t="s">
        <v>399</v>
      </c>
      <c r="L35" s="83"/>
      <c r="M35" s="83"/>
      <c r="N35" s="83"/>
      <c r="O35" s="83"/>
      <c r="P35" s="83"/>
      <c r="Q35" s="83"/>
      <c r="R35" s="83"/>
      <c r="S35" s="83"/>
      <c r="T35" s="44" t="s">
        <v>399</v>
      </c>
      <c r="U35" s="83"/>
      <c r="V35" s="83"/>
      <c r="Y35" s="14" t="b">
        <f>OR( LEN(AA35) = 16, LEN( AA35) = 0)</f>
        <v>1</v>
      </c>
      <c r="Z35" s="14" t="b">
        <f>IF( LEN(AA35) = 16, VALUE( CONCATENATE( U35, V35)) = 98 - MOD( CONCATENATE( MOD( CONCATENATE( D35, E35, F35, H35, I35, J35, L35, M35, N35), 97), CONCATENATE(O35, P35, Q35, R35, S35), "00"), 97), TRUE)</f>
        <v>1</v>
      </c>
      <c r="AA35" s="96" t="str">
        <f>CONCATENATE( D35, E35, F35, H35, I35, J35, L35, M35, N35, O35, P35, Q35, R35, S35, U35, V35)</f>
        <v/>
      </c>
      <c r="AB35" s="92" t="str">
        <f>IF( LEN(AA35) = 0, "", IF( AND( LEN(AA35) = 16, Z35), CONCATENATE( D35, E35, F35, G35, H35, I35, J35, K35, L35, M35, N35, O35, P35, Q35, R35, S35, T35, U35, V35), Kontrola_Neispravno))</f>
        <v/>
      </c>
    </row>
    <row r="36" spans="2:28" ht="4.9000000000000004" customHeight="1" x14ac:dyDescent="0.3">
      <c r="B36" s="85"/>
      <c r="Y36" s="14"/>
      <c r="Z36" s="14"/>
      <c r="AA36" s="96"/>
      <c r="AB36" s="93"/>
    </row>
    <row r="37" spans="2:28" ht="15.25" customHeight="1" x14ac:dyDescent="0.3">
      <c r="B37" s="85"/>
      <c r="D37" s="83"/>
      <c r="E37" s="83"/>
      <c r="F37" s="83"/>
      <c r="G37" s="84" t="s">
        <v>399</v>
      </c>
      <c r="H37" s="83"/>
      <c r="I37" s="83"/>
      <c r="J37" s="83"/>
      <c r="K37" s="84" t="s">
        <v>399</v>
      </c>
      <c r="L37" s="83"/>
      <c r="M37" s="83"/>
      <c r="N37" s="83"/>
      <c r="O37" s="83"/>
      <c r="P37" s="83"/>
      <c r="Q37" s="83"/>
      <c r="R37" s="83"/>
      <c r="S37" s="83"/>
      <c r="T37" s="44" t="s">
        <v>399</v>
      </c>
      <c r="U37" s="83"/>
      <c r="V37" s="83"/>
      <c r="Y37" s="14" t="b">
        <f>OR( LEN(AA37) = 16, LEN( AA37) = 0)</f>
        <v>1</v>
      </c>
      <c r="Z37" s="14" t="b">
        <f>IF( LEN(AA37) = 16, VALUE( CONCATENATE( U37, V37)) = 98 - MOD( CONCATENATE( MOD( CONCATENATE( D37, E37, F37, H37, I37, J37, L37, M37, N37), 97), CONCATENATE(O37, P37, Q37, R37, S37), "00"), 97), TRUE)</f>
        <v>1</v>
      </c>
      <c r="AA37" s="96" t="str">
        <f>CONCATENATE( D37, E37, F37, H37, I37, J37, L37, M37, N37, O37, P37, Q37, R37, S37, U37, V37)</f>
        <v/>
      </c>
      <c r="AB37" s="92" t="str">
        <f>IF( LEN(AA37) = 0, "", IF( AND( LEN(AA37) = 16, Z37), CONCATENATE( D37, E37, F37, G37, H37, I37, J37, K37, L37, M37, N37, O37, P37, Q37, R37, S37, T37, U37, V37), Kontrola_Neispravno))</f>
        <v/>
      </c>
    </row>
    <row r="38" spans="2:28" ht="15.25" customHeight="1" x14ac:dyDescent="0.3">
      <c r="B38" s="85"/>
      <c r="Y38" s="14"/>
      <c r="Z38" s="14"/>
      <c r="AA38" s="96"/>
      <c r="AB38" s="93"/>
    </row>
    <row r="39" spans="2:28" ht="15.75" customHeight="1" x14ac:dyDescent="0.3">
      <c r="B39" s="100" t="str">
        <f>Objasnjenja_Podnozje</f>
        <v>Podaci ispod izvještaja:</v>
      </c>
      <c r="Y39" s="14"/>
      <c r="Z39" s="14"/>
      <c r="AA39" s="96"/>
      <c r="AB39" s="93"/>
    </row>
    <row r="40" spans="2:28" ht="15.25" customHeight="1" x14ac:dyDescent="0.3">
      <c r="B40" s="85" t="str">
        <f>Podnozje_U</f>
        <v>U:</v>
      </c>
      <c r="D40" s="580" t="s">
        <v>3076</v>
      </c>
      <c r="E40" s="579"/>
      <c r="F40" s="579"/>
      <c r="G40" s="579"/>
      <c r="H40" s="579"/>
      <c r="I40" s="579"/>
      <c r="J40" s="579"/>
      <c r="K40" s="579"/>
      <c r="L40" s="579"/>
      <c r="M40" s="579"/>
      <c r="N40" s="579"/>
      <c r="O40" s="579"/>
      <c r="P40" s="579"/>
      <c r="Q40" s="579"/>
      <c r="R40" s="579"/>
      <c r="S40" s="579"/>
      <c r="T40" s="579"/>
      <c r="U40" s="579"/>
      <c r="V40" s="579"/>
      <c r="Y40" s="14" t="b">
        <f>LEN(AA40) &gt; 0</f>
        <v>1</v>
      </c>
      <c r="Z40" s="14" t="b">
        <v>1</v>
      </c>
      <c r="AA40" s="96" t="str">
        <f>CONCATENATE( D40)</f>
        <v>Banja Luci</v>
      </c>
      <c r="AB40" s="94" t="str">
        <f>IF(Y40, IF( Z40, AA40, Kontrola_Neispravno), Kontrola_Obavezno)</f>
        <v>Banja Luci</v>
      </c>
    </row>
    <row r="41" spans="2:28" ht="4.9000000000000004" customHeight="1" x14ac:dyDescent="0.3">
      <c r="B41" s="85"/>
      <c r="D41"/>
      <c r="E41"/>
      <c r="F41"/>
      <c r="G41"/>
      <c r="H41"/>
      <c r="I41"/>
      <c r="J41"/>
      <c r="K41"/>
      <c r="L41"/>
      <c r="M41"/>
      <c r="N41"/>
      <c r="O41"/>
      <c r="P41"/>
      <c r="Q41"/>
      <c r="R41"/>
      <c r="S41"/>
      <c r="T41"/>
      <c r="U41"/>
      <c r="V41"/>
      <c r="Y41" s="14"/>
      <c r="Z41" s="14"/>
      <c r="AA41" s="96"/>
      <c r="AB41" s="93"/>
    </row>
    <row r="42" spans="2:28" ht="15.25" customHeight="1" x14ac:dyDescent="0.3">
      <c r="B42" s="47"/>
      <c r="D42" s="86" t="str">
        <f>Objasnjenja_Dan</f>
        <v>Dan</v>
      </c>
      <c r="E42" s="86"/>
      <c r="F42" s="86"/>
      <c r="G42" s="86" t="str">
        <f>Objasnjenja_Mjesec</f>
        <v>Mjesec</v>
      </c>
      <c r="H42" s="86"/>
      <c r="I42" s="86"/>
      <c r="J42" s="86" t="str">
        <f>Objasnjenja_Godina</f>
        <v>Godina</v>
      </c>
      <c r="K42" s="86"/>
      <c r="L42" s="86"/>
      <c r="M42" s="86"/>
      <c r="Y42" s="14"/>
      <c r="Z42" s="14"/>
      <c r="AA42" s="96"/>
      <c r="AB42" s="93"/>
    </row>
    <row r="43" spans="2:28" ht="15.25" customHeight="1" x14ac:dyDescent="0.3">
      <c r="B43" s="85" t="str">
        <f>Podnozje_Dana</f>
        <v>Dana:</v>
      </c>
      <c r="D43" s="585">
        <v>31</v>
      </c>
      <c r="E43" s="587"/>
      <c r="F43" s="44"/>
      <c r="G43" s="585">
        <v>7</v>
      </c>
      <c r="H43" s="587"/>
      <c r="I43" s="44"/>
      <c r="J43" s="585">
        <v>2026</v>
      </c>
      <c r="K43" s="586"/>
      <c r="L43" s="587"/>
      <c r="M43"/>
      <c r="Y43" s="14" t="b">
        <f>AND( D43 &lt;&gt; "", G43 &lt;&gt; "", J43 &lt;&gt; "")</f>
        <v>1</v>
      </c>
      <c r="Z43" s="44" t="b">
        <f>IF( Y43, TEXT( DATE( J43, G43, D43), "dd.mm.yyyy" ) = TEXT( D43, "00") &amp; "." &amp; TEXT( G43, "00") &amp;"." &amp; CONCATENATE( J43), FALSE)</f>
        <v>1</v>
      </c>
      <c r="AA43" s="86" t="str">
        <f>IF( OR( Y43, Z43), TEXT( DATE( J43, G43, D43), "dd.mm.yyyy."), "")</f>
        <v>31.07.2026.</v>
      </c>
      <c r="AB43" s="94" t="str">
        <f>IF(Y43, IF( Z43, AA43, Kontrola_Neispravno), Kontrola_Obavezno)</f>
        <v>31.07.2026.</v>
      </c>
    </row>
    <row r="44" spans="2:28" ht="4.9000000000000004" customHeight="1" x14ac:dyDescent="0.3">
      <c r="B44" s="85"/>
      <c r="D44"/>
      <c r="E44"/>
      <c r="F44"/>
      <c r="G44"/>
      <c r="H44"/>
      <c r="I44"/>
      <c r="J44"/>
      <c r="K44"/>
      <c r="L44"/>
      <c r="M44"/>
      <c r="N44"/>
      <c r="Y44" s="14"/>
      <c r="Z44" s="14"/>
      <c r="AA44" s="96"/>
      <c r="AB44" s="93"/>
    </row>
    <row r="45" spans="2:28" ht="15.25" customHeight="1" x14ac:dyDescent="0.3">
      <c r="B45" s="85" t="str">
        <f>Podnozje_Lice_sa_licencom</f>
        <v>Lice sa licencom:</v>
      </c>
      <c r="D45" s="580" t="s">
        <v>3077</v>
      </c>
      <c r="E45" s="579"/>
      <c r="F45" s="579"/>
      <c r="G45" s="579"/>
      <c r="H45" s="579"/>
      <c r="I45" s="579"/>
      <c r="J45" s="579"/>
      <c r="K45" s="579"/>
      <c r="L45" s="579"/>
      <c r="M45" s="579"/>
      <c r="N45" s="579"/>
      <c r="O45" s="579"/>
      <c r="P45" s="579"/>
      <c r="Q45" s="579"/>
      <c r="R45" s="579"/>
      <c r="S45" s="579"/>
      <c r="T45" s="579"/>
      <c r="U45" s="579"/>
      <c r="V45" s="579"/>
      <c r="Y45" s="14" t="b">
        <f>LEN(AA45) &gt; 0</f>
        <v>1</v>
      </c>
      <c r="Z45" s="14" t="b">
        <v>1</v>
      </c>
      <c r="AA45" s="96" t="str">
        <f>CONCATENATE( D45)</f>
        <v>Ljupko Miletić</v>
      </c>
      <c r="AB45" s="94" t="str">
        <f>IF(Y45, IF( Z45, AA45, Kontrola_Neispravno), Kontrola_Obavezno)</f>
        <v>Ljupko Miletić</v>
      </c>
    </row>
    <row r="46" spans="2:28" ht="4.9000000000000004" customHeight="1" x14ac:dyDescent="0.3">
      <c r="B46" s="85"/>
      <c r="Y46" s="14"/>
      <c r="Z46" s="14"/>
      <c r="AA46" s="96"/>
      <c r="AB46" s="93"/>
    </row>
    <row r="47" spans="2:28" ht="15.25" customHeight="1" x14ac:dyDescent="0.3">
      <c r="B47" s="85" t="str">
        <f>Podnozje_Broj_licence</f>
        <v>Broj licence:</v>
      </c>
      <c r="D47" s="580" t="s">
        <v>3078</v>
      </c>
      <c r="E47" s="579"/>
      <c r="F47" s="579"/>
      <c r="G47" s="579"/>
      <c r="H47" s="579"/>
      <c r="I47" s="579"/>
      <c r="J47" s="579"/>
      <c r="K47" s="579"/>
      <c r="L47" s="579"/>
      <c r="M47" s="579"/>
      <c r="N47" s="579"/>
      <c r="O47" s="579"/>
      <c r="P47" s="579"/>
      <c r="Q47" s="579"/>
      <c r="R47" s="579"/>
      <c r="S47" s="579"/>
      <c r="T47" s="579"/>
      <c r="U47" s="579"/>
      <c r="V47" s="579"/>
      <c r="Y47" s="14" t="b">
        <f>LEN(AA47) &gt; 0</f>
        <v>1</v>
      </c>
      <c r="Z47" s="14" t="b">
        <v>1</v>
      </c>
      <c r="AA47" s="96" t="str">
        <f>CONCATENATE( D47)</f>
        <v>SR-1057/26</v>
      </c>
      <c r="AB47" s="94" t="str">
        <f>IF(Y47, IF( Z47, AA47, Kontrola_Neispravno), Kontrola_Obavezno)</f>
        <v>SR-1057/26</v>
      </c>
    </row>
    <row r="48" spans="2:28" ht="4.9000000000000004" customHeight="1" x14ac:dyDescent="0.3">
      <c r="B48" s="85"/>
      <c r="Y48" s="14"/>
      <c r="Z48" s="14"/>
      <c r="AA48" s="96"/>
      <c r="AB48" s="93"/>
    </row>
    <row r="49" spans="2:28" ht="15.25" customHeight="1" x14ac:dyDescent="0.3">
      <c r="B49" s="116" t="str">
        <f>Podnozje_Direktor</f>
        <v>Lice ovlašćeno za zastupanje:</v>
      </c>
      <c r="D49" s="580" t="s">
        <v>3079</v>
      </c>
      <c r="E49" s="579"/>
      <c r="F49" s="579"/>
      <c r="G49" s="579"/>
      <c r="H49" s="579"/>
      <c r="I49" s="579"/>
      <c r="J49" s="579"/>
      <c r="K49" s="579"/>
      <c r="L49" s="579"/>
      <c r="M49" s="579"/>
      <c r="N49" s="579"/>
      <c r="O49" s="579"/>
      <c r="P49" s="579"/>
      <c r="Q49" s="579"/>
      <c r="R49" s="579"/>
      <c r="S49" s="579"/>
      <c r="T49" s="579"/>
      <c r="U49" s="579"/>
      <c r="V49" s="579"/>
      <c r="Y49" s="14" t="b">
        <f>LEN(AA49) &gt; 0</f>
        <v>1</v>
      </c>
      <c r="Z49" s="14" t="b">
        <v>1</v>
      </c>
      <c r="AA49" s="96" t="str">
        <f>CONCATENATE( D49)</f>
        <v>Aleksandar Bajić</v>
      </c>
      <c r="AB49" s="94" t="str">
        <f>IF(Y49, IF( Z49, AA49, Kontrola_Neispravno), Kontrola_Obavezno)</f>
        <v>Aleksandar Bajić</v>
      </c>
    </row>
    <row r="50" spans="2:28" ht="15.25" customHeight="1" x14ac:dyDescent="0.3">
      <c r="B50" s="47"/>
      <c r="Y50" s="14"/>
      <c r="Z50" s="14"/>
      <c r="AA50" s="96"/>
      <c r="AB50" s="93"/>
    </row>
    <row r="51" spans="2:28" ht="15.75" customHeight="1" x14ac:dyDescent="0.3">
      <c r="B51" s="434" t="str" cm="1">
        <f t="array" ref="B51">Objasnjenja_Kontakt</f>
        <v>Kontakt podaci:</v>
      </c>
      <c r="Y51" s="14"/>
      <c r="Z51" s="14"/>
      <c r="AA51" s="96"/>
      <c r="AB51" s="93"/>
    </row>
    <row r="52" spans="2:28" ht="15.25" customHeight="1" x14ac:dyDescent="0.3">
      <c r="B52" s="85" t="str">
        <f>Kontakt_Adresa</f>
        <v>Adresa i broj:</v>
      </c>
      <c r="D52" s="581" t="s">
        <v>3080</v>
      </c>
      <c r="E52" s="582"/>
      <c r="F52" s="582"/>
      <c r="G52" s="582"/>
      <c r="H52" s="582"/>
      <c r="I52" s="582"/>
      <c r="J52" s="582"/>
      <c r="K52" s="582"/>
      <c r="L52" s="582"/>
      <c r="M52" s="582"/>
      <c r="N52" s="582"/>
      <c r="O52" s="582"/>
      <c r="P52" s="582"/>
      <c r="Q52" s="582"/>
      <c r="R52" s="582"/>
      <c r="S52" s="582"/>
      <c r="T52" s="582"/>
      <c r="U52" s="582"/>
      <c r="V52" s="582"/>
      <c r="Y52" s="14" t="b">
        <f>LEN(AA52) &gt; 0</f>
        <v>1</v>
      </c>
      <c r="Z52" s="14" t="b">
        <v>1</v>
      </c>
      <c r="AA52" s="96" t="str">
        <f>CONCATENATE( D52)</f>
        <v>Braće Podgornika 2</v>
      </c>
      <c r="AB52" s="94" t="str">
        <f>IF(Y52, IF( Z52, AA52, Kontrola_Neispravno), Kontrola_Obavezno)</f>
        <v>Braće Podgornika 2</v>
      </c>
    </row>
    <row r="53" spans="2:28" ht="4.9000000000000004" customHeight="1" x14ac:dyDescent="0.3">
      <c r="B53" s="47"/>
      <c r="Y53" s="14"/>
      <c r="Z53" s="14"/>
      <c r="AA53" s="96"/>
      <c r="AB53" s="93"/>
    </row>
    <row r="54" spans="2:28" ht="15.25" customHeight="1" x14ac:dyDescent="0.3">
      <c r="B54" s="85" t="str">
        <f>Kontakt_web</f>
        <v>Internet adresa:</v>
      </c>
      <c r="D54" s="581" t="s">
        <v>3081</v>
      </c>
      <c r="E54" s="582"/>
      <c r="F54" s="582"/>
      <c r="G54" s="582"/>
      <c r="H54" s="582"/>
      <c r="I54" s="582"/>
      <c r="J54" s="582"/>
      <c r="K54" s="582"/>
      <c r="L54" s="582"/>
      <c r="M54" s="582"/>
      <c r="N54" s="582"/>
      <c r="O54" s="582"/>
      <c r="P54" s="582"/>
      <c r="Q54" s="582"/>
      <c r="R54" s="582"/>
      <c r="S54" s="582"/>
      <c r="T54" s="582"/>
      <c r="U54" s="582"/>
      <c r="V54" s="582"/>
      <c r="Y54" s="14" t="b">
        <f>LEN(AA54) &gt;= 0</f>
        <v>1</v>
      </c>
      <c r="Z54" s="14" t="b">
        <v>1</v>
      </c>
      <c r="AA54" s="96" t="str">
        <f>CONCATENATE( D54)</f>
        <v>www.cistocabl.com</v>
      </c>
      <c r="AB54" s="94" t="str">
        <f>IF(Y54, IF( Z54, AA54, Kontrola_Neispravno), Kontrola_Obavezno)</f>
        <v>www.cistocabl.com</v>
      </c>
    </row>
    <row r="55" spans="2:28" ht="4.9000000000000004" customHeight="1" x14ac:dyDescent="0.3">
      <c r="B55" s="85"/>
      <c r="D55"/>
      <c r="E55"/>
      <c r="F55"/>
      <c r="G55"/>
      <c r="H55"/>
      <c r="I55"/>
      <c r="J55"/>
      <c r="K55"/>
      <c r="L55"/>
      <c r="M55"/>
      <c r="N55"/>
      <c r="O55"/>
      <c r="P55"/>
      <c r="Q55"/>
      <c r="R55"/>
      <c r="S55"/>
      <c r="T55"/>
      <c r="U55"/>
      <c r="V55"/>
      <c r="Y55" s="14"/>
      <c r="Z55" s="14"/>
      <c r="AA55" s="96"/>
      <c r="AB55" s="93"/>
    </row>
    <row r="56" spans="2:28" ht="15.25" customHeight="1" x14ac:dyDescent="0.3">
      <c r="B56" s="85" t="str">
        <f>Kontakt_email</f>
        <v>Adresa e-pošte (email):</v>
      </c>
      <c r="D56" s="581" t="s">
        <v>3082</v>
      </c>
      <c r="E56" s="582"/>
      <c r="F56" s="582"/>
      <c r="G56" s="582"/>
      <c r="H56" s="582"/>
      <c r="I56" s="582"/>
      <c r="J56" s="582"/>
      <c r="K56" s="582"/>
      <c r="L56" s="582"/>
      <c r="M56" s="582"/>
      <c r="N56" s="582"/>
      <c r="O56" s="582"/>
      <c r="P56" s="582"/>
      <c r="Q56" s="582"/>
      <c r="R56" s="582"/>
      <c r="S56" s="582"/>
      <c r="T56" s="582"/>
      <c r="U56" s="582"/>
      <c r="V56" s="582"/>
      <c r="Y56" s="14" t="b">
        <f>LEN(AA56) &gt; 0</f>
        <v>1</v>
      </c>
      <c r="Z56" s="14" t="b">
        <v>1</v>
      </c>
      <c r="AA56" s="96" t="str">
        <f>CONCATENATE(D56)</f>
        <v>cistoca@teol.net</v>
      </c>
      <c r="AB56" s="94" t="str">
        <f>IF(Y56, IF( Z56, AA56, Kontrola_Neispravno), Kontrola_Obavezno)</f>
        <v>cistoca@teol.net</v>
      </c>
    </row>
    <row r="57" spans="2:28" ht="4.9000000000000004" customHeight="1" x14ac:dyDescent="0.3">
      <c r="B57" s="85"/>
      <c r="D57" s="2"/>
      <c r="E57" s="2"/>
      <c r="F57" s="2"/>
      <c r="G57" s="2"/>
      <c r="H57" s="2"/>
      <c r="I57" s="2"/>
      <c r="J57" s="2"/>
      <c r="K57" s="2"/>
      <c r="L57" s="2"/>
      <c r="M57" s="2"/>
      <c r="N57" s="2"/>
      <c r="O57" s="2"/>
      <c r="P57" s="2"/>
      <c r="Q57" s="44"/>
      <c r="R57" s="44"/>
      <c r="S57" s="44"/>
      <c r="T57" s="44"/>
      <c r="U57"/>
      <c r="Y57" s="14"/>
      <c r="Z57" s="14"/>
      <c r="AA57" s="96"/>
      <c r="AB57" s="93"/>
    </row>
    <row r="58" spans="2:28" ht="15.25" customHeight="1" x14ac:dyDescent="0.3">
      <c r="B58" s="85" t="str">
        <f>Kontakt_tel</f>
        <v>Telefon:</v>
      </c>
      <c r="D58" s="83">
        <v>0</v>
      </c>
      <c r="E58" s="83">
        <v>5</v>
      </c>
      <c r="F58" s="83">
        <v>1</v>
      </c>
      <c r="G58" s="44" t="s">
        <v>399</v>
      </c>
      <c r="H58" s="83">
        <v>3</v>
      </c>
      <c r="I58" s="83">
        <v>0</v>
      </c>
      <c r="J58" s="83">
        <v>4</v>
      </c>
      <c r="K58" s="44" t="s">
        <v>399</v>
      </c>
      <c r="L58" s="83">
        <v>4</v>
      </c>
      <c r="M58" s="83">
        <v>7</v>
      </c>
      <c r="N58" s="83">
        <v>7</v>
      </c>
      <c r="O58" s="44"/>
      <c r="P58" s="44"/>
      <c r="Q58" s="44"/>
      <c r="R58" s="44"/>
      <c r="S58" s="44"/>
      <c r="T58" s="44"/>
      <c r="U58"/>
      <c r="V58"/>
      <c r="Y58" s="14" t="b">
        <f>LEN(AA58) = 11</f>
        <v>1</v>
      </c>
      <c r="Z58" s="14" t="b">
        <v>1</v>
      </c>
      <c r="AA58" s="96" t="str">
        <f>CONCATENATE( D58,E58, F58, G58, H58, I58, J58, K58, L58, M58, N58)</f>
        <v>051-304-477</v>
      </c>
      <c r="AB58" s="94" t="str">
        <f>IF(Y58, IF( Z58, AA58, Kontrola_Neispravno), Kontrola_Obavezno)</f>
        <v>051-304-477</v>
      </c>
    </row>
    <row r="59" spans="2:28" ht="4.9000000000000004" customHeight="1" x14ac:dyDescent="0.3">
      <c r="B59" s="47"/>
      <c r="D59"/>
      <c r="E59"/>
      <c r="F59"/>
      <c r="G59"/>
      <c r="H59"/>
      <c r="I59"/>
      <c r="J59"/>
      <c r="K59"/>
      <c r="L59"/>
      <c r="M59"/>
      <c r="N59"/>
      <c r="O59"/>
      <c r="P59" s="44"/>
      <c r="Q59" s="44"/>
      <c r="R59" s="44"/>
      <c r="S59" s="44"/>
      <c r="T59" s="44"/>
      <c r="U59"/>
      <c r="Y59" s="14"/>
      <c r="Z59" s="14"/>
      <c r="AA59" s="96"/>
      <c r="AB59" s="93"/>
    </row>
    <row r="60" spans="2:28" ht="15.25" customHeight="1" x14ac:dyDescent="0.3">
      <c r="B60" s="85" t="str">
        <f>Kontakt_fax</f>
        <v>Faks:</v>
      </c>
      <c r="D60" s="83"/>
      <c r="E60" s="83"/>
      <c r="F60" s="83"/>
      <c r="G60" s="44" t="s">
        <v>399</v>
      </c>
      <c r="H60" s="83"/>
      <c r="I60" s="83"/>
      <c r="J60" s="83"/>
      <c r="K60" s="44" t="s">
        <v>399</v>
      </c>
      <c r="L60" s="83"/>
      <c r="M60" s="83"/>
      <c r="N60" s="83"/>
      <c r="O60" s="44"/>
      <c r="P60" s="44"/>
      <c r="Y60" s="14" t="b">
        <f>OR( LEN( AA60) = 2, LEN(AA60) = 11)</f>
        <v>1</v>
      </c>
      <c r="Z60" s="14" t="b">
        <v>1</v>
      </c>
      <c r="AA60" s="96" t="str">
        <f>CONCATENATE( D60,E60, F60, G60, H60, I60, J60, K60, L60, M60, N60)</f>
        <v>--</v>
      </c>
      <c r="AB60" s="94" t="str">
        <f>IF(Y60, IF( Z60, AA60, Kontrola_Neispravno), Kontrola_Obavezno)</f>
        <v>--</v>
      </c>
    </row>
    <row r="61" spans="2:28" ht="12.75" customHeight="1" x14ac:dyDescent="0.3">
      <c r="Y61" s="14"/>
      <c r="Z61" s="14"/>
      <c r="AA61" s="96"/>
    </row>
    <row r="62" spans="2:28" ht="15.75" customHeight="1" x14ac:dyDescent="0.3">
      <c r="B62" s="100" t="str">
        <f>Revizija_Revidiran_izvjestaj</f>
        <v>Revidiran izvještaj:</v>
      </c>
      <c r="D62" s="102"/>
      <c r="E62" s="103"/>
      <c r="Y62" s="99" t="b">
        <v>0</v>
      </c>
      <c r="Z62" s="14"/>
      <c r="AA62" s="96"/>
    </row>
    <row r="63" spans="2:28" ht="4.9000000000000004" customHeight="1" x14ac:dyDescent="0.3">
      <c r="B63" s="104"/>
      <c r="D63"/>
      <c r="E63"/>
      <c r="Y63" s="208"/>
      <c r="Z63" s="14"/>
      <c r="AA63" s="96"/>
    </row>
    <row r="64" spans="2:28" ht="17.25" customHeight="1" x14ac:dyDescent="0.3">
      <c r="B64" s="85" t="str">
        <f>IF( Revidiran_izvjestaj, Revizija_Misljenje, "")</f>
        <v/>
      </c>
      <c r="C64" s="9"/>
      <c r="D64"/>
      <c r="E64"/>
      <c r="F64"/>
      <c r="G64"/>
      <c r="H64"/>
      <c r="I64"/>
      <c r="J64"/>
      <c r="K64"/>
      <c r="L64"/>
      <c r="M64"/>
      <c r="N64"/>
      <c r="O64"/>
      <c r="P64" s="9"/>
      <c r="Q64" s="9"/>
      <c r="R64" s="9"/>
      <c r="S64" s="9"/>
      <c r="T64" s="9"/>
      <c r="U64" s="9"/>
      <c r="V64" s="9"/>
      <c r="Y64" s="14" t="b">
        <f>OR( NOT( Revidiran_izvjestaj), LEN(AA64) &gt; 0)</f>
        <v>1</v>
      </c>
      <c r="Z64" s="14" t="b">
        <v>1</v>
      </c>
      <c r="AA64" s="96" t="str">
        <f>VLOOKUP( Podesavanja!$E$1, Podesavanja!$E$3:$F$6, 2, 0)</f>
        <v/>
      </c>
      <c r="AB64" s="92" t="str">
        <f>IF(Y64, IF( Z64, AA64, Kontrola_Neispravno), Kontrola_Obavezno)</f>
        <v/>
      </c>
    </row>
    <row r="65" spans="1:28" ht="4.9000000000000004" customHeight="1" x14ac:dyDescent="0.3">
      <c r="B65" s="85"/>
      <c r="C65" s="9"/>
      <c r="D65" s="9"/>
      <c r="E65" s="9"/>
      <c r="F65" s="9"/>
      <c r="G65" s="9"/>
      <c r="H65" s="9"/>
      <c r="I65" s="9"/>
      <c r="J65" s="9"/>
      <c r="K65" s="9"/>
      <c r="L65" s="9"/>
      <c r="M65" s="9"/>
      <c r="N65" s="9"/>
      <c r="O65" s="9"/>
      <c r="P65" s="9"/>
      <c r="Q65" s="9"/>
      <c r="R65" s="9"/>
      <c r="S65" s="9"/>
      <c r="T65" s="9"/>
      <c r="U65" s="9"/>
      <c r="V65" s="9"/>
      <c r="Y65" s="14"/>
      <c r="Z65" s="14"/>
      <c r="AA65" s="96"/>
    </row>
    <row r="66" spans="1:28" ht="15.25" customHeight="1" x14ac:dyDescent="0.3">
      <c r="B66" s="119" t="str">
        <f>IF( Revidiran_izvjestaj, Revizija_Podaci_o_revizorskoj_firmi, "")</f>
        <v/>
      </c>
      <c r="C66" s="9"/>
      <c r="D66" s="9"/>
      <c r="E66" s="9"/>
      <c r="F66" s="9"/>
      <c r="G66" s="9"/>
      <c r="H66" s="9"/>
      <c r="I66" s="9"/>
      <c r="J66" s="9"/>
      <c r="K66" s="9"/>
      <c r="L66" s="9"/>
      <c r="M66" s="9"/>
      <c r="N66" s="9"/>
      <c r="O66" s="9"/>
      <c r="P66" s="9"/>
      <c r="Q66" s="9"/>
      <c r="R66" s="9"/>
      <c r="S66" s="9"/>
      <c r="T66" s="9"/>
      <c r="U66" s="9"/>
      <c r="V66" s="9"/>
      <c r="Y66" s="14"/>
      <c r="Z66" s="14"/>
      <c r="AA66" s="96"/>
    </row>
    <row r="67" spans="1:28" ht="15.25" customHeight="1" x14ac:dyDescent="0.3">
      <c r="A67" s="9"/>
      <c r="B67" s="85" t="str">
        <f>IF( Revidiran_izvjestaj, Zaglavlje_MB, "")</f>
        <v/>
      </c>
      <c r="C67" s="9"/>
      <c r="D67" s="83"/>
      <c r="E67" s="83"/>
      <c r="F67" s="83"/>
      <c r="G67" s="83"/>
      <c r="H67" s="83"/>
      <c r="I67" s="83"/>
      <c r="J67" s="83"/>
      <c r="K67" s="83"/>
      <c r="L67" s="9"/>
      <c r="M67" s="9"/>
      <c r="N67" s="9"/>
      <c r="O67" s="9"/>
      <c r="P67" s="9"/>
      <c r="Q67" s="9"/>
      <c r="R67" s="9"/>
      <c r="S67" s="9"/>
      <c r="T67" s="9"/>
      <c r="U67" s="9"/>
      <c r="V67" s="9"/>
      <c r="Y67" s="14" t="b">
        <f>OR( NOT(Revidiran_izvjestaj), LEN(AA67) &gt;= 7)</f>
        <v>1</v>
      </c>
      <c r="Z67" s="14" t="b">
        <v>1</v>
      </c>
      <c r="AA67" s="96" t="str">
        <f>CONCATENATE( D67, E67, F67, G67, H67, I67, J67, K67)</f>
        <v/>
      </c>
      <c r="AB67" s="92" t="str">
        <f>IF(Y67, IF( Z67, AA67, Kontrola_Neispravno), Kontrola_Obavezno)</f>
        <v/>
      </c>
    </row>
    <row r="68" spans="1:28" ht="4.9000000000000004" customHeight="1" x14ac:dyDescent="0.3">
      <c r="A68" s="9"/>
      <c r="B68" s="78"/>
      <c r="C68" s="78"/>
      <c r="D68" s="78"/>
      <c r="E68" s="78"/>
      <c r="F68" s="78"/>
      <c r="G68" s="78"/>
      <c r="H68" s="78"/>
      <c r="I68" s="78"/>
      <c r="J68" s="78"/>
      <c r="K68" s="78"/>
      <c r="L68" s="78"/>
      <c r="M68" s="78"/>
      <c r="N68" s="78"/>
      <c r="O68" s="78"/>
      <c r="P68" s="78"/>
      <c r="Q68" s="78"/>
      <c r="R68" s="78"/>
      <c r="S68" s="78"/>
      <c r="T68" s="78"/>
      <c r="U68" s="78"/>
      <c r="V68" s="78"/>
      <c r="Y68" s="14"/>
      <c r="Z68" s="14"/>
      <c r="AA68" s="96"/>
    </row>
    <row r="69" spans="1:28" ht="12.75" customHeight="1" x14ac:dyDescent="0.3">
      <c r="A69" s="9"/>
      <c r="B69" s="583" t="str">
        <f>IF( Revidiran_izvjestaj, Revizija_Naziv_revizorske_firme, "")</f>
        <v/>
      </c>
      <c r="C69" s="9"/>
      <c r="D69" s="9"/>
      <c r="E69" s="9"/>
      <c r="F69" s="9"/>
      <c r="G69" s="9"/>
      <c r="H69" s="9"/>
      <c r="I69" s="9"/>
      <c r="J69" s="9"/>
      <c r="K69" s="9"/>
      <c r="L69" s="9"/>
      <c r="M69" s="9"/>
      <c r="N69" s="9"/>
      <c r="O69" s="9"/>
      <c r="P69" s="9"/>
      <c r="Q69" s="9"/>
      <c r="R69" s="9"/>
      <c r="S69" s="9"/>
      <c r="T69" s="9"/>
      <c r="U69" s="9"/>
      <c r="V69" s="9"/>
      <c r="Y69" s="14"/>
      <c r="Z69" s="14"/>
      <c r="AA69" s="96"/>
    </row>
    <row r="70" spans="1:28" ht="15.25" customHeight="1" x14ac:dyDescent="0.3">
      <c r="A70" s="9"/>
      <c r="B70" s="583"/>
      <c r="C70" s="9"/>
      <c r="D70" s="579"/>
      <c r="E70" s="579"/>
      <c r="F70" s="579"/>
      <c r="G70" s="579"/>
      <c r="H70" s="579"/>
      <c r="I70" s="579"/>
      <c r="J70" s="579"/>
      <c r="K70" s="579"/>
      <c r="L70" s="579"/>
      <c r="M70" s="579"/>
      <c r="N70" s="579"/>
      <c r="O70" s="579"/>
      <c r="P70" s="579"/>
      <c r="Q70" s="579"/>
      <c r="R70" s="579"/>
      <c r="S70" s="579"/>
      <c r="T70" s="579"/>
      <c r="U70" s="579"/>
      <c r="V70" s="579"/>
      <c r="Y70" s="14" t="b">
        <f>OR( NOT(Revidiran_izvjestaj), LEN(AA70) &gt; 0)</f>
        <v>1</v>
      </c>
      <c r="Z70" s="14" t="b">
        <v>1</v>
      </c>
      <c r="AA70" s="96" t="str">
        <f>CONCATENATE(D70)</f>
        <v/>
      </c>
      <c r="AB70" s="94" t="str">
        <f>IF(Y70, IF( Z70, AA70, Kontrola_Neispravno), Kontrola_Obavezno)</f>
        <v/>
      </c>
    </row>
    <row r="71" spans="1:28" ht="4.9000000000000004" customHeight="1" x14ac:dyDescent="0.3">
      <c r="A71" s="9"/>
      <c r="B71" s="85"/>
      <c r="C71" s="9"/>
      <c r="D71" s="95"/>
      <c r="E71" s="95"/>
      <c r="F71" s="95"/>
      <c r="G71" s="95"/>
      <c r="H71" s="95"/>
      <c r="I71" s="95"/>
      <c r="J71" s="95"/>
      <c r="K71" s="95"/>
      <c r="L71" s="95"/>
      <c r="M71" s="95"/>
      <c r="N71" s="95"/>
      <c r="O71" s="95"/>
      <c r="P71" s="95"/>
      <c r="Q71" s="95"/>
      <c r="R71" s="95"/>
      <c r="S71" s="95"/>
      <c r="T71" s="95"/>
      <c r="U71" s="95"/>
      <c r="V71" s="95"/>
      <c r="Y71" s="14"/>
      <c r="Z71" s="14"/>
      <c r="AA71" s="96"/>
      <c r="AB71" s="93"/>
    </row>
    <row r="72" spans="1:28" ht="15.25" customHeight="1" x14ac:dyDescent="0.3">
      <c r="A72" s="9"/>
      <c r="B72" s="85" t="str">
        <f>IF( Revidiran_izvjestaj, Zaglavlje_Sjediste, "")</f>
        <v/>
      </c>
      <c r="C72" s="9"/>
      <c r="D72" s="579"/>
      <c r="E72" s="579"/>
      <c r="F72" s="579"/>
      <c r="G72" s="579"/>
      <c r="H72" s="579"/>
      <c r="I72" s="579"/>
      <c r="J72" s="579"/>
      <c r="K72" s="579"/>
      <c r="L72" s="579"/>
      <c r="M72" s="579"/>
      <c r="N72" s="579"/>
      <c r="O72" s="579"/>
      <c r="P72" s="579"/>
      <c r="Q72" s="579"/>
      <c r="R72" s="579"/>
      <c r="S72" s="579"/>
      <c r="T72" s="579"/>
      <c r="U72" s="579"/>
      <c r="V72" s="579"/>
      <c r="Y72" s="14" t="b">
        <f>OR( NOT(Revidiran_izvjestaj), LEN(AA72) &gt; 0)</f>
        <v>1</v>
      </c>
      <c r="Z72" s="14" t="b">
        <v>1</v>
      </c>
      <c r="AA72" s="96" t="str">
        <f>CONCATENATE(D72)</f>
        <v/>
      </c>
      <c r="AB72" s="92" t="str">
        <f>IF(Y72, IF( Z72, AA72, Kontrola_Neispravno), Kontrola_Obavezno)</f>
        <v/>
      </c>
    </row>
    <row r="73" spans="1:28" ht="4.9000000000000004" customHeight="1" x14ac:dyDescent="0.3">
      <c r="A73" s="9"/>
      <c r="B73" s="85"/>
      <c r="C73" s="9"/>
      <c r="D73" s="9"/>
      <c r="E73" s="9"/>
      <c r="F73" s="9"/>
      <c r="G73" s="9"/>
      <c r="H73" s="9"/>
      <c r="I73" s="9"/>
      <c r="J73" s="9"/>
      <c r="K73" s="9"/>
      <c r="L73" s="9"/>
      <c r="M73" s="9"/>
      <c r="N73" s="9"/>
      <c r="O73" s="9"/>
      <c r="P73" s="9"/>
      <c r="Q73" s="9"/>
      <c r="R73" s="9"/>
      <c r="S73" s="9"/>
      <c r="T73" s="9"/>
      <c r="U73" s="9"/>
      <c r="V73" s="9"/>
      <c r="Y73" s="14"/>
      <c r="Z73" s="14"/>
      <c r="AA73" s="96"/>
      <c r="AB73" s="93"/>
    </row>
    <row r="74" spans="1:28" ht="15.25" customHeight="1" x14ac:dyDescent="0.3">
      <c r="A74" s="9"/>
      <c r="B74" s="85" t="str">
        <f>IF( Revidiran_izvjestaj, Zaglavlje_JIB, "")</f>
        <v/>
      </c>
      <c r="C74" s="9"/>
      <c r="D74" s="83"/>
      <c r="E74" s="141"/>
      <c r="F74" s="142"/>
      <c r="G74" s="83"/>
      <c r="H74" s="141"/>
      <c r="I74" s="142"/>
      <c r="J74" s="83"/>
      <c r="K74" s="141"/>
      <c r="L74" s="142"/>
      <c r="M74" s="141"/>
      <c r="N74" s="142"/>
      <c r="O74" s="141"/>
      <c r="P74" s="142"/>
      <c r="Q74" s="84"/>
      <c r="R74" s="84"/>
      <c r="S74" s="84"/>
      <c r="T74" s="84"/>
      <c r="U74" s="84"/>
      <c r="V74" s="84"/>
      <c r="Y74" s="14" t="b">
        <f>OR( NOT(Revidiran_izvjestaj), LEN(AA74) = 13)</f>
        <v>1</v>
      </c>
      <c r="Z74" s="207" t="b">
        <f>IF( NOT( Revidiran_izvjestaj), TRUE, IF( Y74, VALUE( CONCATENATE( P74)) = IF( 11 - MOD( SUMPRODUCT( {7;6;5;4;3;2;7;6;5;4;3;2}, VALUE( MID( CONCATENATE( D74, E74, F74, G74, H74, I74, J74, K74, L74, M74, N74, O74, P74), {1;2;3;4;5;6;7;8;9;10;11;12}, 1))), 11) &gt;= 10, 0, 11 - MOD( SUMPRODUCT( {7;6;5;4;3;2;7;6;5;4;3;2}, VALUE( MID( CONCATENATE( D74, E74, F74, G74, H74, I74, J74, K74, L74, M74, N74, O74, P74), {1;2;3;4;5;6;7;8;9;10;11;12}, 1))), 11)), FALSE))</f>
        <v>1</v>
      </c>
      <c r="AA74" s="97" t="str">
        <f>CONCATENATE( D74, E74, F74, G74, H74, I74, J74, K74, L74, M74, N74, O74, P74)</f>
        <v/>
      </c>
      <c r="AB74" s="92" t="str">
        <f>IF(Y74, IF( Z74, AA74, Kontrola_Neispravno), Kontrola_Obavezno)</f>
        <v/>
      </c>
    </row>
    <row r="75" spans="1:28" ht="12.75" customHeight="1" x14ac:dyDescent="0.3">
      <c r="A75" s="9"/>
      <c r="B75"/>
      <c r="C75"/>
      <c r="D75"/>
      <c r="E75"/>
      <c r="F75"/>
      <c r="Y75" s="14"/>
      <c r="Z75" s="14"/>
    </row>
    <row r="76" spans="1:28" ht="15.75" customHeight="1" x14ac:dyDescent="0.3">
      <c r="A76" s="9"/>
      <c r="B76" s="100" t="str">
        <f>Konsolidovani_Konsolidavani_Izvjestaj</f>
        <v>Konsolidovan izvještaj:</v>
      </c>
      <c r="D76" s="102"/>
      <c r="E76" s="103"/>
      <c r="F76"/>
      <c r="Y76" s="99" t="b">
        <v>0</v>
      </c>
      <c r="Z76" s="182"/>
      <c r="AA76" s="182"/>
    </row>
    <row r="77" spans="1:28" ht="4.9000000000000004" customHeight="1" x14ac:dyDescent="0.3">
      <c r="A77" s="9"/>
      <c r="B77" s="101"/>
    </row>
    <row r="78" spans="1:28" ht="15.25" customHeight="1" x14ac:dyDescent="0.35">
      <c r="A78" s="9"/>
      <c r="B78" s="118" t="str">
        <f>IF( Konsolidovan_izvjestaj, Konsolidovani_Konsolidovani &amp; " 1:", "")</f>
        <v/>
      </c>
    </row>
    <row r="79" spans="1:28" ht="15.25" customHeight="1" x14ac:dyDescent="0.3">
      <c r="A79" s="9"/>
      <c r="B79" s="85" t="str">
        <f>IF( Konsolidovan_izvjestaj, Zaglavlje_MB, "")</f>
        <v/>
      </c>
      <c r="D79" s="83"/>
      <c r="E79" s="83"/>
      <c r="F79" s="83"/>
      <c r="G79" s="83"/>
      <c r="H79" s="83"/>
      <c r="I79" s="83"/>
      <c r="J79" s="83"/>
      <c r="K79" s="83"/>
      <c r="Y79"/>
      <c r="Z79"/>
      <c r="AA79"/>
    </row>
    <row r="80" spans="1:28" customFormat="1" ht="4.9000000000000004" customHeight="1" x14ac:dyDescent="0.3">
      <c r="A80" s="78"/>
      <c r="B80" s="78"/>
    </row>
    <row r="81" spans="1:27" ht="12.75" customHeight="1" x14ac:dyDescent="0.3">
      <c r="A81" s="9"/>
      <c r="B81" s="583" t="str">
        <f>IF( Konsolidovan_izvjestaj, Zaglavlje_Naziv_preduzeca, "")</f>
        <v/>
      </c>
      <c r="Y81"/>
      <c r="Z81"/>
      <c r="AA81"/>
    </row>
    <row r="82" spans="1:27" ht="21" customHeight="1" x14ac:dyDescent="0.3">
      <c r="A82" s="9"/>
      <c r="B82" s="583"/>
      <c r="D82" s="579"/>
      <c r="E82" s="579"/>
      <c r="F82" s="579"/>
      <c r="G82" s="579"/>
      <c r="H82" s="579"/>
      <c r="I82" s="579"/>
      <c r="J82" s="579"/>
      <c r="K82" s="579"/>
      <c r="L82" s="579"/>
      <c r="M82" s="579"/>
      <c r="N82" s="579"/>
      <c r="O82" s="579"/>
      <c r="P82" s="579"/>
      <c r="Q82" s="579"/>
      <c r="R82" s="579"/>
      <c r="S82" s="579"/>
      <c r="T82" s="579"/>
      <c r="U82" s="579"/>
      <c r="V82" s="579"/>
      <c r="Y82"/>
      <c r="Z82"/>
      <c r="AA82"/>
    </row>
    <row r="83" spans="1:27" ht="10.5" customHeight="1" x14ac:dyDescent="0.3">
      <c r="A83" s="9"/>
      <c r="B83" s="85"/>
      <c r="D83" s="2"/>
      <c r="E83" s="2"/>
      <c r="F83" s="2"/>
      <c r="G83" s="2"/>
      <c r="H83" s="2"/>
      <c r="I83" s="2"/>
      <c r="J83" s="2"/>
      <c r="K83" s="2"/>
      <c r="L83" s="2"/>
      <c r="M83" s="2"/>
      <c r="N83" s="2"/>
      <c r="O83" s="2"/>
      <c r="P83" s="2"/>
      <c r="Q83" s="2"/>
      <c r="R83" s="2"/>
      <c r="S83" s="2"/>
      <c r="T83" s="2"/>
      <c r="U83" s="2"/>
      <c r="V83" s="2"/>
      <c r="Y83"/>
      <c r="Z83"/>
      <c r="AA83"/>
    </row>
    <row r="84" spans="1:27" ht="15.25" customHeight="1" x14ac:dyDescent="0.3">
      <c r="A84" s="9"/>
      <c r="B84" s="85" t="str">
        <f>IF( Konsolidovan_izvjestaj, Zaglavlje_Sjediste, "")</f>
        <v/>
      </c>
      <c r="D84" s="579"/>
      <c r="E84" s="579"/>
      <c r="F84" s="579"/>
      <c r="G84" s="579"/>
      <c r="H84" s="579"/>
      <c r="I84" s="579"/>
      <c r="J84" s="579"/>
      <c r="K84" s="579"/>
      <c r="L84" s="579"/>
      <c r="M84" s="579"/>
      <c r="N84" s="579"/>
      <c r="O84" s="579"/>
      <c r="P84" s="579"/>
      <c r="Q84" s="579"/>
      <c r="R84" s="579"/>
      <c r="S84" s="579"/>
      <c r="T84" s="579"/>
      <c r="U84" s="579"/>
      <c r="V84" s="579"/>
      <c r="Y84"/>
      <c r="Z84"/>
      <c r="AA84"/>
    </row>
    <row r="85" spans="1:27" ht="4.9000000000000004" customHeight="1" x14ac:dyDescent="0.3">
      <c r="A85" s="9"/>
      <c r="B85" s="85"/>
      <c r="Y85"/>
      <c r="Z85"/>
      <c r="AA85"/>
    </row>
    <row r="86" spans="1:27" ht="15.25" customHeight="1" x14ac:dyDescent="0.3">
      <c r="A86" s="9"/>
      <c r="B86" s="85" t="str">
        <f>IF( Konsolidovan_izvjestaj, Zaglavlje_JIB, "")</f>
        <v/>
      </c>
      <c r="D86" s="83"/>
      <c r="E86" s="141"/>
      <c r="F86" s="142"/>
      <c r="G86" s="83"/>
      <c r="H86" s="141"/>
      <c r="I86" s="142"/>
      <c r="J86" s="83"/>
      <c r="K86" s="141"/>
      <c r="L86" s="142"/>
      <c r="M86" s="141"/>
      <c r="N86" s="142"/>
      <c r="O86" s="141"/>
      <c r="P86" s="142"/>
      <c r="Q86" s="44"/>
      <c r="R86" s="44"/>
      <c r="S86" s="44"/>
      <c r="T86" s="44"/>
      <c r="U86" s="44"/>
      <c r="V86" s="44"/>
      <c r="Y86"/>
      <c r="Z86"/>
      <c r="AA86"/>
    </row>
    <row r="87" spans="1:27" ht="4.9000000000000004" customHeight="1" x14ac:dyDescent="0.3">
      <c r="A87" s="9"/>
      <c r="B87" s="101"/>
      <c r="Y87"/>
      <c r="Z87"/>
      <c r="AA87"/>
    </row>
    <row r="88" spans="1:27" ht="15.25" customHeight="1" x14ac:dyDescent="0.35">
      <c r="A88" s="9"/>
      <c r="B88" s="118" t="str">
        <f>IF( Konsolidovan_izvjestaj, Konsolidovani_Konsolidovani &amp; " 2:", "")</f>
        <v/>
      </c>
      <c r="Y88"/>
      <c r="Z88"/>
      <c r="AA88"/>
    </row>
    <row r="89" spans="1:27" ht="15.25" customHeight="1" x14ac:dyDescent="0.3">
      <c r="A89" s="9"/>
      <c r="B89" s="85" t="str">
        <f>IF( Konsolidovan_izvjestaj, Zaglavlje_MB, "")</f>
        <v/>
      </c>
      <c r="D89" s="83"/>
      <c r="E89" s="83"/>
      <c r="F89" s="83"/>
      <c r="G89" s="83"/>
      <c r="H89" s="83"/>
      <c r="I89" s="83"/>
      <c r="J89" s="83"/>
      <c r="K89" s="83"/>
      <c r="Y89"/>
      <c r="Z89"/>
      <c r="AA89"/>
    </row>
    <row r="90" spans="1:27" ht="4.9000000000000004" customHeight="1" x14ac:dyDescent="0.3">
      <c r="A90" s="9"/>
      <c r="B90" s="78"/>
    </row>
    <row r="91" spans="1:27" ht="12.75" customHeight="1" x14ac:dyDescent="0.3">
      <c r="A91" s="9"/>
      <c r="B91" s="583" t="str">
        <f>IF( Konsolidovan_izvjestaj, Zaglavlje_Naziv_preduzeca, "")</f>
        <v/>
      </c>
    </row>
    <row r="92" spans="1:27" ht="21.75" customHeight="1" x14ac:dyDescent="0.3">
      <c r="A92" s="9"/>
      <c r="B92" s="583"/>
      <c r="D92" s="579"/>
      <c r="E92" s="579"/>
      <c r="F92" s="579"/>
      <c r="G92" s="579"/>
      <c r="H92" s="579"/>
      <c r="I92" s="579"/>
      <c r="J92" s="579"/>
      <c r="K92" s="579"/>
      <c r="L92" s="579"/>
      <c r="M92" s="579"/>
      <c r="N92" s="579"/>
      <c r="O92" s="579"/>
      <c r="P92" s="579"/>
      <c r="Q92" s="579"/>
      <c r="R92" s="579"/>
      <c r="S92" s="579"/>
      <c r="T92" s="579"/>
      <c r="U92" s="579"/>
      <c r="V92" s="579"/>
    </row>
    <row r="93" spans="1:27" ht="10.5" customHeight="1" x14ac:dyDescent="0.3">
      <c r="A93" s="9"/>
      <c r="B93" s="85"/>
      <c r="D93" s="2"/>
      <c r="E93" s="2"/>
      <c r="F93" s="2"/>
      <c r="G93" s="2"/>
      <c r="H93" s="2"/>
      <c r="I93" s="2"/>
      <c r="J93" s="2"/>
      <c r="K93" s="2"/>
      <c r="L93" s="2"/>
      <c r="M93" s="2"/>
      <c r="N93" s="2"/>
      <c r="O93" s="2"/>
      <c r="P93" s="2"/>
      <c r="Q93" s="2"/>
      <c r="R93" s="2"/>
      <c r="S93" s="2"/>
      <c r="T93" s="2"/>
      <c r="U93" s="2"/>
      <c r="V93" s="2"/>
    </row>
    <row r="94" spans="1:27" ht="15.25" customHeight="1" x14ac:dyDescent="0.3">
      <c r="A94" s="9"/>
      <c r="B94" s="85" t="str">
        <f>IF( Konsolidovan_izvjestaj, Zaglavlje_Sjediste, "")</f>
        <v/>
      </c>
      <c r="D94" s="579"/>
      <c r="E94" s="579"/>
      <c r="F94" s="579"/>
      <c r="G94" s="579"/>
      <c r="H94" s="579"/>
      <c r="I94" s="579"/>
      <c r="J94" s="579"/>
      <c r="K94" s="579"/>
      <c r="L94" s="579"/>
      <c r="M94" s="579"/>
      <c r="N94" s="579"/>
      <c r="O94" s="579"/>
      <c r="P94" s="579"/>
      <c r="Q94" s="579"/>
      <c r="R94" s="579"/>
      <c r="S94" s="579"/>
      <c r="T94" s="579"/>
      <c r="U94" s="579"/>
      <c r="V94" s="579"/>
    </row>
    <row r="95" spans="1:27" ht="4.9000000000000004" customHeight="1" x14ac:dyDescent="0.3">
      <c r="A95" s="9"/>
      <c r="B95" s="85"/>
    </row>
    <row r="96" spans="1:27" ht="15.25" customHeight="1" x14ac:dyDescent="0.3">
      <c r="A96" s="9"/>
      <c r="B96" s="85" t="str">
        <f>IF( Konsolidovan_izvjestaj, Zaglavlje_JIB, "")</f>
        <v/>
      </c>
      <c r="D96" s="83"/>
      <c r="E96" s="141"/>
      <c r="F96" s="142"/>
      <c r="G96" s="83"/>
      <c r="H96" s="141"/>
      <c r="I96" s="142"/>
      <c r="J96" s="83"/>
      <c r="K96" s="141"/>
      <c r="L96" s="142"/>
      <c r="M96" s="141"/>
      <c r="N96" s="142"/>
      <c r="O96" s="141"/>
      <c r="P96" s="142"/>
      <c r="Q96" s="44"/>
      <c r="R96" s="44"/>
      <c r="S96" s="44"/>
      <c r="T96" s="44"/>
      <c r="U96" s="44"/>
      <c r="V96" s="44"/>
    </row>
    <row r="97" spans="1:32" ht="4.9000000000000004" customHeight="1" x14ac:dyDescent="0.3">
      <c r="A97" s="9"/>
      <c r="B97" s="101"/>
    </row>
    <row r="98" spans="1:32" ht="15.25" customHeight="1" x14ac:dyDescent="0.35">
      <c r="A98" s="9"/>
      <c r="B98" s="118" t="str">
        <f>IF( Konsolidovan_izvjestaj, Konsolidovani_Konsolidovani &amp; " 3:", "")</f>
        <v/>
      </c>
    </row>
    <row r="99" spans="1:32" ht="15.25" customHeight="1" x14ac:dyDescent="0.3">
      <c r="A99" s="9"/>
      <c r="B99" s="85" t="str">
        <f>IF( Konsolidovan_izvjestaj, Zaglavlje_MB, "")</f>
        <v/>
      </c>
      <c r="D99" s="83"/>
      <c r="E99" s="83"/>
      <c r="F99" s="83"/>
      <c r="G99" s="83"/>
      <c r="H99" s="83"/>
      <c r="I99" s="83"/>
      <c r="J99" s="83"/>
      <c r="K99" s="83"/>
    </row>
    <row r="100" spans="1:32" customFormat="1" ht="15.25" customHeight="1" x14ac:dyDescent="0.3">
      <c r="A100" s="78"/>
      <c r="B100" s="78"/>
      <c r="AE100" s="8"/>
      <c r="AF100" s="8"/>
    </row>
    <row r="101" spans="1:32" ht="12.75" customHeight="1" x14ac:dyDescent="0.3">
      <c r="A101" s="9"/>
      <c r="B101" s="583" t="str">
        <f>IF( Konsolidovan_izvjestaj, Zaglavlje_Naziv_preduzeca, "")</f>
        <v/>
      </c>
    </row>
    <row r="102" spans="1:32" ht="20.25" customHeight="1" x14ac:dyDescent="0.3">
      <c r="A102" s="9"/>
      <c r="B102" s="583"/>
      <c r="D102" s="579"/>
      <c r="E102" s="579"/>
      <c r="F102" s="579"/>
      <c r="G102" s="579"/>
      <c r="H102" s="579"/>
      <c r="I102" s="579"/>
      <c r="J102" s="579"/>
      <c r="K102" s="579"/>
      <c r="L102" s="579"/>
      <c r="M102" s="579"/>
      <c r="N102" s="579"/>
      <c r="O102" s="579"/>
      <c r="P102" s="579"/>
      <c r="Q102" s="579"/>
      <c r="R102" s="579"/>
      <c r="S102" s="579"/>
      <c r="T102" s="579"/>
      <c r="U102" s="579"/>
      <c r="V102" s="579"/>
    </row>
    <row r="103" spans="1:32" ht="15.25" customHeight="1" x14ac:dyDescent="0.3">
      <c r="A103" s="9"/>
      <c r="B103" s="85"/>
      <c r="D103" s="2"/>
      <c r="E103" s="2"/>
      <c r="F103" s="2"/>
      <c r="G103" s="2"/>
      <c r="H103" s="2"/>
      <c r="I103" s="2"/>
      <c r="J103" s="2"/>
      <c r="K103" s="2"/>
      <c r="L103" s="2"/>
      <c r="M103" s="2"/>
      <c r="N103" s="2"/>
      <c r="O103" s="2"/>
      <c r="P103" s="2"/>
      <c r="Q103" s="2"/>
      <c r="R103" s="2"/>
      <c r="S103" s="2"/>
      <c r="T103" s="2"/>
      <c r="U103" s="2"/>
      <c r="V103" s="2"/>
    </row>
    <row r="104" spans="1:32" ht="15.25" customHeight="1" x14ac:dyDescent="0.3">
      <c r="A104" s="9"/>
      <c r="B104" s="85" t="str">
        <f>IF( Konsolidovan_izvjestaj, Zaglavlje_Sjediste, "")</f>
        <v/>
      </c>
      <c r="D104" s="579"/>
      <c r="E104" s="579"/>
      <c r="F104" s="579"/>
      <c r="G104" s="579"/>
      <c r="H104" s="579"/>
      <c r="I104" s="579"/>
      <c r="J104" s="579"/>
      <c r="K104" s="579"/>
      <c r="L104" s="579"/>
      <c r="M104" s="579"/>
      <c r="N104" s="579"/>
      <c r="O104" s="579"/>
      <c r="P104" s="579"/>
      <c r="Q104" s="579"/>
      <c r="R104" s="579"/>
      <c r="S104" s="579"/>
      <c r="T104" s="579"/>
      <c r="U104" s="579"/>
      <c r="V104" s="579"/>
    </row>
    <row r="105" spans="1:32" ht="4.9000000000000004" customHeight="1" x14ac:dyDescent="0.3">
      <c r="A105" s="9"/>
      <c r="B105" s="85"/>
    </row>
    <row r="106" spans="1:32" ht="15.25" customHeight="1" x14ac:dyDescent="0.3">
      <c r="A106" s="9"/>
      <c r="B106" s="85" t="str">
        <f>IF( Konsolidovan_izvjestaj, Zaglavlje_JIB, "")</f>
        <v/>
      </c>
      <c r="D106" s="83"/>
      <c r="E106" s="141"/>
      <c r="F106" s="142"/>
      <c r="G106" s="83"/>
      <c r="H106" s="141"/>
      <c r="I106" s="142"/>
      <c r="J106" s="83"/>
      <c r="K106" s="141"/>
      <c r="L106" s="142"/>
      <c r="M106" s="141"/>
      <c r="N106" s="142"/>
      <c r="O106" s="141"/>
      <c r="P106" s="142"/>
      <c r="Q106" s="44"/>
      <c r="R106" s="44"/>
      <c r="S106" s="44"/>
      <c r="T106" s="44"/>
      <c r="U106" s="44"/>
      <c r="V106" s="44"/>
    </row>
    <row r="107" spans="1:32" ht="4.9000000000000004" customHeight="1" x14ac:dyDescent="0.3"/>
    <row r="108" spans="1:32" ht="15.25" customHeight="1" x14ac:dyDescent="0.35">
      <c r="B108" s="118" t="str">
        <f>IF( Konsolidovan_izvjestaj, Konsolidovani_Konsolidovani &amp; " 4:", "")</f>
        <v/>
      </c>
    </row>
    <row r="109" spans="1:32" ht="15.25" customHeight="1" x14ac:dyDescent="0.3">
      <c r="B109" s="85" t="str">
        <f>IF( Konsolidovan_izvjestaj, Zaglavlje_MB, "")</f>
        <v/>
      </c>
      <c r="D109" s="83"/>
      <c r="E109" s="83"/>
      <c r="F109" s="83"/>
      <c r="G109" s="83"/>
      <c r="H109" s="83"/>
      <c r="I109" s="83"/>
      <c r="J109" s="83"/>
      <c r="K109" s="83"/>
    </row>
    <row r="110" spans="1:32" ht="12.75" customHeight="1" x14ac:dyDescent="0.3">
      <c r="B110" s="78"/>
      <c r="C110"/>
      <c r="D110"/>
      <c r="E110"/>
      <c r="F110"/>
      <c r="G110"/>
      <c r="H110"/>
      <c r="I110"/>
      <c r="J110"/>
      <c r="K110"/>
      <c r="L110"/>
      <c r="M110"/>
      <c r="N110"/>
      <c r="O110"/>
      <c r="P110"/>
      <c r="Q110"/>
      <c r="R110"/>
      <c r="S110"/>
      <c r="T110"/>
      <c r="U110"/>
      <c r="V110"/>
    </row>
    <row r="111" spans="1:32" ht="20.25" customHeight="1" x14ac:dyDescent="0.3">
      <c r="B111" s="583" t="str">
        <f>IF( Konsolidovan_izvjestaj, Zaglavlje_Naziv_preduzeca, "")</f>
        <v/>
      </c>
    </row>
    <row r="112" spans="1:32" ht="22.9" customHeight="1" x14ac:dyDescent="0.3">
      <c r="B112" s="583"/>
      <c r="D112" s="579"/>
      <c r="E112" s="579"/>
      <c r="F112" s="579"/>
      <c r="G112" s="579"/>
      <c r="H112" s="579"/>
      <c r="I112" s="579"/>
      <c r="J112" s="579"/>
      <c r="K112" s="579"/>
      <c r="L112" s="579"/>
      <c r="M112" s="579"/>
      <c r="N112" s="579"/>
      <c r="O112" s="579"/>
      <c r="P112" s="579"/>
      <c r="Q112" s="579"/>
      <c r="R112" s="579"/>
      <c r="S112" s="579"/>
      <c r="T112" s="579"/>
      <c r="U112" s="579"/>
      <c r="V112" s="579"/>
    </row>
    <row r="113" spans="2:32" ht="12.75" customHeight="1" x14ac:dyDescent="0.3">
      <c r="B113" s="85"/>
      <c r="D113" s="2"/>
      <c r="E113" s="2"/>
      <c r="F113" s="2"/>
      <c r="G113" s="2"/>
      <c r="H113" s="2"/>
      <c r="I113" s="2"/>
      <c r="J113" s="2"/>
      <c r="K113" s="2"/>
      <c r="L113" s="2"/>
      <c r="M113" s="2"/>
      <c r="N113" s="2"/>
      <c r="O113" s="2"/>
      <c r="P113" s="2"/>
      <c r="Q113" s="2"/>
      <c r="R113" s="2"/>
      <c r="S113" s="2"/>
      <c r="T113" s="2"/>
      <c r="U113" s="2"/>
      <c r="V113" s="2"/>
      <c r="AF113" s="89"/>
    </row>
    <row r="114" spans="2:32" ht="15.25" customHeight="1" x14ac:dyDescent="0.3">
      <c r="B114" s="85" t="str">
        <f>IF( Konsolidovan_izvjestaj, Zaglavlje_Sjediste, "")</f>
        <v/>
      </c>
      <c r="D114" s="579"/>
      <c r="E114" s="579"/>
      <c r="F114" s="579"/>
      <c r="G114" s="579"/>
      <c r="H114" s="579"/>
      <c r="I114" s="579"/>
      <c r="J114" s="579"/>
      <c r="K114" s="579"/>
      <c r="L114" s="579"/>
      <c r="M114" s="579"/>
      <c r="N114" s="579"/>
      <c r="O114" s="579"/>
      <c r="P114" s="579"/>
      <c r="Q114" s="579"/>
      <c r="R114" s="579"/>
      <c r="S114" s="579"/>
      <c r="T114" s="579"/>
      <c r="U114" s="579"/>
      <c r="V114" s="579"/>
    </row>
    <row r="115" spans="2:32" ht="12.75" customHeight="1" x14ac:dyDescent="0.3">
      <c r="B115" s="85"/>
    </row>
    <row r="116" spans="2:32" ht="15.25" customHeight="1" x14ac:dyDescent="0.3">
      <c r="B116" s="85" t="str">
        <f>IF( Konsolidovan_izvjestaj, Zaglavlje_JIB, "")</f>
        <v/>
      </c>
      <c r="D116" s="83"/>
      <c r="E116" s="141"/>
      <c r="F116" s="142"/>
      <c r="G116" s="83"/>
      <c r="H116" s="141"/>
      <c r="I116" s="142"/>
      <c r="J116" s="83"/>
      <c r="K116" s="141"/>
      <c r="L116" s="142"/>
      <c r="M116" s="141"/>
      <c r="N116" s="142"/>
      <c r="O116" s="141"/>
      <c r="P116" s="142"/>
      <c r="Q116" s="44"/>
      <c r="R116" s="44"/>
      <c r="S116" s="44"/>
      <c r="T116" s="44"/>
      <c r="U116" s="44"/>
      <c r="V116" s="44"/>
    </row>
    <row r="117" spans="2:32" ht="4.9000000000000004" customHeight="1" x14ac:dyDescent="0.3"/>
    <row r="118" spans="2:32" ht="15.25" customHeight="1" x14ac:dyDescent="0.35">
      <c r="B118" s="118" t="str">
        <f>IF( Konsolidovan_izvjestaj, Konsolidovani_Konsolidovani &amp; " 5:", "")</f>
        <v/>
      </c>
    </row>
    <row r="119" spans="2:32" ht="15.25" customHeight="1" x14ac:dyDescent="0.3">
      <c r="B119" s="85" t="str">
        <f>IF( Konsolidovan_izvjestaj, Zaglavlje_MB, "")</f>
        <v/>
      </c>
      <c r="D119" s="83"/>
      <c r="E119" s="83"/>
      <c r="F119" s="83"/>
      <c r="G119" s="83"/>
      <c r="H119" s="83"/>
      <c r="I119" s="83"/>
      <c r="J119" s="83"/>
      <c r="K119" s="83"/>
    </row>
    <row r="120" spans="2:32" ht="12.75" customHeight="1" x14ac:dyDescent="0.3">
      <c r="B120" s="78"/>
      <c r="C120"/>
      <c r="D120"/>
      <c r="E120"/>
      <c r="F120"/>
      <c r="G120"/>
      <c r="H120"/>
      <c r="I120"/>
      <c r="J120"/>
      <c r="K120"/>
      <c r="L120"/>
      <c r="M120"/>
      <c r="N120"/>
      <c r="O120"/>
      <c r="P120"/>
      <c r="Q120"/>
      <c r="R120"/>
      <c r="S120"/>
      <c r="T120"/>
      <c r="U120"/>
      <c r="V120"/>
    </row>
    <row r="121" spans="2:32" ht="18" customHeight="1" x14ac:dyDescent="0.3">
      <c r="B121" s="583" t="str">
        <f>IF( Konsolidovan_izvjestaj, Zaglavlje_Naziv_preduzeca, "")</f>
        <v/>
      </c>
    </row>
    <row r="122" spans="2:32" ht="8.25" customHeight="1" x14ac:dyDescent="0.3">
      <c r="B122" s="583"/>
      <c r="D122" s="579"/>
      <c r="E122" s="579"/>
      <c r="F122" s="579"/>
      <c r="G122" s="579"/>
      <c r="H122" s="579"/>
      <c r="I122" s="579"/>
      <c r="J122" s="579"/>
      <c r="K122" s="579"/>
      <c r="L122" s="579"/>
      <c r="M122" s="579"/>
      <c r="N122" s="579"/>
      <c r="O122" s="579"/>
      <c r="P122" s="579"/>
      <c r="Q122" s="579"/>
      <c r="R122" s="579"/>
      <c r="S122" s="579"/>
      <c r="T122" s="579"/>
      <c r="U122" s="579"/>
      <c r="V122" s="579"/>
    </row>
    <row r="123" spans="2:32" ht="12.75" customHeight="1" x14ac:dyDescent="0.3">
      <c r="B123" s="85"/>
      <c r="D123" s="2"/>
      <c r="E123" s="2"/>
      <c r="F123" s="2"/>
      <c r="G123" s="2"/>
      <c r="H123" s="2"/>
      <c r="I123" s="2"/>
      <c r="J123" s="2"/>
      <c r="K123" s="2"/>
      <c r="L123" s="2"/>
      <c r="M123" s="2"/>
      <c r="N123" s="2"/>
      <c r="O123" s="2"/>
      <c r="P123" s="2"/>
      <c r="Q123" s="2"/>
      <c r="R123" s="2"/>
      <c r="S123" s="2"/>
      <c r="T123" s="2"/>
      <c r="U123" s="2"/>
      <c r="V123" s="2"/>
    </row>
    <row r="124" spans="2:32" ht="15.25" customHeight="1" x14ac:dyDescent="0.3">
      <c r="B124" s="85" t="str">
        <f>IF( Konsolidovan_izvjestaj, Zaglavlje_Sjediste, "")</f>
        <v/>
      </c>
      <c r="D124" s="579"/>
      <c r="E124" s="579"/>
      <c r="F124" s="579"/>
      <c r="G124" s="579"/>
      <c r="H124" s="579"/>
      <c r="I124" s="579"/>
      <c r="J124" s="579"/>
      <c r="K124" s="579"/>
      <c r="L124" s="579"/>
      <c r="M124" s="579"/>
      <c r="N124" s="579"/>
      <c r="O124" s="579"/>
      <c r="P124" s="579"/>
      <c r="Q124" s="579"/>
      <c r="R124" s="579"/>
      <c r="S124" s="579"/>
      <c r="T124" s="579"/>
      <c r="U124" s="579"/>
      <c r="V124" s="579"/>
    </row>
    <row r="125" spans="2:32" ht="12.75" customHeight="1" x14ac:dyDescent="0.3">
      <c r="B125" s="85"/>
    </row>
    <row r="126" spans="2:32" ht="15.25" customHeight="1" x14ac:dyDescent="0.3">
      <c r="B126" s="85" t="str">
        <f>IF( Konsolidovan_izvjestaj, Zaglavlje_JIB, "")</f>
        <v/>
      </c>
      <c r="D126" s="83"/>
      <c r="E126" s="141"/>
      <c r="F126" s="142"/>
      <c r="G126" s="83"/>
      <c r="H126" s="141"/>
      <c r="I126" s="142"/>
      <c r="J126" s="83"/>
      <c r="K126" s="141"/>
      <c r="L126" s="142"/>
      <c r="M126" s="141"/>
      <c r="N126" s="142"/>
      <c r="O126" s="141"/>
      <c r="P126" s="142"/>
      <c r="Q126" s="44"/>
      <c r="R126" s="44"/>
      <c r="S126" s="44"/>
      <c r="T126" s="44"/>
      <c r="U126" s="44"/>
      <c r="V126" s="44"/>
    </row>
  </sheetData>
  <sheetProtection algorithmName="SHA-512" hashValue="29DPEP6Q6IfXGn/y1EciqWiSixkuYIRsZOYlTM7kqHCouJjdUmsfsE9TIG165mcJzxosw94ssOM6Zm9duarVNQ==" saltValue="N8f5FcbXauc3woBIEx7pxQ==" spinCount="100000" sheet="1" objects="1" scenarios="1" selectLockedCells="1"/>
  <mergeCells count="36">
    <mergeCell ref="D8:E8"/>
    <mergeCell ref="G8:H8"/>
    <mergeCell ref="D10:E10"/>
    <mergeCell ref="G10:H10"/>
    <mergeCell ref="J8:L10"/>
    <mergeCell ref="B19:B20"/>
    <mergeCell ref="D20:V20"/>
    <mergeCell ref="B121:B122"/>
    <mergeCell ref="B111:B112"/>
    <mergeCell ref="B91:B92"/>
    <mergeCell ref="B101:B102"/>
    <mergeCell ref="B69:B70"/>
    <mergeCell ref="J43:L43"/>
    <mergeCell ref="B81:B82"/>
    <mergeCell ref="D43:E43"/>
    <mergeCell ref="G43:H43"/>
    <mergeCell ref="D54:V54"/>
    <mergeCell ref="D22:V22"/>
    <mergeCell ref="D40:V40"/>
    <mergeCell ref="D45:V45"/>
    <mergeCell ref="D47:V47"/>
    <mergeCell ref="D49:V49"/>
    <mergeCell ref="D52:V52"/>
    <mergeCell ref="D56:V56"/>
    <mergeCell ref="D70:V70"/>
    <mergeCell ref="D72:V72"/>
    <mergeCell ref="D82:V82"/>
    <mergeCell ref="D84:V84"/>
    <mergeCell ref="D92:V92"/>
    <mergeCell ref="D124:V124"/>
    <mergeCell ref="D94:V94"/>
    <mergeCell ref="D102:V102"/>
    <mergeCell ref="D104:V104"/>
    <mergeCell ref="D112:V112"/>
    <mergeCell ref="D114:V114"/>
    <mergeCell ref="D122:V122"/>
  </mergeCells>
  <conditionalFormatting sqref="D17:E17 D24:P24 D27:F27 H27:J27 L27:S27 D29:F29 H29:J29 L29:S29 D31:F31 H31:J31 L31:S31 D33:F33 H33:J33 L33:S33 D35:F35 H35:J35 L35:S35 D37:F37 H37:J37 L37:S37 D58:F58 H58:J58 L58:N58 D60:F60 H60:J60 L60:N60 D67:K67 D74:P74 D79:K79 D86:P86 D89:K89 D96:P96 D99:K99 D106:P106 D109:K109 D116:P116 D119:K119 D126:P126">
    <cfRule type="expression" dxfId="203" priority="51" stopIfTrue="1">
      <formula>$AC$3 &gt; 0</formula>
    </cfRule>
  </conditionalFormatting>
  <conditionalFormatting sqref="D15:P15">
    <cfRule type="expression" dxfId="202" priority="1" stopIfTrue="1">
      <formula>$AC$3 &gt; 0</formula>
    </cfRule>
  </conditionalFormatting>
  <conditionalFormatting sqref="E24:P24 E74:P74 E86:P86 E96:P96 E106:P106 E116:P116 E126:P126">
    <cfRule type="expression" dxfId="201" priority="66" stopIfTrue="1">
      <formula>$O$14 &gt; 0</formula>
    </cfRule>
  </conditionalFormatting>
  <conditionalFormatting sqref="G17:I17">
    <cfRule type="expression" dxfId="200" priority="49" stopIfTrue="1">
      <formula>$AC$3 &gt; 0</formula>
    </cfRule>
  </conditionalFormatting>
  <conditionalFormatting sqref="U27:V27">
    <cfRule type="expression" dxfId="199" priority="48" stopIfTrue="1">
      <formula>$AC$3 &gt; 0</formula>
    </cfRule>
  </conditionalFormatting>
  <conditionalFormatting sqref="U29:V29">
    <cfRule type="expression" dxfId="198" priority="47" stopIfTrue="1">
      <formula>$AC$3 &gt; 0</formula>
    </cfRule>
  </conditionalFormatting>
  <conditionalFormatting sqref="U31:V31">
    <cfRule type="expression" dxfId="197" priority="46" stopIfTrue="1">
      <formula>$AC$3 &gt; 0</formula>
    </cfRule>
  </conditionalFormatting>
  <conditionalFormatting sqref="U33:V33">
    <cfRule type="expression" dxfId="196" priority="45" stopIfTrue="1">
      <formula>$AC$3 &gt; 0</formula>
    </cfRule>
  </conditionalFormatting>
  <conditionalFormatting sqref="U35:V35">
    <cfRule type="expression" dxfId="195" priority="44" stopIfTrue="1">
      <formula>$AC$3 &gt; 0</formula>
    </cfRule>
  </conditionalFormatting>
  <conditionalFormatting sqref="U37:V37">
    <cfRule type="expression" dxfId="194" priority="43" stopIfTrue="1">
      <formula>$AC$3 &gt; 0</formula>
    </cfRule>
  </conditionalFormatting>
  <dataValidations count="6">
    <dataValidation type="whole" allowBlank="1" showErrorMessage="1" errorTitle="Neispravan unos!" error="Unesite dan u mjesecu." sqref="D8:E8 D43:E43 D10:E10" xr:uid="{00000000-0002-0000-0100-000000000000}">
      <formula1>1</formula1>
      <formula2>31</formula2>
    </dataValidation>
    <dataValidation type="whole" allowBlank="1" showErrorMessage="1" errorTitle="Neispravan unos!" error="Unesite cijeli broj mjeseca od 0 do 12." sqref="G8:H8 G43:H43 G10:H10" xr:uid="{00000000-0002-0000-0100-000001000000}">
      <formula1>1</formula1>
      <formula2>12</formula2>
    </dataValidation>
    <dataValidation type="whole" allowBlank="1" showErrorMessage="1" errorTitle="Neispravan unos!" error="Unesite cijeli broj od 0 do 9." sqref="D17:E17 D27:F27 U27:V27 D29:F29 U29:V29 D31:F31 U31:V31 D33:F33 U33:V33 D35:F35 U35:V35 D37:F37 U37:V37 D58:F58 D60:F60 G17:H17 D126:P126 D116:P116 D106:P106 D96:P96 D86:P86 D119:K119 D109:K109 D99:K99 D89:K89 D79:K79 D67:K67 D74:P74 H60:J60 L58:N58 H58:J58 L37:S37 H37:J37 L35:S35 H35:J35 L33:S33 H33:J33 L31:S31 H31:J31 L29:S29 H29:J29 L27:S27 H27:J27 L60:N60 D24:P24 D15:P15" xr:uid="{00000000-0002-0000-0100-000002000000}">
      <formula1>0</formula1>
      <formula2>9</formula2>
    </dataValidation>
    <dataValidation type="whole" allowBlank="1" showInputMessage="1" showErrorMessage="1" errorTitle="Neispravan unos!" error="Unesite cijeli broj od 0 do 9." promptTitle="Šifra klasifikacije djelatnosti" prompt="Peta cifra klasifikacije djelatnosti se unosi za stare šifre djelatnosti._x000a__x000a_www.rzs.rs.ba" sqref="I17" xr:uid="{00000000-0002-0000-0100-000003000000}">
      <formula1>0</formula1>
      <formula2>9</formula2>
    </dataValidation>
    <dataValidation type="whole" operator="greaterThanOrEqual" showErrorMessage="1" errorTitle="Neispravan unos!" error="Unesite cijeli broj &gt;= 2016." sqref="J8:L10" xr:uid="{00000000-0002-0000-0100-000004000000}">
      <formula1>2016</formula1>
    </dataValidation>
    <dataValidation type="whole" operator="greaterThanOrEqual" showErrorMessage="1" errorTitle="Neispravan unos!" error="Unesite cijeli broj veći od 2010." sqref="J43:L43" xr:uid="{00000000-0002-0000-0100-000005000000}">
      <formula1>2015</formula1>
    </dataValidation>
  </dataValidations>
  <printOptions horizontalCentered="1"/>
  <pageMargins left="0.70866141732283472" right="0.70866141732283472" top="0.74803149606299213" bottom="0.74803149606299213" header="0.31496062992125984" footer="0.31496062992125984"/>
  <pageSetup paperSize="9" scale="78" fitToHeight="2" orientation="portrait" horizontalDpi="1200" verticalDpi="1200" r:id="rId1"/>
  <headerFooter>
    <oddFooter>&amp;RStrana &amp;P od &amp;N</oddFooter>
  </headerFooter>
  <rowBreaks count="1" manualBreakCount="1">
    <brk id="75"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4497" r:id="rId4" name="Jezik">
              <controlPr defaultSize="0" autoLine="0" autoPict="0">
                <anchor moveWithCells="1">
                  <from>
                    <xdr:col>2</xdr:col>
                    <xdr:colOff>69850</xdr:colOff>
                    <xdr:row>3</xdr:row>
                    <xdr:rowOff>152400</xdr:rowOff>
                  </from>
                  <to>
                    <xdr:col>9</xdr:col>
                    <xdr:colOff>133350</xdr:colOff>
                    <xdr:row>4</xdr:row>
                    <xdr:rowOff>190500</xdr:rowOff>
                  </to>
                </anchor>
              </controlPr>
            </control>
          </mc:Choice>
        </mc:AlternateContent>
        <mc:AlternateContent xmlns:mc="http://schemas.openxmlformats.org/markup-compatibility/2006">
          <mc:Choice Requires="x14">
            <control shapeId="53459" r:id="rId5" name="Check Box 9427">
              <controlPr defaultSize="0" autoFill="0" autoLine="0" autoPict="0">
                <anchor moveWithCells="1">
                  <from>
                    <xdr:col>2</xdr:col>
                    <xdr:colOff>171450</xdr:colOff>
                    <xdr:row>75</xdr:row>
                    <xdr:rowOff>0</xdr:rowOff>
                  </from>
                  <to>
                    <xdr:col>4</xdr:col>
                    <xdr:colOff>171450</xdr:colOff>
                    <xdr:row>76</xdr:row>
                    <xdr:rowOff>50800</xdr:rowOff>
                  </to>
                </anchor>
              </controlPr>
            </control>
          </mc:Choice>
        </mc:AlternateContent>
        <mc:AlternateContent xmlns:mc="http://schemas.openxmlformats.org/markup-compatibility/2006">
          <mc:Choice Requires="x14">
            <control shapeId="61709" r:id="rId6" name="Check Box 10509">
              <controlPr defaultSize="0" autoFill="0" autoLine="0" autoPict="0">
                <anchor moveWithCells="1">
                  <from>
                    <xdr:col>2</xdr:col>
                    <xdr:colOff>171450</xdr:colOff>
                    <xdr:row>61</xdr:row>
                    <xdr:rowOff>0</xdr:rowOff>
                  </from>
                  <to>
                    <xdr:col>4</xdr:col>
                    <xdr:colOff>171450</xdr:colOff>
                    <xdr:row>62</xdr:row>
                    <xdr:rowOff>50800</xdr:rowOff>
                  </to>
                </anchor>
              </controlPr>
            </control>
          </mc:Choice>
        </mc:AlternateContent>
        <mc:AlternateContent xmlns:mc="http://schemas.openxmlformats.org/markup-compatibility/2006">
          <mc:Choice Requires="x14">
            <control shapeId="72960" r:id="rId7" name="Drop Down 11520">
              <controlPr defaultSize="0" autoLine="0" autoPict="0">
                <anchor moveWithCells="1">
                  <from>
                    <xdr:col>3</xdr:col>
                    <xdr:colOff>0</xdr:colOff>
                    <xdr:row>62</xdr:row>
                    <xdr:rowOff>50800</xdr:rowOff>
                  </from>
                  <to>
                    <xdr:col>11</xdr:col>
                    <xdr:colOff>107950</xdr:colOff>
                    <xdr:row>64</xdr:row>
                    <xdr:rowOff>19050</xdr:rowOff>
                  </to>
                </anchor>
              </controlPr>
            </control>
          </mc:Choice>
        </mc:AlternateContent>
        <mc:AlternateContent xmlns:mc="http://schemas.openxmlformats.org/markup-compatibility/2006">
          <mc:Choice Requires="x14">
            <control shapeId="24786" r:id="rId8" name="Navigacija">
              <controlPr defaultSize="0" print="0" autoFill="0" autoPict="0">
                <anchor moveWithCells="1" sizeWithCells="1">
                  <from>
                    <xdr:col>0</xdr:col>
                    <xdr:colOff>361950</xdr:colOff>
                    <xdr:row>0</xdr:row>
                    <xdr:rowOff>0</xdr:rowOff>
                  </from>
                  <to>
                    <xdr:col>27</xdr:col>
                    <xdr:colOff>1600200</xdr:colOff>
                    <xdr:row>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01">
    <tabColor rgb="FFB2B2B2"/>
  </sheetPr>
  <dimension ref="A1:IV175"/>
  <sheetViews>
    <sheetView showGridLines="0" showRowColHeaders="0" zoomScaleNormal="100" zoomScaleSheetLayoutView="85" workbookViewId="0">
      <pane xSplit="14" ySplit="4" topLeftCell="O23" activePane="bottomRight" state="frozen"/>
      <selection activeCell="K31" sqref="K31"/>
      <selection pane="topRight" activeCell="K31" sqref="K31"/>
      <selection pane="bottomLeft" activeCell="K31" sqref="K31"/>
      <selection pane="bottomRight" activeCell="M122" sqref="M122"/>
    </sheetView>
  </sheetViews>
  <sheetFormatPr defaultColWidth="0" defaultRowHeight="13" zeroHeight="1" x14ac:dyDescent="0.3"/>
  <cols>
    <col min="1" max="1" width="5.296875" style="8" customWidth="1"/>
    <col min="2" max="2" width="7.8984375" style="15" hidden="1" customWidth="1"/>
    <col min="3" max="3" width="18.8984375" style="28" customWidth="1"/>
    <col min="4" max="8" width="17.296875" style="14" customWidth="1"/>
    <col min="9" max="9" width="7.3984375" style="14" customWidth="1"/>
    <col min="10" max="10" width="8.8984375" style="29" customWidth="1"/>
    <col min="11" max="12" width="12.296875" style="8" customWidth="1"/>
    <col min="13" max="14" width="12.69921875" style="8" customWidth="1"/>
    <col min="15" max="15" width="5.69921875" style="8" customWidth="1"/>
    <col min="16" max="16" width="11.3984375" style="8" hidden="1" customWidth="1"/>
    <col min="17" max="256" width="0" style="8" hidden="1" customWidth="1"/>
    <col min="257" max="16384" width="4.69921875" style="8" hidden="1"/>
  </cols>
  <sheetData>
    <row r="1" spans="1:14" x14ac:dyDescent="0.3">
      <c r="B1" s="8"/>
      <c r="C1" s="135"/>
      <c r="D1" s="136"/>
      <c r="E1" s="136"/>
      <c r="F1" s="136"/>
      <c r="G1" s="136"/>
      <c r="H1" s="136"/>
      <c r="I1" s="136"/>
      <c r="J1" s="137"/>
      <c r="K1" s="18"/>
      <c r="L1" s="18"/>
      <c r="M1" s="18"/>
      <c r="N1" s="18"/>
    </row>
    <row r="2" spans="1:14" x14ac:dyDescent="0.3">
      <c r="B2" s="8"/>
      <c r="C2" s="135"/>
      <c r="D2" s="136"/>
      <c r="E2" s="136"/>
      <c r="F2" s="136"/>
      <c r="G2" s="136"/>
      <c r="H2" s="136"/>
      <c r="I2" s="136"/>
      <c r="J2" s="137"/>
      <c r="K2" s="18"/>
      <c r="L2" s="18"/>
      <c r="M2" s="18"/>
      <c r="N2" s="18"/>
    </row>
    <row r="3" spans="1:14" x14ac:dyDescent="0.3">
      <c r="B3" s="8"/>
      <c r="C3" s="135"/>
      <c r="D3" s="136"/>
      <c r="E3" s="136"/>
      <c r="F3" s="136"/>
      <c r="G3" s="136"/>
      <c r="H3" s="136"/>
      <c r="I3" s="136"/>
      <c r="J3" s="137"/>
      <c r="K3" s="18"/>
      <c r="L3" s="18"/>
      <c r="M3" s="18"/>
      <c r="N3" s="18"/>
    </row>
    <row r="4" spans="1:14" x14ac:dyDescent="0.3">
      <c r="B4" s="8"/>
      <c r="C4" s="135"/>
      <c r="D4" s="136"/>
      <c r="E4" s="136"/>
      <c r="F4" s="136"/>
      <c r="G4" s="136"/>
      <c r="H4" s="136"/>
      <c r="I4" s="136"/>
      <c r="J4" s="137"/>
      <c r="K4" s="18"/>
      <c r="L4" s="18"/>
      <c r="M4" s="18"/>
      <c r="N4" s="18"/>
    </row>
    <row r="5" spans="1:14" ht="12.75" customHeight="1" x14ac:dyDescent="0.3">
      <c r="A5" s="13"/>
      <c r="B5" s="13"/>
      <c r="C5" s="637" t="str">
        <f>Zaglavlje_Naziv_preduzeca</f>
        <v xml:space="preserve">Naziv privrednog društva, zadruge, drugog pravnog lica ili preduzetnika: </v>
      </c>
      <c r="D5" s="637"/>
      <c r="E5" s="637"/>
      <c r="F5" s="126"/>
      <c r="G5" s="126"/>
      <c r="H5" s="126"/>
      <c r="I5" s="126"/>
      <c r="K5" s="126"/>
      <c r="N5" s="392" t="str">
        <f>Podatak_MB</f>
        <v>01040103</v>
      </c>
    </row>
    <row r="6" spans="1:14" x14ac:dyDescent="0.3">
      <c r="A6" s="13"/>
      <c r="B6" s="13"/>
      <c r="C6" s="637"/>
      <c r="D6" s="637"/>
      <c r="E6" s="637"/>
      <c r="F6" s="128"/>
      <c r="G6" s="126"/>
      <c r="J6" s="126"/>
      <c r="K6" s="126"/>
      <c r="L6" s="126"/>
      <c r="N6" s="421" t="str">
        <f>Zaglavlje_MB</f>
        <v>Matični broj</v>
      </c>
    </row>
    <row r="7" spans="1:14" x14ac:dyDescent="0.3">
      <c r="A7" s="16"/>
      <c r="B7" s="16"/>
      <c r="C7" s="657" t="str">
        <f>Podatak_Naziv_preduzeca</f>
        <v>Čistoća AD Banja Luka</v>
      </c>
      <c r="D7" s="657"/>
      <c r="E7" s="657"/>
      <c r="F7" s="244"/>
      <c r="J7" s="126"/>
      <c r="K7" s="126"/>
      <c r="L7" s="126"/>
      <c r="N7" s="392" t="str">
        <f>Podatak_Sifra_djelatnosti</f>
        <v>38.11</v>
      </c>
    </row>
    <row r="8" spans="1:14" x14ac:dyDescent="0.3">
      <c r="A8" s="16"/>
      <c r="B8" s="16"/>
      <c r="C8" s="125" t="str">
        <f>Zaglavlje_Sjediste</f>
        <v>Sjedište:</v>
      </c>
      <c r="D8" s="614" t="str">
        <f>Podatak_Sjediste</f>
        <v>Braće Podgornika 2 Banja Luka</v>
      </c>
      <c r="E8" s="614"/>
      <c r="F8" s="129"/>
      <c r="G8" s="126"/>
      <c r="J8" s="126"/>
      <c r="K8" s="126"/>
      <c r="L8" s="126"/>
      <c r="N8" s="243" t="str">
        <f>Zaglavlje_Sifra_djelatnosti</f>
        <v>Šifra djelatnosti</v>
      </c>
    </row>
    <row r="9" spans="1:14" ht="12.75" customHeight="1" x14ac:dyDescent="0.3">
      <c r="A9" s="13"/>
      <c r="B9" s="13"/>
      <c r="C9" s="656" t="str">
        <f>Zaglavlje_Ziro_racun</f>
        <v>Račun kod ovlašćene organizacije za platni promet:</v>
      </c>
      <c r="D9" s="656"/>
      <c r="E9" s="656"/>
      <c r="J9" s="126"/>
      <c r="K9" s="126"/>
      <c r="L9" s="661" t="str">
        <f>Podatak_JIB</f>
        <v>4400849160004</v>
      </c>
      <c r="M9" s="661"/>
      <c r="N9" s="661"/>
    </row>
    <row r="10" spans="1:14" x14ac:dyDescent="0.3">
      <c r="A10" s="13"/>
      <c r="B10" s="13"/>
      <c r="C10" s="660" t="str">
        <f>Podatak_Ziro_racun_1</f>
        <v>555-007-00011375-82</v>
      </c>
      <c r="D10" s="660"/>
      <c r="E10" s="660"/>
      <c r="F10" s="125"/>
      <c r="G10" s="647" t="s">
        <v>786</v>
      </c>
      <c r="H10" s="647"/>
      <c r="J10" s="126"/>
      <c r="K10" s="126"/>
      <c r="L10" s="126"/>
      <c r="N10" s="243" t="str">
        <f>Zaglavlje_JIB</f>
        <v>JIB</v>
      </c>
    </row>
    <row r="11" spans="1:14" x14ac:dyDescent="0.3">
      <c r="B11" s="8"/>
      <c r="C11" s="660" t="str">
        <f>Podatak_Ziro_racun_2</f>
        <v>194-106-28988001-34</v>
      </c>
      <c r="D11" s="660"/>
      <c r="E11" s="660"/>
      <c r="F11" s="130"/>
      <c r="G11" s="130"/>
      <c r="H11" s="130"/>
      <c r="I11" s="130"/>
      <c r="J11" s="131"/>
      <c r="K11" s="131"/>
      <c r="L11" s="130"/>
      <c r="M11" s="132"/>
      <c r="N11" s="132"/>
    </row>
    <row r="12" spans="1:14" x14ac:dyDescent="0.3">
      <c r="B12" s="8"/>
      <c r="C12" s="660" t="str">
        <f>Podatak_Ziro_racun_3</f>
        <v>562-100-80000948-45</v>
      </c>
      <c r="D12" s="660"/>
      <c r="E12" s="660"/>
      <c r="F12" s="130"/>
      <c r="G12" s="130"/>
      <c r="H12" s="130"/>
      <c r="I12" s="130"/>
      <c r="J12" s="131"/>
      <c r="K12" s="131"/>
      <c r="L12" s="130"/>
      <c r="M12" s="132"/>
      <c r="N12" s="132"/>
    </row>
    <row r="13" spans="1:14" x14ac:dyDescent="0.3">
      <c r="B13" s="8"/>
      <c r="C13" s="660" t="str">
        <f>Podatak_Ziro_racun_4</f>
        <v>551-790-22198545-77</v>
      </c>
      <c r="D13" s="660"/>
      <c r="E13" s="660"/>
      <c r="F13" s="130"/>
      <c r="G13" s="130"/>
      <c r="H13" s="130"/>
      <c r="I13" s="130"/>
      <c r="J13" s="131"/>
      <c r="K13" s="131"/>
      <c r="L13" s="130"/>
      <c r="M13" s="132"/>
      <c r="N13" s="132"/>
    </row>
    <row r="14" spans="1:14" ht="15.5" x14ac:dyDescent="0.3">
      <c r="B14" s="8"/>
      <c r="C14" s="615" t="str">
        <f>IF( Id_Konsolidovani, Nazivi_bilansa_Konsolidovani_naziv &amp; LOWER( Nazivi_bilansa_BS), Nazivi_bilansa_BS)</f>
        <v>Bilans stanja</v>
      </c>
      <c r="D14" s="615"/>
      <c r="E14" s="615"/>
      <c r="F14" s="615"/>
      <c r="G14" s="615"/>
      <c r="H14" s="615"/>
      <c r="I14" s="615"/>
      <c r="J14" s="615"/>
      <c r="K14" s="615"/>
      <c r="L14" s="615"/>
      <c r="M14" s="615"/>
      <c r="N14" s="615"/>
    </row>
    <row r="15" spans="1:14" x14ac:dyDescent="0.3">
      <c r="B15" s="8"/>
      <c r="C15" s="653" t="str">
        <f>Nazivi_bilansa_BS1</f>
        <v>(Izvještaj o finansijskom položaju)</v>
      </c>
      <c r="D15" s="653"/>
      <c r="E15" s="653"/>
      <c r="F15" s="653"/>
      <c r="G15" s="653"/>
      <c r="H15" s="653"/>
      <c r="I15" s="653"/>
      <c r="J15" s="653"/>
      <c r="K15" s="653"/>
      <c r="L15" s="653"/>
      <c r="M15" s="653"/>
      <c r="N15" s="653"/>
    </row>
    <row r="16" spans="1:14" x14ac:dyDescent="0.3">
      <c r="B16" s="8"/>
      <c r="C16" s="653" t="str">
        <f>Datumi_Datum_BS</f>
        <v>na dan 30.06.2026. godine</v>
      </c>
      <c r="D16" s="653"/>
      <c r="E16" s="653"/>
      <c r="F16" s="653"/>
      <c r="G16" s="653"/>
      <c r="H16" s="653"/>
      <c r="I16" s="653"/>
      <c r="J16" s="653"/>
      <c r="K16" s="653"/>
      <c r="L16" s="653"/>
      <c r="M16" s="653"/>
      <c r="N16" s="653"/>
    </row>
    <row r="17" spans="2:16" x14ac:dyDescent="0.3">
      <c r="B17" s="8"/>
      <c r="C17" s="20"/>
      <c r="D17" s="20"/>
      <c r="E17" s="20"/>
      <c r="F17" s="20"/>
      <c r="G17" s="20"/>
      <c r="H17" s="20"/>
      <c r="I17" s="20"/>
      <c r="J17" s="20"/>
      <c r="K17" s="20"/>
      <c r="L17" s="20"/>
      <c r="M17" s="20"/>
      <c r="N17" s="21" t="str">
        <f>Tabele_zaglavlje_Valuta</f>
        <v>- u konvertibilnim markama -</v>
      </c>
    </row>
    <row r="18" spans="2:16" ht="12.75" customHeight="1" x14ac:dyDescent="0.3">
      <c r="B18" s="8"/>
      <c r="C18" s="650" t="str">
        <f>Tabele_zaglavlje_Grupa_racuna</f>
        <v>Grupa računa, račun</v>
      </c>
      <c r="D18" s="638" t="str">
        <f>Tabele_zaglavlje_Pozicija</f>
        <v>POZICIJA</v>
      </c>
      <c r="E18" s="639"/>
      <c r="F18" s="639"/>
      <c r="G18" s="639"/>
      <c r="H18" s="640"/>
      <c r="I18" s="654" t="str">
        <f>Tabele_zaglavlje_Oznaka_aop</f>
        <v>Oznaka za AOP</v>
      </c>
      <c r="J18" s="658" t="str" cm="1">
        <f t="array" ref="J18">Tabele_zaglavlje_Napomena_aop</f>
        <v>Napomena</v>
      </c>
      <c r="K18" s="652" t="str">
        <f>Tabele_zaglavlje_BS_iznos_tekuca</f>
        <v>Iznos na dan bilansa tekuće godine</v>
      </c>
      <c r="L18" s="652"/>
      <c r="M18" s="652"/>
      <c r="N18" s="648" t="str">
        <f>Tabele_zaglavlje_BS_iznos_prethodna</f>
        <v>Iznos na dan bilansa prethodne godine (PS)</v>
      </c>
    </row>
    <row r="19" spans="2:16" ht="38.25" customHeight="1" x14ac:dyDescent="0.3">
      <c r="B19" s="8"/>
      <c r="C19" s="651"/>
      <c r="D19" s="641"/>
      <c r="E19" s="642"/>
      <c r="F19" s="642"/>
      <c r="G19" s="642"/>
      <c r="H19" s="643"/>
      <c r="I19" s="655"/>
      <c r="J19" s="659"/>
      <c r="K19" s="22" t="str">
        <f>Tabele_zaglavlje_BS_bruto</f>
        <v>Bruto</v>
      </c>
      <c r="L19" s="23" t="str">
        <f>Tabele_zaglavlje_BS_ispravka</f>
        <v>Ispravka vrijednosti</v>
      </c>
      <c r="M19" s="23" t="str">
        <f>Tabele_zaglavlje_BS_neto</f>
        <v>Neto (5-6)</v>
      </c>
      <c r="N19" s="649"/>
      <c r="P19" s="134" t="s">
        <v>490</v>
      </c>
    </row>
    <row r="20" spans="2:16" x14ac:dyDescent="0.3">
      <c r="B20" s="15" t="s">
        <v>123</v>
      </c>
      <c r="C20" s="24">
        <v>1</v>
      </c>
      <c r="D20" s="644">
        <v>2</v>
      </c>
      <c r="E20" s="645"/>
      <c r="F20" s="645"/>
      <c r="G20" s="645"/>
      <c r="H20" s="646"/>
      <c r="I20" s="25">
        <v>3</v>
      </c>
      <c r="J20" s="25">
        <v>4</v>
      </c>
      <c r="K20" s="25">
        <v>5</v>
      </c>
      <c r="L20" s="25">
        <v>6</v>
      </c>
      <c r="M20" s="25">
        <v>7</v>
      </c>
      <c r="N20" s="26">
        <v>8</v>
      </c>
    </row>
    <row r="21" spans="2:16" ht="26.25" customHeight="1" x14ac:dyDescent="0.3">
      <c r="B21" s="15">
        <v>1</v>
      </c>
      <c r="C21" s="169">
        <f>VLOOKUP( $B21, T_Aop[], 5, 1)</f>
        <v>0</v>
      </c>
      <c r="D21" s="616" t="str">
        <f>VLOOKUP( $B21, T_Aop[], 6, 1)</f>
        <v xml:space="preserve">  BILANSNA AKTIVA
A. STALNA SREDSTVA (002+008+015+016+017+022+034)</v>
      </c>
      <c r="E21" s="617"/>
      <c r="F21" s="617"/>
      <c r="G21" s="617"/>
      <c r="H21" s="618"/>
      <c r="I21" s="426">
        <f>VLOOKUP( $B21, T_Aop[], 4, 1)</f>
        <v>1</v>
      </c>
      <c r="J21" s="427"/>
      <c r="K21" s="32">
        <f>SUBTOTAL( 9, K22:K54)</f>
        <v>36643000</v>
      </c>
      <c r="L21" s="32">
        <f>SUBTOTAL( 9, L22:L54)</f>
        <v>20678055</v>
      </c>
      <c r="M21" s="236">
        <f>IF(AND([0]!Godina=2026,MID(Osnovni_podaci!D20,3,1)="s",Osnovni_podaci!L24=6,Osnovni_podaci!G24=0,MID(Osnovni_podaci!D20,3,1)="s",MID(Osnovni_podaci!D20,8,1)=" "),SUM(K21,-L21),A1)</f>
        <v>15964945</v>
      </c>
      <c r="N21" s="33">
        <f>SUBTOTAL( 9, N22:N54)</f>
        <v>15453839</v>
      </c>
    </row>
    <row r="22" spans="2:16" x14ac:dyDescent="0.3">
      <c r="B22" s="15">
        <v>2</v>
      </c>
      <c r="C22" s="360" t="str">
        <f>VLOOKUP( $B22, T_Aop[], 5, 1)</f>
        <v>01</v>
      </c>
      <c r="D22" s="634" t="str">
        <f>VLOOKUP( $B22, T_Aop[], 6, 1)</f>
        <v xml:space="preserve">  I  NEMATERIJALNA SREDSTVA  (003 do 007)</v>
      </c>
      <c r="E22" s="635"/>
      <c r="F22" s="635"/>
      <c r="G22" s="635"/>
      <c r="H22" s="636"/>
      <c r="I22" s="168">
        <f>VLOOKUP( $B22, T_Aop[], 4, 1)</f>
        <v>2</v>
      </c>
      <c r="J22" s="425">
        <v>1</v>
      </c>
      <c r="K22" s="30">
        <f>SUBTOTAL( 9, K23:K27)</f>
        <v>318004</v>
      </c>
      <c r="L22" s="30">
        <f>SUBTOTAL( 9, L23:L27)</f>
        <v>238462</v>
      </c>
      <c r="M22" s="30">
        <f>IF(AND([0]!Godina=2026,MID(Osnovni_podaci!D20,3,1)="s",Osnovni_podaci!L24=6,Osnovni_podaci!G24=0,MID(Osnovni_podaci!D20,3,1)="s",MID(Osnovni_podaci!D20,8,1)=" "),SUM(K22,-L22),A1)</f>
        <v>79542</v>
      </c>
      <c r="N22" s="240">
        <f>SUBTOTAL( 9, N23:N27)</f>
        <v>87239</v>
      </c>
      <c r="P22" s="44"/>
    </row>
    <row r="23" spans="2:16" x14ac:dyDescent="0.3">
      <c r="B23" s="15">
        <v>3</v>
      </c>
      <c r="C23" s="361" t="str">
        <f>VLOOKUP( $B23, T_Aop[], 5, 1)</f>
        <v>010, dio 019</v>
      </c>
      <c r="D23" s="608" t="str">
        <f>VLOOKUP( $B23, T_Aop[], 6, 1)</f>
        <v xml:space="preserve">    1. Ulaganja u razvoj</v>
      </c>
      <c r="E23" s="609"/>
      <c r="F23" s="609"/>
      <c r="G23" s="609"/>
      <c r="H23" s="610"/>
      <c r="I23" s="121">
        <f>VLOOKUP( $B23, T_Aop[], 4, 1)</f>
        <v>3</v>
      </c>
      <c r="J23" s="157"/>
      <c r="K23" s="157"/>
      <c r="L23" s="157"/>
      <c r="M23" s="237">
        <f>IF(AND([0]!Godina=2026,MID(Osnovni_podaci!D20,3,1)="s",Osnovni_podaci!L24=6,Osnovni_podaci!G24=0,MID(Osnovni_podaci!D20,3,1)="s",MID(Osnovni_podaci!D20,8,1)=" "),SUM(K23,-L23),A1)</f>
        <v>0</v>
      </c>
      <c r="N23" s="193"/>
      <c r="P23" s="44"/>
    </row>
    <row r="24" spans="2:16" x14ac:dyDescent="0.3">
      <c r="B24" s="15">
        <v>4</v>
      </c>
      <c r="C24" s="362" t="str">
        <f>VLOOKUP( $B24, T_Aop[], 5, 1)</f>
        <v>011, 013 dio 019</v>
      </c>
      <c r="D24" s="611" t="str">
        <f>VLOOKUP( $B24, T_Aop[], 6, 1)</f>
        <v xml:space="preserve">    2. Koncesije, patenti, licence, softver i ostala prava</v>
      </c>
      <c r="E24" s="612"/>
      <c r="F24" s="612"/>
      <c r="G24" s="612"/>
      <c r="H24" s="613"/>
      <c r="I24" s="122">
        <f>VLOOKUP( $B24, T_Aop[], 4, 1)</f>
        <v>4</v>
      </c>
      <c r="J24" s="155">
        <v>1</v>
      </c>
      <c r="K24" s="155">
        <v>3537</v>
      </c>
      <c r="L24" s="155">
        <v>1739</v>
      </c>
      <c r="M24" s="150">
        <f>IF(AND([0]!Godina=2026,MID(Osnovni_podaci!D20,3,1)="s",Osnovni_podaci!L24=6,Osnovni_podaci!G24=0,MID(Osnovni_podaci!D20,3,1)="s",MID(Osnovni_podaci!D20,8,1)=" "),SUM(K24,-L24),A1)</f>
        <v>1798</v>
      </c>
      <c r="N24" s="192">
        <v>1975</v>
      </c>
      <c r="P24" s="44"/>
    </row>
    <row r="25" spans="2:16" x14ac:dyDescent="0.3">
      <c r="B25" s="15">
        <v>5</v>
      </c>
      <c r="C25" s="361" t="str">
        <f>VLOOKUP( $B25, T_Aop[], 5, 1)</f>
        <v>012, dio 019</v>
      </c>
      <c r="D25" s="608" t="str">
        <f>VLOOKUP( $B25, T_Aop[], 6, 1)</f>
        <v xml:space="preserve">    3. Goodwill</v>
      </c>
      <c r="E25" s="609"/>
      <c r="F25" s="609"/>
      <c r="G25" s="609"/>
      <c r="H25" s="610"/>
      <c r="I25" s="121">
        <f>VLOOKUP( $B25, T_Aop[], 4, 1)</f>
        <v>5</v>
      </c>
      <c r="J25" s="157"/>
      <c r="K25" s="157"/>
      <c r="L25" s="157"/>
      <c r="M25" s="151">
        <f>IF(AND([0]!Godina=2026,MID(Osnovni_podaci!D20,3,1)="s",Osnovni_podaci!L24=6,Osnovni_podaci!G24=0,MID(Osnovni_podaci!D20,3,1)="s",MID(Osnovni_podaci!D20,8,1)=" "),SUM(K25,-L25),A1)</f>
        <v>0</v>
      </c>
      <c r="N25" s="193"/>
      <c r="P25" s="44"/>
    </row>
    <row r="26" spans="2:16" x14ac:dyDescent="0.3">
      <c r="B26" s="15">
        <v>6</v>
      </c>
      <c r="C26" s="362" t="str">
        <f>VLOOKUP( $B26, T_Aop[], 5, 1)</f>
        <v>014, dio 019</v>
      </c>
      <c r="D26" s="611" t="str">
        <f>VLOOKUP( $B26, T_Aop[], 6, 1)</f>
        <v xml:space="preserve">    4. Ostala nematerijalna sredstva</v>
      </c>
      <c r="E26" s="612"/>
      <c r="F26" s="612"/>
      <c r="G26" s="612"/>
      <c r="H26" s="613"/>
      <c r="I26" s="122">
        <f>VLOOKUP( $B26, T_Aop[], 4, 1)</f>
        <v>6</v>
      </c>
      <c r="J26" s="155">
        <v>1</v>
      </c>
      <c r="K26" s="155">
        <v>314467</v>
      </c>
      <c r="L26" s="155">
        <v>236723</v>
      </c>
      <c r="M26" s="152">
        <f>IF(AND([0]!Godina=2026,MID(Osnovni_podaci!D20,3,1)="s",Osnovni_podaci!L24=6,Osnovni_podaci!G24=0,MID(Osnovni_podaci!D20,3,1)="s",MID(Osnovni_podaci!D20,8,1)=" "),SUM(K26,-L26),A1)</f>
        <v>77744</v>
      </c>
      <c r="N26" s="192">
        <v>85264</v>
      </c>
      <c r="P26" s="44"/>
    </row>
    <row r="27" spans="2:16" x14ac:dyDescent="0.3">
      <c r="B27" s="15">
        <v>7</v>
      </c>
      <c r="C27" s="361" t="str">
        <f>VLOOKUP( $B27, T_Aop[], 5, 1)</f>
        <v>015, 016, dio 019</v>
      </c>
      <c r="D27" s="608" t="str">
        <f>VLOOKUP( $B27, T_Aop[], 6, 1)</f>
        <v xml:space="preserve">    5. Avansi i nematerijalna sredstva u pripremi </v>
      </c>
      <c r="E27" s="609"/>
      <c r="F27" s="609"/>
      <c r="G27" s="609"/>
      <c r="H27" s="610"/>
      <c r="I27" s="121">
        <f>VLOOKUP( $B27, T_Aop[], 4, 1)</f>
        <v>7</v>
      </c>
      <c r="J27" s="157"/>
      <c r="K27" s="157"/>
      <c r="L27" s="157"/>
      <c r="M27" s="151">
        <f>IF(AND([0]!Godina=2026,MID(Osnovni_podaci!D20,3,1)="s",Osnovni_podaci!L24=6,Osnovni_podaci!G24=0,MID(Osnovni_podaci!D20,3,1)="s",MID(Osnovni_podaci!D20,8,1)=" "),SUM(K27,-L27),A1)</f>
        <v>0</v>
      </c>
      <c r="N27" s="193"/>
      <c r="P27" s="44"/>
    </row>
    <row r="28" spans="2:16" x14ac:dyDescent="0.3">
      <c r="B28" s="15">
        <v>8</v>
      </c>
      <c r="C28" s="362" t="str">
        <f>VLOOKUP( $B28, T_Aop[], 5, 1)</f>
        <v>02</v>
      </c>
      <c r="D28" s="619" t="str">
        <f>VLOOKUP( $B28, T_Aop[], 6, 1)</f>
        <v xml:space="preserve">  II  NEKRETNINE, POSTROJENJA I OPREMA (009 do 014) </v>
      </c>
      <c r="E28" s="620"/>
      <c r="F28" s="620"/>
      <c r="G28" s="620"/>
      <c r="H28" s="621"/>
      <c r="I28" s="171">
        <f>VLOOKUP( $B28, T_Aop[], 4, 1)</f>
        <v>8</v>
      </c>
      <c r="J28" s="155">
        <v>2</v>
      </c>
      <c r="K28" s="30">
        <f>SUBTOTAL(9,K29:K34)</f>
        <v>36322996</v>
      </c>
      <c r="L28" s="30">
        <f>SUBTOTAL(9,L29:L34)</f>
        <v>20439593</v>
      </c>
      <c r="M28" s="31">
        <f>IF(AND([0]!Godina=2026,MID(Osnovni_podaci!D20,3,1)="s",Osnovni_podaci!L24=6,Osnovni_podaci!G24=0,MID(Osnovni_podaci!D20,3,1)="s",MID(Osnovni_podaci!D20,8,1)=" "),SUM(K28,-L28),A1)</f>
        <v>15883403</v>
      </c>
      <c r="N28" s="240">
        <f>SUBTOTAL(9,N29:N34)</f>
        <v>15364600</v>
      </c>
      <c r="P28" s="44"/>
    </row>
    <row r="29" spans="2:16" x14ac:dyDescent="0.3">
      <c r="B29" s="15">
        <v>9</v>
      </c>
      <c r="C29" s="361" t="str">
        <f>VLOOKUP( $B29, T_Aop[], 5, 1)</f>
        <v>020, dio 029</v>
      </c>
      <c r="D29" s="608" t="str">
        <f>VLOOKUP( $B29, T_Aop[], 6, 1)</f>
        <v xml:space="preserve">    1. Zemljište</v>
      </c>
      <c r="E29" s="609"/>
      <c r="F29" s="609"/>
      <c r="G29" s="609"/>
      <c r="H29" s="610"/>
      <c r="I29" s="121">
        <f>VLOOKUP( $B29, T_Aop[], 4, 1)</f>
        <v>9</v>
      </c>
      <c r="J29" s="157">
        <v>2</v>
      </c>
      <c r="K29" s="157">
        <v>8550400</v>
      </c>
      <c r="L29" s="157"/>
      <c r="M29" s="151">
        <f>IF(AND([0]!Godina=2026,MID(Osnovni_podaci!D20,3,1)="s",Osnovni_podaci!L24=6,Osnovni_podaci!G24=0,MID(Osnovni_podaci!D20,3,1)="s",MID(Osnovni_podaci!D20,8,1)=" "),SUM(K29,-L29),A1)</f>
        <v>8550400</v>
      </c>
      <c r="N29" s="193">
        <v>8550400</v>
      </c>
      <c r="P29" s="44"/>
    </row>
    <row r="30" spans="2:16" x14ac:dyDescent="0.3">
      <c r="B30" s="15">
        <v>10</v>
      </c>
      <c r="C30" s="362" t="str">
        <f>VLOOKUP( $B30, T_Aop[], 5, 1)</f>
        <v>021, dio 029</v>
      </c>
      <c r="D30" s="611" t="str">
        <f>VLOOKUP( $B30, T_Aop[], 6, 1)</f>
        <v xml:space="preserve">    2. Građevinski objekti</v>
      </c>
      <c r="E30" s="612"/>
      <c r="F30" s="612"/>
      <c r="G30" s="612"/>
      <c r="H30" s="613"/>
      <c r="I30" s="122">
        <f>VLOOKUP( $B30, T_Aop[], 4, 1)</f>
        <v>10</v>
      </c>
      <c r="J30" s="155">
        <v>2</v>
      </c>
      <c r="K30" s="155">
        <v>9760230</v>
      </c>
      <c r="L30" s="155">
        <v>6382866</v>
      </c>
      <c r="M30" s="152">
        <f>IF(AND([0]!Godina=2026,MID(Osnovni_podaci!D20,3,1)="s",Osnovni_podaci!L24=6,Osnovni_podaci!G24=0,MID(Osnovni_podaci!D20,3,1)="s",MID(Osnovni_podaci!D20,8,1)=" "),SUM(K30,-L30),A1)</f>
        <v>3377364</v>
      </c>
      <c r="N30" s="192">
        <v>3528053</v>
      </c>
      <c r="P30" s="44"/>
    </row>
    <row r="31" spans="2:16" x14ac:dyDescent="0.3">
      <c r="B31" s="15">
        <v>11</v>
      </c>
      <c r="C31" s="361" t="str">
        <f>VLOOKUP( $B31, T_Aop[], 5, 1)</f>
        <v>022, dio 029</v>
      </c>
      <c r="D31" s="608" t="str">
        <f>VLOOKUP( $B31, T_Aop[], 6, 1)</f>
        <v xml:space="preserve">    3. Postrojenja i oprema</v>
      </c>
      <c r="E31" s="609"/>
      <c r="F31" s="609"/>
      <c r="G31" s="609"/>
      <c r="H31" s="610"/>
      <c r="I31" s="121">
        <f>VLOOKUP( $B31, T_Aop[], 4, 1)</f>
        <v>11</v>
      </c>
      <c r="J31" s="157">
        <v>2</v>
      </c>
      <c r="K31" s="157">
        <v>18012366</v>
      </c>
      <c r="L31" s="157">
        <v>14056727</v>
      </c>
      <c r="M31" s="151">
        <f>IF(AND([0]!Godina=2026,MID(Osnovni_podaci!D20,3,1)="s",Osnovni_podaci!L24=6,Osnovni_podaci!G24=0,MID(Osnovni_podaci!D20,3,1)="s",MID(Osnovni_podaci!D20,8,1)=" "),SUM(K31,-L31),A1)</f>
        <v>3955639</v>
      </c>
      <c r="N31" s="193">
        <v>3286147</v>
      </c>
      <c r="P31" s="44"/>
    </row>
    <row r="32" spans="2:16" x14ac:dyDescent="0.3">
      <c r="B32" s="15">
        <v>12</v>
      </c>
      <c r="C32" s="362" t="str">
        <f>VLOOKUP( $B32, T_Aop[], 5, 1)</f>
        <v>023, dio 029</v>
      </c>
      <c r="D32" s="611" t="str">
        <f>VLOOKUP( $B32, T_Aop[], 6, 1)</f>
        <v xml:space="preserve">    4. Ostale nekretnine, postrojenja i oprema</v>
      </c>
      <c r="E32" s="612"/>
      <c r="F32" s="612"/>
      <c r="G32" s="612"/>
      <c r="H32" s="613"/>
      <c r="I32" s="122">
        <f>VLOOKUP( $B32, T_Aop[], 4, 1)</f>
        <v>12</v>
      </c>
      <c r="J32" s="155"/>
      <c r="K32" s="155"/>
      <c r="L32" s="155"/>
      <c r="M32" s="152">
        <f>IF(AND([0]!Godina=2026,MID(Osnovni_podaci!D20,3,1)="s",Osnovni_podaci!L24=6,Osnovni_podaci!G24=0,MID(Osnovni_podaci!D20,3,1)="s",MID(Osnovni_podaci!D20,8,1)=" "),SUM(K32,-L32),A1)</f>
        <v>0</v>
      </c>
      <c r="N32" s="192"/>
      <c r="P32" s="44"/>
    </row>
    <row r="33" spans="2:16" x14ac:dyDescent="0.3">
      <c r="B33" s="15">
        <v>13</v>
      </c>
      <c r="C33" s="361" t="str">
        <f>VLOOKUP( $B33, T_Aop[], 5, 1)</f>
        <v>024, dio 029</v>
      </c>
      <c r="D33" s="608" t="str">
        <f>VLOOKUP( $B33, T_Aop[], 6, 1)</f>
        <v xml:space="preserve">    5. Ulaganje na tuđim nekretninama, postrojenjima i opremi</v>
      </c>
      <c r="E33" s="609"/>
      <c r="F33" s="609"/>
      <c r="G33" s="609"/>
      <c r="H33" s="610"/>
      <c r="I33" s="121">
        <f>VLOOKUP( $B33, T_Aop[], 4, 1)</f>
        <v>13</v>
      </c>
      <c r="J33" s="157"/>
      <c r="K33" s="157"/>
      <c r="L33" s="157"/>
      <c r="M33" s="151">
        <f>IF(AND([0]!Godina=2026,MID(Osnovni_podaci!D20,3,1)="s",Osnovni_podaci!L24=6,Osnovni_podaci!G24=0,MID(Osnovni_podaci!D20,3,1)="s",MID(Osnovni_podaci!D20,8,1)=" "),SUM(K33,-L33),A1)</f>
        <v>0</v>
      </c>
      <c r="N33" s="193"/>
      <c r="P33" s="44"/>
    </row>
    <row r="34" spans="2:16" x14ac:dyDescent="0.3">
      <c r="B34" s="15">
        <v>14</v>
      </c>
      <c r="C34" s="362" t="str">
        <f>VLOOKUP( $B34, T_Aop[], 5, 1)</f>
        <v>025, 026, dio 029</v>
      </c>
      <c r="D34" s="611" t="str">
        <f>VLOOKUP( $B34, T_Aop[], 6, 1)</f>
        <v xml:space="preserve">    6. Avansi i nekretnine, postrojenja i oprema u pripremi</v>
      </c>
      <c r="E34" s="612"/>
      <c r="F34" s="612"/>
      <c r="G34" s="612"/>
      <c r="H34" s="613"/>
      <c r="I34" s="122">
        <f>VLOOKUP( $B34, T_Aop[], 4, 1)</f>
        <v>14</v>
      </c>
      <c r="J34" s="155"/>
      <c r="K34" s="155"/>
      <c r="L34" s="155"/>
      <c r="M34" s="152">
        <f>IF(AND([0]!Godina=2026,MID(Osnovni_podaci!D20,3,1)="s",Osnovni_podaci!L24=6,Osnovni_podaci!G24=0,MID(Osnovni_podaci!D20,3,1)="s",MID(Osnovni_podaci!D20,8,1)=" "),SUM(K34,-L34),A1)</f>
        <v>0</v>
      </c>
      <c r="N34" s="192"/>
      <c r="P34" s="44"/>
    </row>
    <row r="35" spans="2:16" ht="12.75" customHeight="1" x14ac:dyDescent="0.3">
      <c r="B35" s="15">
        <v>15</v>
      </c>
      <c r="C35" s="361" t="str">
        <f>VLOOKUP( $B35, T_Aop[], 5, 1)</f>
        <v>03</v>
      </c>
      <c r="D35" s="616" t="str">
        <f>VLOOKUP( $B35, T_Aop[], 6, 1)</f>
        <v xml:space="preserve">  III INVESTICIONE NEKRETNINE</v>
      </c>
      <c r="E35" s="617"/>
      <c r="F35" s="617"/>
      <c r="G35" s="617"/>
      <c r="H35" s="618"/>
      <c r="I35" s="170">
        <f>VLOOKUP( $B35, T_Aop[], 4, 1)</f>
        <v>15</v>
      </c>
      <c r="J35" s="157">
        <v>3</v>
      </c>
      <c r="K35" s="203"/>
      <c r="L35" s="203"/>
      <c r="M35" s="32">
        <f>IF(AND([0]!Godina=2026,MID(Osnovni_podaci!D20,3,1)="s",Osnovni_podaci!L24=6,Osnovni_podaci!G24=0,MID(Osnovni_podaci!D20,3,1)="s",MID(Osnovni_podaci!D20,8,1)=" "),SUM(K35,-L35),A1)</f>
        <v>0</v>
      </c>
      <c r="N35" s="194"/>
      <c r="P35" s="44"/>
    </row>
    <row r="36" spans="2:16" x14ac:dyDescent="0.3">
      <c r="B36" s="15">
        <v>16</v>
      </c>
      <c r="C36" s="362" t="str">
        <f>VLOOKUP( $B36, T_Aop[], 5, 1)</f>
        <v>04</v>
      </c>
      <c r="D36" s="619" t="str">
        <f>VLOOKUP( $B36, T_Aop[], 6, 1)</f>
        <v xml:space="preserve">  IV SREDSTVA UZETA U ZAKUP </v>
      </c>
      <c r="E36" s="620"/>
      <c r="F36" s="620"/>
      <c r="G36" s="620"/>
      <c r="H36" s="621"/>
      <c r="I36" s="171">
        <f>VLOOKUP( $B36, T_Aop[], 4, 1)</f>
        <v>16</v>
      </c>
      <c r="J36" s="155"/>
      <c r="K36" s="81"/>
      <c r="L36" s="81"/>
      <c r="M36" s="31">
        <f>IF(AND([0]!Godina=2026,MID(Osnovni_podaci!D20,3,1)="s",Osnovni_podaci!L24=6,Osnovni_podaci!G24=0,MID(Osnovni_podaci!D20,3,1)="s",MID(Osnovni_podaci!D20,8,1)=" "),SUM(K36,-L36),A1)</f>
        <v>0</v>
      </c>
      <c r="N36" s="437"/>
      <c r="P36" s="44"/>
    </row>
    <row r="37" spans="2:16" x14ac:dyDescent="0.3">
      <c r="B37" s="15">
        <v>17</v>
      </c>
      <c r="C37" s="361" t="str">
        <f>VLOOKUP( $B37, T_Aop[], 5, 1)</f>
        <v>05</v>
      </c>
      <c r="D37" s="616" t="str">
        <f>VLOOKUP( $B37, T_Aop[], 6, 1)</f>
        <v xml:space="preserve">  V BIOLOŠKA SREDSTVA   (018 do 021)</v>
      </c>
      <c r="E37" s="617"/>
      <c r="F37" s="617"/>
      <c r="G37" s="617"/>
      <c r="H37" s="618"/>
      <c r="I37" s="170">
        <f>VLOOKUP( $B37, T_Aop[], 4, 1)</f>
        <v>17</v>
      </c>
      <c r="J37" s="157">
        <v>4</v>
      </c>
      <c r="K37" s="32">
        <f>SUBTOTAL(9,K38:K41)</f>
        <v>2000</v>
      </c>
      <c r="L37" s="32">
        <f>SUBTOTAL(9,L38:L41)</f>
        <v>0</v>
      </c>
      <c r="M37" s="32">
        <f>IF(AND([0]!Godina=2026,MID(Osnovni_podaci!D20,3,1)="s",Osnovni_podaci!L24=6,Osnovni_podaci!G24=0,MID(Osnovni_podaci!D20,3,1)="s",MID(Osnovni_podaci!D20,8,1)=" "),SUM(K37,-L37),A1)</f>
        <v>2000</v>
      </c>
      <c r="N37" s="390">
        <f>SUBTOTAL(9,N38:N41)</f>
        <v>2000</v>
      </c>
      <c r="P37" s="44"/>
    </row>
    <row r="38" spans="2:16" x14ac:dyDescent="0.3">
      <c r="B38" s="15">
        <v>18</v>
      </c>
      <c r="C38" s="362" t="str">
        <f>VLOOKUP( $B38, T_Aop[], 5, 1)</f>
        <v>050, dio 059</v>
      </c>
      <c r="D38" s="611" t="str">
        <f>VLOOKUP( $B38, T_Aop[], 6, 1)</f>
        <v xml:space="preserve">    1. Šume</v>
      </c>
      <c r="E38" s="612"/>
      <c r="F38" s="612"/>
      <c r="G38" s="612"/>
      <c r="H38" s="613"/>
      <c r="I38" s="122">
        <f>VLOOKUP( $B38, T_Aop[], 4, 1)</f>
        <v>18</v>
      </c>
      <c r="J38" s="155">
        <v>4</v>
      </c>
      <c r="K38" s="155">
        <v>2000</v>
      </c>
      <c r="L38" s="155"/>
      <c r="M38" s="152">
        <f>IF(AND([0]!Godina=2026,MID(Osnovni_podaci!D20,3,1)="s",Osnovni_podaci!L24=6,Osnovni_podaci!G24=0,MID(Osnovni_podaci!D20,3,1)="s",MID(Osnovni_podaci!D20,8,1)=" "),SUM(K38,-L38),A1)</f>
        <v>2000</v>
      </c>
      <c r="N38" s="192">
        <v>2000</v>
      </c>
      <c r="P38" s="44"/>
    </row>
    <row r="39" spans="2:16" x14ac:dyDescent="0.3">
      <c r="B39" s="15">
        <v>19</v>
      </c>
      <c r="C39" s="361" t="str">
        <f>VLOOKUP( $B39, T_Aop[], 5, 1)</f>
        <v>051, dio 059</v>
      </c>
      <c r="D39" s="608" t="str">
        <f>VLOOKUP( $B39, T_Aop[], 6, 1)</f>
        <v xml:space="preserve">    2. Višegodišnji zasadi</v>
      </c>
      <c r="E39" s="609"/>
      <c r="F39" s="609"/>
      <c r="G39" s="609"/>
      <c r="H39" s="610"/>
      <c r="I39" s="121">
        <f>VLOOKUP( $B39, T_Aop[], 4, 1)</f>
        <v>19</v>
      </c>
      <c r="J39" s="157"/>
      <c r="K39" s="157"/>
      <c r="L39" s="157"/>
      <c r="M39" s="151">
        <f>IF(AND([0]!Godina=2026,MID(Osnovni_podaci!D20,3,1)="s",Osnovni_podaci!L24=6,Osnovni_podaci!G24=0,MID(Osnovni_podaci!D20,3,1)="s",MID(Osnovni_podaci!D20,8,1)=" "),SUM(K39,-L39),A1)</f>
        <v>0</v>
      </c>
      <c r="N39" s="193"/>
      <c r="P39" s="44"/>
    </row>
    <row r="40" spans="2:16" x14ac:dyDescent="0.3">
      <c r="B40" s="15">
        <v>20</v>
      </c>
      <c r="C40" s="362" t="str">
        <f>VLOOKUP( $B40, T_Aop[], 5, 1)</f>
        <v>052, 053 dio 059</v>
      </c>
      <c r="D40" s="611" t="str">
        <f>VLOOKUP( $B40, T_Aop[], 6, 1)</f>
        <v xml:space="preserve">    3. Osnovno stado i ostala biološka sredstva</v>
      </c>
      <c r="E40" s="612"/>
      <c r="F40" s="612"/>
      <c r="G40" s="612"/>
      <c r="H40" s="613"/>
      <c r="I40" s="122">
        <f>VLOOKUP( $B40, T_Aop[], 4, 1)</f>
        <v>20</v>
      </c>
      <c r="J40" s="155"/>
      <c r="K40" s="155"/>
      <c r="L40" s="155"/>
      <c r="M40" s="152">
        <f>IF(AND([0]!Godina=2026,MID(Osnovni_podaci!D20,3,1)="s",Osnovni_podaci!L24=6,Osnovni_podaci!G24=0,MID(Osnovni_podaci!D20,3,1)="s",MID(Osnovni_podaci!D20,8,1)=" "),SUM(K40,-L40),A1)</f>
        <v>0</v>
      </c>
      <c r="N40" s="192"/>
      <c r="P40" s="44"/>
    </row>
    <row r="41" spans="2:16" x14ac:dyDescent="0.3">
      <c r="B41" s="15">
        <v>21</v>
      </c>
      <c r="C41" s="361" t="str">
        <f>VLOOKUP( $B41, T_Aop[], 5, 1)</f>
        <v>055, 056 i dio 059</v>
      </c>
      <c r="D41" s="608" t="str">
        <f>VLOOKUP( $B41, T_Aop[], 6, 1)</f>
        <v xml:space="preserve">    4. Avansi i biološka sredstva u pripremi </v>
      </c>
      <c r="E41" s="609"/>
      <c r="F41" s="609"/>
      <c r="G41" s="609"/>
      <c r="H41" s="610"/>
      <c r="I41" s="121">
        <f>VLOOKUP( $B41, T_Aop[], 4, 1)</f>
        <v>21</v>
      </c>
      <c r="J41" s="157"/>
      <c r="K41" s="157"/>
      <c r="L41" s="157"/>
      <c r="M41" s="151">
        <f>IF(AND([0]!Godina=2026,MID(Osnovni_podaci!D20,3,1)="s",Osnovni_podaci!L24=6,Osnovni_podaci!G24=0,MID(Osnovni_podaci!D20,3,1)="s",MID(Osnovni_podaci!D20,8,1)=" "),SUM(K41,-L41),A1)</f>
        <v>0</v>
      </c>
      <c r="N41" s="193"/>
      <c r="P41" s="44"/>
    </row>
    <row r="42" spans="2:16" x14ac:dyDescent="0.3">
      <c r="B42" s="15">
        <v>22</v>
      </c>
      <c r="C42" s="362" t="str">
        <f>VLOOKUP( $B42, T_Aop[], 5, 1)</f>
        <v>06</v>
      </c>
      <c r="D42" s="619" t="str">
        <f>VLOOKUP( $B42, T_Aop[], 6, 1)</f>
        <v xml:space="preserve">  VI  DUGOROČNI FINANSIJSKI PLASMANI (023+024+025+030+033)</v>
      </c>
      <c r="E42" s="620"/>
      <c r="F42" s="620"/>
      <c r="G42" s="620"/>
      <c r="H42" s="621"/>
      <c r="I42" s="171">
        <f>VLOOKUP( $B42, T_Aop[], 4, 1)</f>
        <v>22</v>
      </c>
      <c r="J42" s="155">
        <v>5</v>
      </c>
      <c r="K42" s="31">
        <f>SUBTOTAL(9,K43:K53)</f>
        <v>0</v>
      </c>
      <c r="L42" s="31">
        <f>SUBTOTAL(9,L43:L53)</f>
        <v>0</v>
      </c>
      <c r="M42" s="31">
        <f>IF(AND([0]!Godina=2026,MID(Osnovni_podaci!D20,3,1)="s",Osnovni_podaci!L24=6,Osnovni_podaci!G24=0,MID(Osnovni_podaci!D20,3,1)="s",MID(Osnovni_podaci!D20,8,1)=" "),SUM(K42,-L42),A1)</f>
        <v>0</v>
      </c>
      <c r="N42" s="34">
        <f>IF(AND([0]!Godina=2026,MID(Osnovni_podaci!D20,3,1)="s",Osnovni_podaci!L24=6,Osnovni_podaci!G24=0,MID(Osnovni_podaci!D20,3,1)="s",MID(Osnovni_podaci!D20,8,1)=" "),SUBTOTAL(9,N43:N53),A1)</f>
        <v>0</v>
      </c>
      <c r="P42" s="44"/>
    </row>
    <row r="43" spans="2:16" x14ac:dyDescent="0.3">
      <c r="B43" s="15">
        <v>23</v>
      </c>
      <c r="C43" s="361" t="str">
        <f>VLOOKUP( $B43, T_Aop[], 5, 1)</f>
        <v>060, dio 069</v>
      </c>
      <c r="D43" s="608" t="str">
        <f>VLOOKUP( $B43, T_Aop[], 6, 1)</f>
        <v xml:space="preserve">    1. Učešće u kapitalu zavisnih subjekata</v>
      </c>
      <c r="E43" s="609"/>
      <c r="F43" s="609"/>
      <c r="G43" s="609"/>
      <c r="H43" s="610"/>
      <c r="I43" s="121">
        <f>VLOOKUP( $B43, T_Aop[], 4, 1)</f>
        <v>23</v>
      </c>
      <c r="J43" s="157"/>
      <c r="K43" s="157"/>
      <c r="L43" s="157"/>
      <c r="M43" s="151">
        <f>IF(AND([0]!Godina=2026,MID(Osnovni_podaci!D20,3,1)="s",Osnovni_podaci!L24=6,Osnovni_podaci!G24=0,MID(Osnovni_podaci!D20,3,1)="s",MID(Osnovni_podaci!D20,8,1)=" "),SUM(K43,-L43),A1)</f>
        <v>0</v>
      </c>
      <c r="N43" s="193"/>
      <c r="P43" s="44"/>
    </row>
    <row r="44" spans="2:16" x14ac:dyDescent="0.3">
      <c r="B44" s="15">
        <v>24</v>
      </c>
      <c r="C44" s="362" t="str">
        <f>VLOOKUP( $B44, T_Aop[], 5, 1)</f>
        <v>061, dio 069</v>
      </c>
      <c r="D44" s="611" t="str">
        <f>VLOOKUP( $B44, T_Aop[], 6, 1)</f>
        <v xml:space="preserve">    2. Učešće u kapitalu pridruženih subjekata i zajedničkih poduhvata</v>
      </c>
      <c r="E44" s="612"/>
      <c r="F44" s="612"/>
      <c r="G44" s="612"/>
      <c r="H44" s="613"/>
      <c r="I44" s="122">
        <f>VLOOKUP( $B44, T_Aop[], 4, 1)</f>
        <v>24</v>
      </c>
      <c r="J44" s="155"/>
      <c r="K44" s="155"/>
      <c r="L44" s="155"/>
      <c r="M44" s="152">
        <f>IF(AND([0]!Godina=2026,MID(Osnovni_podaci!D20,3,1)="s",Osnovni_podaci!L24=6,Osnovni_podaci!G24=0,MID(Osnovni_podaci!D20,3,1)="s",MID(Osnovni_podaci!D20,8,1)=" "),SUM(K44,-L44),A1)</f>
        <v>0</v>
      </c>
      <c r="N44" s="192"/>
      <c r="P44" s="44"/>
    </row>
    <row r="45" spans="2:16" x14ac:dyDescent="0.3">
      <c r="B45" s="15">
        <v>25</v>
      </c>
      <c r="C45" s="361" t="str">
        <f>VLOOKUP( $B45, T_Aop[], 5, 1)</f>
        <v>dio 06</v>
      </c>
      <c r="D45" s="608" t="str">
        <f>VLOOKUP( $B45, T_Aop[], 6, 1)</f>
        <v xml:space="preserve">    3. Finansijska sredstva po amortizovanoj vrijednosti (026 do 029)</v>
      </c>
      <c r="E45" s="609"/>
      <c r="F45" s="609"/>
      <c r="G45" s="609"/>
      <c r="H45" s="610"/>
      <c r="I45" s="121">
        <f>VLOOKUP( $B45, T_Aop[], 4, 1)</f>
        <v>25</v>
      </c>
      <c r="J45" s="157"/>
      <c r="K45" s="32">
        <f>SUBTOTAL(9,K46:K49)</f>
        <v>0</v>
      </c>
      <c r="L45" s="32">
        <f>SUBTOTAL(9,L46:L49)</f>
        <v>0</v>
      </c>
      <c r="M45" s="203">
        <f>IF(AND([0]!Godina=2026,MID(Osnovni_podaci!D20,3,1)="s",Osnovni_podaci!L24=6,Osnovni_podaci!G24=0,MID(Osnovni_podaci!D20,3,1)="s",MID(Osnovni_podaci!D20,8,1)=" "),SUM(K45,-L45),A1)</f>
        <v>0</v>
      </c>
      <c r="N45" s="391">
        <f>IF(AND([0]!Godina=2026,MID(Osnovni_podaci!D20,3,1)="s",Osnovni_podaci!L24=6,Osnovni_podaci!G24=0,MID(Osnovni_podaci!D20,3,1)="s",MID(Osnovni_podaci!D20,8,1)=" "),SUBTOTAL(9,N46:N49),A1)</f>
        <v>0</v>
      </c>
      <c r="P45" s="44"/>
    </row>
    <row r="46" spans="2:16" x14ac:dyDescent="0.3">
      <c r="B46" s="15">
        <v>26</v>
      </c>
      <c r="C46" s="362" t="str">
        <f>VLOOKUP( $B46, T_Aop[], 5, 1)</f>
        <v>062, dio 069</v>
      </c>
      <c r="D46" s="611" t="str">
        <f>VLOOKUP( $B46, T_Aop[], 6, 1)</f>
        <v xml:space="preserve">      3.1. Dugoročni krediti povezanim pravnim licima</v>
      </c>
      <c r="E46" s="612"/>
      <c r="F46" s="612"/>
      <c r="G46" s="612"/>
      <c r="H46" s="613"/>
      <c r="I46" s="122">
        <f>VLOOKUP( $B46, T_Aop[], 4, 1)</f>
        <v>26</v>
      </c>
      <c r="J46" s="155"/>
      <c r="K46" s="155"/>
      <c r="L46" s="155"/>
      <c r="M46" s="152">
        <f>IF(AND([0]!Godina=2026,MID(Osnovni_podaci!D20,3,1)="s",Osnovni_podaci!L24=6,Osnovni_podaci!G24=0,MID(Osnovni_podaci!D20,3,1)="s",MID(Osnovni_podaci!D20,8,1)=" "),SUM(K46,-L46),A1)</f>
        <v>0</v>
      </c>
      <c r="N46" s="192"/>
      <c r="P46" s="44"/>
    </row>
    <row r="47" spans="2:16" x14ac:dyDescent="0.3">
      <c r="B47" s="15">
        <v>27</v>
      </c>
      <c r="C47" s="361" t="str">
        <f>VLOOKUP( $B47, T_Aop[], 5, 1)</f>
        <v>063, dio 069</v>
      </c>
      <c r="D47" s="608" t="str">
        <f>VLOOKUP( $B47, T_Aop[], 6, 1)</f>
        <v xml:space="preserve">      3.2. Dugoročni krediti u zemlji</v>
      </c>
      <c r="E47" s="609"/>
      <c r="F47" s="609"/>
      <c r="G47" s="609"/>
      <c r="H47" s="610"/>
      <c r="I47" s="121">
        <f>VLOOKUP( $B47, T_Aop[], 4, 1)</f>
        <v>27</v>
      </c>
      <c r="J47" s="157"/>
      <c r="K47" s="157"/>
      <c r="L47" s="157"/>
      <c r="M47" s="151">
        <f>IF(AND([0]!Godina=2026,MID(Osnovni_podaci!D20,3,1)="s",Osnovni_podaci!L24=6,Osnovni_podaci!G24=0,MID(Osnovni_podaci!D20,3,1)="s",MID(Osnovni_podaci!D20,8,1)=" "),SUM(K47,-L47),A1)</f>
        <v>0</v>
      </c>
      <c r="N47" s="193"/>
      <c r="P47" s="44"/>
    </row>
    <row r="48" spans="2:16" x14ac:dyDescent="0.3">
      <c r="B48" s="15">
        <v>28</v>
      </c>
      <c r="C48" s="362" t="str">
        <f>VLOOKUP( $B48, T_Aop[], 5, 1)</f>
        <v>064, dio 069</v>
      </c>
      <c r="D48" s="611" t="str">
        <f>VLOOKUP( $B48, T_Aop[], 6, 1)</f>
        <v xml:space="preserve">      3.3. Dugoročni krediti u inostranstvu</v>
      </c>
      <c r="E48" s="612"/>
      <c r="F48" s="612"/>
      <c r="G48" s="612"/>
      <c r="H48" s="613"/>
      <c r="I48" s="122">
        <f>VLOOKUP( $B48, T_Aop[], 4, 1)</f>
        <v>28</v>
      </c>
      <c r="J48" s="155"/>
      <c r="K48" s="155"/>
      <c r="L48" s="155"/>
      <c r="M48" s="152">
        <f>IF(AND([0]!Godina=2026,MID(Osnovni_podaci!D20,3,1)="s",Osnovni_podaci!L24=6,Osnovni_podaci!G24=0,MID(Osnovni_podaci!D20,3,1)="s",MID(Osnovni_podaci!D20,8,1)=" "),SUM(K48,-L48),A1)</f>
        <v>0</v>
      </c>
      <c r="N48" s="192"/>
      <c r="P48" s="44"/>
    </row>
    <row r="49" spans="2:16" x14ac:dyDescent="0.3">
      <c r="B49" s="15">
        <v>29</v>
      </c>
      <c r="C49" s="361" t="str">
        <f>VLOOKUP( $B49, T_Aop[], 5, 1)</f>
        <v>065, dio 069</v>
      </c>
      <c r="D49" s="608" t="str">
        <f>VLOOKUP( $B49, T_Aop[], 6, 1)</f>
        <v xml:space="preserve">      3.4. Ostala finansijska sredstva po amortizovanoj vrijednosti</v>
      </c>
      <c r="E49" s="609"/>
      <c r="F49" s="609"/>
      <c r="G49" s="609"/>
      <c r="H49" s="610"/>
      <c r="I49" s="121">
        <f>VLOOKUP( $B49, T_Aop[], 4, 1)</f>
        <v>29</v>
      </c>
      <c r="J49" s="157"/>
      <c r="K49" s="157"/>
      <c r="L49" s="157"/>
      <c r="M49" s="151">
        <f>IF(AND([0]!Godina=2026,MID(Osnovni_podaci!D20,3,1)="s",Osnovni_podaci!L24=6,Osnovni_podaci!G24=0,MID(Osnovni_podaci!D20,3,1)="s",MID(Osnovni_podaci!D20,8,1)=" "),SUM(K49,-L49),A1)</f>
        <v>0</v>
      </c>
      <c r="N49" s="395"/>
      <c r="P49" s="44"/>
    </row>
    <row r="50" spans="2:16" ht="21.75" customHeight="1" x14ac:dyDescent="0.3">
      <c r="B50" s="15">
        <v>30</v>
      </c>
      <c r="C50" s="362" t="str">
        <f>VLOOKUP( $B50, T_Aop[], 5, 1)</f>
        <v>dio 06</v>
      </c>
      <c r="D50" s="611" t="str">
        <f>VLOOKUP( $B50, T_Aop[], 6, 1)</f>
        <v xml:space="preserve">    4. Finansijska sredstva po fer vrijednosti kroz ostali ukupan rezultat (031+032)</v>
      </c>
      <c r="E50" s="612"/>
      <c r="F50" s="612"/>
      <c r="G50" s="612"/>
      <c r="H50" s="613"/>
      <c r="I50" s="122">
        <f>VLOOKUP( $B50, T_Aop[], 4, 1)</f>
        <v>30</v>
      </c>
      <c r="J50" s="155"/>
      <c r="K50" s="389">
        <f>SUBTOTAL( 9, K51:K52)</f>
        <v>0</v>
      </c>
      <c r="L50" s="389">
        <f>SUBTOTAL( 9, L51:L52)</f>
        <v>0</v>
      </c>
      <c r="M50" s="31">
        <f>IF(AND([0]!Godina=2026,MID(Osnovni_podaci!D20,3,1)="s",Osnovni_podaci!L24=6,Osnovni_podaci!G24=0,MID(Osnovni_podaci!D20,3,1)="s",MID(Osnovni_podaci!D20,8,1)=" "),SUM(K50,-L50),A1)</f>
        <v>0</v>
      </c>
      <c r="N50" s="240">
        <f>IF(AND([0]!Godina=2026,MID(Osnovni_podaci!D20,3,1)="s",Osnovni_podaci!L24=6,Osnovni_podaci!G24=0,MID(Osnovni_podaci!D20,3,1)="s",MID(Osnovni_podaci!D20,8,1)=" "),SUBTOTAL( 9, N51:N52),A1)</f>
        <v>0</v>
      </c>
      <c r="P50" s="44"/>
    </row>
    <row r="51" spans="2:16" x14ac:dyDescent="0.3">
      <c r="B51" s="15">
        <v>31</v>
      </c>
      <c r="C51" s="361" t="str">
        <f>VLOOKUP( $B51, T_Aop[], 5, 1)</f>
        <v>066, dio 069</v>
      </c>
      <c r="D51" s="608" t="str">
        <f>VLOOKUP( $B51, T_Aop[], 6, 1)</f>
        <v xml:space="preserve">      4.1. Vlasnički instrumenti</v>
      </c>
      <c r="E51" s="609"/>
      <c r="F51" s="609"/>
      <c r="G51" s="609"/>
      <c r="H51" s="610"/>
      <c r="I51" s="121">
        <f>VLOOKUP( $B51, T_Aop[], 4, 1)</f>
        <v>31</v>
      </c>
      <c r="J51" s="157"/>
      <c r="K51" s="238"/>
      <c r="L51" s="238"/>
      <c r="M51" s="151">
        <f>IF(AND([0]!Godina=2026,MID(Osnovni_podaci!D20,3,1)="s",Osnovni_podaci!L24=6,Osnovni_podaci!G24=0,MID(Osnovni_podaci!D20,3,1)="s",MID(Osnovni_podaci!D20,8,1)=" "),SUM(K51,-L51),A1)</f>
        <v>0</v>
      </c>
      <c r="N51" s="395"/>
      <c r="P51" s="44"/>
    </row>
    <row r="52" spans="2:16" x14ac:dyDescent="0.3">
      <c r="B52" s="15">
        <v>32</v>
      </c>
      <c r="C52" s="362" t="str">
        <f>VLOOKUP( $B52, T_Aop[], 5, 1)</f>
        <v>067, dio 069</v>
      </c>
      <c r="D52" s="611" t="str">
        <f>VLOOKUP( $B52, T_Aop[], 6, 1)</f>
        <v xml:space="preserve">      4.2. Dužnički instrumenti</v>
      </c>
      <c r="E52" s="612"/>
      <c r="F52" s="612"/>
      <c r="G52" s="612"/>
      <c r="H52" s="613"/>
      <c r="I52" s="122">
        <f>VLOOKUP( $B52, T_Aop[], 4, 1)</f>
        <v>32</v>
      </c>
      <c r="J52" s="155"/>
      <c r="K52" s="155"/>
      <c r="L52" s="155"/>
      <c r="M52" s="152">
        <f>IF(AND([0]!Godina=2026,MID(Osnovni_podaci!D20,3,1)="s",Osnovni_podaci!L24=6,Osnovni_podaci!G24=0,MID(Osnovni_podaci!D20,3,1)="s",MID(Osnovni_podaci!D20,8,1)=" "),SUM(K52,-L52),A1)</f>
        <v>0</v>
      </c>
      <c r="N52" s="396"/>
      <c r="P52" s="44"/>
    </row>
    <row r="53" spans="2:16" x14ac:dyDescent="0.3">
      <c r="B53" s="15">
        <v>33</v>
      </c>
      <c r="C53" s="361" t="str">
        <f>VLOOKUP( $B53, T_Aop[], 5, 1)</f>
        <v>068, dio 069</v>
      </c>
      <c r="D53" s="608" t="str">
        <f>VLOOKUP( $B53, T_Aop[], 6, 1)</f>
        <v xml:space="preserve">    5. Potraživanja po finansijskom lizingu</v>
      </c>
      <c r="E53" s="609"/>
      <c r="F53" s="609"/>
      <c r="G53" s="609"/>
      <c r="H53" s="610"/>
      <c r="I53" s="121">
        <f>VLOOKUP( $B53, T_Aop[], 4, 1)</f>
        <v>33</v>
      </c>
      <c r="J53" s="157"/>
      <c r="K53" s="238"/>
      <c r="L53" s="238"/>
      <c r="M53" s="151">
        <f>IF(AND([0]!Godina=2026,MID(Osnovni_podaci!D20,3,1)="s",Osnovni_podaci!L24=6,Osnovni_podaci!G24=0,MID(Osnovni_podaci!D20,3,1)="s",MID(Osnovni_podaci!D20,8,1)=" "),SUM(K53,-L53),A1)</f>
        <v>0</v>
      </c>
      <c r="N53" s="395"/>
      <c r="P53" s="44"/>
    </row>
    <row r="54" spans="2:16" x14ac:dyDescent="0.3">
      <c r="B54" s="15">
        <v>34</v>
      </c>
      <c r="C54" s="362" t="str">
        <f>VLOOKUP( $B54, T_Aop[], 5, 1)</f>
        <v>07 i 08</v>
      </c>
      <c r="D54" s="619" t="str">
        <f>VLOOKUP( $B54, T_Aop[], 6, 1)</f>
        <v xml:space="preserve">  VII OSTALA DUGOROČNA SREDSTVA I RAZGRANIČENJA</v>
      </c>
      <c r="E54" s="620"/>
      <c r="F54" s="620"/>
      <c r="G54" s="620"/>
      <c r="H54" s="621"/>
      <c r="I54" s="171">
        <f>VLOOKUP( $B54, T_Aop[], 4, 1)</f>
        <v>34</v>
      </c>
      <c r="J54" s="155"/>
      <c r="K54" s="81"/>
      <c r="L54" s="81"/>
      <c r="M54" s="31">
        <f>IF(AND([0]!Godina=2026,MID(Osnovni_podaci!D20,3,1)="s",Osnovni_podaci!L24=6,Osnovni_podaci!G24=0,MID(Osnovni_podaci!D20,3,1)="s",MID(Osnovni_podaci!D20,8,1)=" "),SUM(K54,-L54),A1)</f>
        <v>0</v>
      </c>
      <c r="N54" s="397"/>
      <c r="P54" s="44"/>
    </row>
    <row r="55" spans="2:16" x14ac:dyDescent="0.3">
      <c r="B55" s="15">
        <v>35</v>
      </c>
      <c r="C55" s="361" t="str">
        <f>VLOOKUP( $B55, T_Aop[], 5, 1)</f>
        <v>090</v>
      </c>
      <c r="D55" s="616" t="str">
        <f>VLOOKUP( $B55, T_Aop[], 6, 1)</f>
        <v xml:space="preserve">  B. ODLOŽENA PORESKA SREDSTVA</v>
      </c>
      <c r="E55" s="617"/>
      <c r="F55" s="617"/>
      <c r="G55" s="617"/>
      <c r="H55" s="618"/>
      <c r="I55" s="170">
        <f>VLOOKUP( $B55, T_Aop[], 4, 1)</f>
        <v>35</v>
      </c>
      <c r="J55" s="157"/>
      <c r="K55" s="203"/>
      <c r="L55" s="203"/>
      <c r="M55" s="32">
        <f>IF(AND([0]!Godina=2026,MID(Osnovni_podaci!D20,3,1)="s",Osnovni_podaci!L24=6,Osnovni_podaci!G24=0,MID(Osnovni_podaci!D20,3,1)="s",MID(Osnovni_podaci!D20,8,1)=" "),SUM(K55,-L55),A1)</f>
        <v>0</v>
      </c>
      <c r="N55" s="398"/>
      <c r="P55" s="44"/>
    </row>
    <row r="56" spans="2:16" x14ac:dyDescent="0.3">
      <c r="B56" s="15">
        <v>36</v>
      </c>
      <c r="C56" s="362" t="str">
        <f>VLOOKUP( $B56, T_Aop[], 5, 1)</f>
        <v xml:space="preserve"> </v>
      </c>
      <c r="D56" s="619" t="str">
        <f>VLOOKUP( $B56, T_Aop[], 6, 1)</f>
        <v xml:space="preserve">  V. TEKUĆA SREDSTVA (037+044)</v>
      </c>
      <c r="E56" s="620"/>
      <c r="F56" s="620"/>
      <c r="G56" s="620"/>
      <c r="H56" s="621"/>
      <c r="I56" s="171">
        <f>VLOOKUP( $B56, T_Aop[], 4, 1)</f>
        <v>36</v>
      </c>
      <c r="J56" s="155"/>
      <c r="K56" s="431">
        <f>SUBTOTAL( 9, K57:K85)</f>
        <v>17188098</v>
      </c>
      <c r="L56" s="431">
        <f>SUBTOTAL( 9, L57:L85)</f>
        <v>5229878</v>
      </c>
      <c r="M56" s="431">
        <f>IF(AND([0]!Godina=2026,MID(Osnovni_podaci!D20,3,1)="s",Osnovni_podaci!L24=6,Osnovni_podaci!G24=0,MID(Osnovni_podaci!D20,3,1)="s",MID(Osnovni_podaci!D20,8,1)=" "),SUM(K56,-L56),A1)</f>
        <v>11958220</v>
      </c>
      <c r="N56" s="432">
        <f>IF(AND([0]!Godina=2026,MID(Osnovni_podaci!D20,3,1)="s",Osnovni_podaci!L24=6,Osnovni_podaci!G24=0,MID(Osnovni_podaci!D20,3,1)="s",MID(Osnovni_podaci!D20,8,1)=" "),SUBTOTAL( 9, N57:N85),A1)</f>
        <v>9829153</v>
      </c>
      <c r="P56" s="44"/>
    </row>
    <row r="57" spans="2:16" ht="25.5" customHeight="1" x14ac:dyDescent="0.3">
      <c r="B57" s="15">
        <v>37</v>
      </c>
      <c r="C57" s="361" t="str">
        <f>VLOOKUP( $B57, T_Aop[], 5, 1)</f>
        <v>10 do 15</v>
      </c>
      <c r="D57" s="616" t="str">
        <f>VLOOKUP( $B57, T_Aop[], 6, 1)</f>
        <v xml:space="preserve">  I   ZALIHE, STALNA SREDSTVA NAMIJENJENA PRODAJI I SREDSTVA POSLOVANJA KOJE SE OBUSTAVLJA (038 do 043)</v>
      </c>
      <c r="E57" s="617"/>
      <c r="F57" s="617"/>
      <c r="G57" s="617"/>
      <c r="H57" s="618"/>
      <c r="I57" s="170">
        <f>VLOOKUP( $B57, T_Aop[], 4, 1)</f>
        <v>37</v>
      </c>
      <c r="J57" s="157"/>
      <c r="K57" s="394">
        <f>SUBTOTAL(9,K58:K63)</f>
        <v>915072</v>
      </c>
      <c r="L57" s="393">
        <f>SUBTOTAL(9,L58:L63)</f>
        <v>0</v>
      </c>
      <c r="M57" s="32">
        <f>IF(AND([0]!Godina=2026,MID(Osnovni_podaci!D20,3,1)="s",Osnovni_podaci!L24=6,Osnovni_podaci!G24=0,MID(Osnovni_podaci!D20,3,1)="s",MID(Osnovni_podaci!D20,8,1)=" "),SUM(K57,-L57),A1)</f>
        <v>915072</v>
      </c>
      <c r="N57" s="390">
        <f>IF(AND([0]!Godina=2026,MID(Osnovni_podaci!D20,3,1)="s",Osnovni_podaci!L24=6,Osnovni_podaci!G24=0,MID(Osnovni_podaci!D20,3,1)="s",MID(Osnovni_podaci!D20,8,1)=" "),SUBTOTAL(9,N58:N63),A1)</f>
        <v>1215593</v>
      </c>
      <c r="P57" s="44"/>
    </row>
    <row r="58" spans="2:16" x14ac:dyDescent="0.3">
      <c r="B58" s="15">
        <v>38</v>
      </c>
      <c r="C58" s="362" t="str">
        <f>VLOOKUP( $B58, T_Aop[], 5, 1)</f>
        <v>100 do 109</v>
      </c>
      <c r="D58" s="611" t="str">
        <f>VLOOKUP( $B58, T_Aop[], 6, 1)</f>
        <v xml:space="preserve">    1. Zalihe materijala</v>
      </c>
      <c r="E58" s="612"/>
      <c r="F58" s="612"/>
      <c r="G58" s="612"/>
      <c r="H58" s="613"/>
      <c r="I58" s="122">
        <f>VLOOKUP( $B58, T_Aop[], 4, 1)</f>
        <v>38</v>
      </c>
      <c r="J58" s="155">
        <v>6</v>
      </c>
      <c r="K58" s="155">
        <v>486452</v>
      </c>
      <c r="L58" s="155"/>
      <c r="M58" s="152">
        <f>IF(AND([0]!Godina=2026,MID(Osnovni_podaci!D20,3,1)="s",Osnovni_podaci!L24=6,Osnovni_podaci!G24=0,MID(Osnovni_podaci!D20,3,1)="s",MID(Osnovni_podaci!D20,8,1)=" "),SUM(K58,-L58),A1)</f>
        <v>486452</v>
      </c>
      <c r="N58" s="396">
        <v>466724</v>
      </c>
      <c r="P58" s="44"/>
    </row>
    <row r="59" spans="2:16" x14ac:dyDescent="0.3">
      <c r="B59" s="15">
        <v>39</v>
      </c>
      <c r="C59" s="361" t="str">
        <f>VLOOKUP( $B59, T_Aop[], 5, 1)</f>
        <v>110 do 119</v>
      </c>
      <c r="D59" s="608" t="str">
        <f>VLOOKUP( $B59, T_Aop[], 6, 1)</f>
        <v xml:space="preserve">    2. Zalihe nedovršene proizvodnje, poluproizvoda i nedovršenih usluga</v>
      </c>
      <c r="E59" s="609"/>
      <c r="F59" s="609"/>
      <c r="G59" s="609"/>
      <c r="H59" s="610"/>
      <c r="I59" s="121">
        <f>VLOOKUP( $B59, T_Aop[], 4, 1)</f>
        <v>39</v>
      </c>
      <c r="J59" s="157"/>
      <c r="K59" s="157"/>
      <c r="L59" s="157"/>
      <c r="M59" s="151">
        <f>IF(AND([0]!Godina=2026,MID(Osnovni_podaci!D20,3,1)="s",Osnovni_podaci!L24=6,Osnovni_podaci!G24=0,MID(Osnovni_podaci!D20,3,1)="s",MID(Osnovni_podaci!D20,8,1)=" "),SUM(K59,-L59),A1)</f>
        <v>0</v>
      </c>
      <c r="N59" s="395"/>
      <c r="P59" s="44"/>
    </row>
    <row r="60" spans="2:16" x14ac:dyDescent="0.3">
      <c r="B60" s="15">
        <v>40</v>
      </c>
      <c r="C60" s="362" t="str">
        <f>VLOOKUP( $B60, T_Aop[], 5, 1)</f>
        <v>120 do 129</v>
      </c>
      <c r="D60" s="611" t="str">
        <f>VLOOKUP( $B60, T_Aop[], 6, 1)</f>
        <v xml:space="preserve">    3. Zalihe gotovih proizvoda</v>
      </c>
      <c r="E60" s="612"/>
      <c r="F60" s="612"/>
      <c r="G60" s="612"/>
      <c r="H60" s="613"/>
      <c r="I60" s="122">
        <f>VLOOKUP( $B60, T_Aop[], 4, 1)</f>
        <v>40</v>
      </c>
      <c r="J60" s="155"/>
      <c r="K60" s="155"/>
      <c r="L60" s="155"/>
      <c r="M60" s="152">
        <f>IF(AND([0]!Godina=2026,MID(Osnovni_podaci!D20,3,1)="s",Osnovni_podaci!L24=6,Osnovni_podaci!G24=0,MID(Osnovni_podaci!D20,3,1)="s",MID(Osnovni_podaci!D20,8,1)=" "),SUM(K60,-L60),A1)</f>
        <v>0</v>
      </c>
      <c r="N60" s="396"/>
      <c r="P60" s="44"/>
    </row>
    <row r="61" spans="2:16" s="27" customFormat="1" x14ac:dyDescent="0.3">
      <c r="B61" s="15">
        <v>41</v>
      </c>
      <c r="C61" s="361" t="str">
        <f>VLOOKUP( $B61, T_Aop[], 5, 1)</f>
        <v>130 do 139</v>
      </c>
      <c r="D61" s="608" t="str">
        <f>VLOOKUP( $B61, T_Aop[], 6, 1)</f>
        <v xml:space="preserve">    4. Zalihe robe</v>
      </c>
      <c r="E61" s="609"/>
      <c r="F61" s="609"/>
      <c r="G61" s="609"/>
      <c r="H61" s="610"/>
      <c r="I61" s="121">
        <f>VLOOKUP( $B61, T_Aop[], 4, 1)</f>
        <v>41</v>
      </c>
      <c r="J61" s="157">
        <v>6</v>
      </c>
      <c r="K61" s="157">
        <v>26679</v>
      </c>
      <c r="L61" s="157"/>
      <c r="M61" s="151">
        <f>IF(AND([0]!Godina=2026,MID(Osnovni_podaci!D20,3,1)="s",Osnovni_podaci!L24=6,Osnovni_podaci!G24=0,MID(Osnovni_podaci!D20,3,1)="s",MID(Osnovni_podaci!D20,8,1)=" "),SUM(K61,-L61),A1)</f>
        <v>26679</v>
      </c>
      <c r="N61" s="395">
        <v>22941</v>
      </c>
      <c r="P61" s="174"/>
    </row>
    <row r="62" spans="2:16" x14ac:dyDescent="0.3">
      <c r="B62" s="15">
        <v>42</v>
      </c>
      <c r="C62" s="362" t="str">
        <f>VLOOKUP( $B62, T_Aop[], 5, 1)</f>
        <v>140 do 149</v>
      </c>
      <c r="D62" s="611" t="str">
        <f>VLOOKUP( $B62, T_Aop[], 6, 1)</f>
        <v xml:space="preserve">    5. Stalna sredstva namijenjena prodaji i sredstva poslovanja koje se obustavlja</v>
      </c>
      <c r="E62" s="612"/>
      <c r="F62" s="612"/>
      <c r="G62" s="612"/>
      <c r="H62" s="613"/>
      <c r="I62" s="122">
        <f>VLOOKUP( $B62, T_Aop[], 4, 1)</f>
        <v>42</v>
      </c>
      <c r="J62" s="155"/>
      <c r="K62" s="155"/>
      <c r="L62" s="155"/>
      <c r="M62" s="152">
        <f>IF(AND([0]!Godina=2026,MID(Osnovni_podaci!D20,3,1)="s",Osnovni_podaci!L24=6,Osnovni_podaci!G24=0,MID(Osnovni_podaci!D20,3,1)="s",MID(Osnovni_podaci!D20,8,1)=" "),SUM(K62,-L62),A1)</f>
        <v>0</v>
      </c>
      <c r="N62" s="396"/>
      <c r="P62" s="44"/>
    </row>
    <row r="63" spans="2:16" x14ac:dyDescent="0.3">
      <c r="B63" s="15">
        <v>43</v>
      </c>
      <c r="C63" s="361" t="str">
        <f>VLOOKUP( $B63, T_Aop[], 5, 1)</f>
        <v>150 do 159</v>
      </c>
      <c r="D63" s="608" t="str">
        <f>VLOOKUP( $B63, T_Aop[], 6, 1)</f>
        <v xml:space="preserve">    6. Dati avansi</v>
      </c>
      <c r="E63" s="609"/>
      <c r="F63" s="609"/>
      <c r="G63" s="609"/>
      <c r="H63" s="610"/>
      <c r="I63" s="121">
        <f>VLOOKUP( $B63, T_Aop[], 4, 1)</f>
        <v>43</v>
      </c>
      <c r="J63" s="157">
        <v>6</v>
      </c>
      <c r="K63" s="157">
        <v>401941</v>
      </c>
      <c r="L63" s="157"/>
      <c r="M63" s="151">
        <f>IF(AND([0]!Godina=2026,MID(Osnovni_podaci!D20,3,1)="s",Osnovni_podaci!L24=6,Osnovni_podaci!G24=0,MID(Osnovni_podaci!D20,3,1)="s",MID(Osnovni_podaci!D20,8,1)=" "),SUM(K63,-L63),A1)</f>
        <v>401941</v>
      </c>
      <c r="N63" s="395">
        <v>725928</v>
      </c>
      <c r="P63" s="44"/>
    </row>
    <row r="64" spans="2:16" ht="23.65" customHeight="1" x14ac:dyDescent="0.3">
      <c r="B64" s="15">
        <v>44</v>
      </c>
      <c r="C64" s="362" t="str">
        <f>VLOOKUP( $B64, T_Aop[], 5, 1)</f>
        <v xml:space="preserve"> </v>
      </c>
      <c r="D64" s="619" t="str">
        <f>VLOOKUP( $B64, T_Aop[], 6, 1)</f>
        <v xml:space="preserve">  II  KRATKOROČNA SREDSTVA IZUZEV ZALIHA I STALNIH SREDSTAVA NAMIJENJENIH PRODAJI (045+052+061+064+065)</v>
      </c>
      <c r="E64" s="620"/>
      <c r="F64" s="620"/>
      <c r="G64" s="620"/>
      <c r="H64" s="621"/>
      <c r="I64" s="171">
        <f>VLOOKUP( $B64, T_Aop[], 4, 1)</f>
        <v>44</v>
      </c>
      <c r="J64" s="155"/>
      <c r="K64" s="431">
        <f>SUBTOTAL(9,K65:K85)</f>
        <v>16273026</v>
      </c>
      <c r="L64" s="431">
        <f>SUBTOTAL(9,L65:L85)</f>
        <v>5229878</v>
      </c>
      <c r="M64" s="431">
        <f>IF(AND([0]!Godina=2026,MID(Osnovni_podaci!D20,3,1)="s",Osnovni_podaci!L24=6,Osnovni_podaci!G24=0,MID(Osnovni_podaci!D20,3,1)="s",MID(Osnovni_podaci!D20,8,1)=" "),SUM(K64,-L64),A1)</f>
        <v>11043148</v>
      </c>
      <c r="N64" s="432">
        <f>IF(AND([0]!Godina=2026,MID(Osnovni_podaci!D20,3,1)="s",Osnovni_podaci!L24=6,Osnovni_podaci!G24=0,MID(Osnovni_podaci!D20,3,1)="s",MID(Osnovni_podaci!D20,8,1)=" "),SUBTOTAL(9,N65:N85),A1)</f>
        <v>8613560</v>
      </c>
      <c r="P64" s="44"/>
    </row>
    <row r="65" spans="2:16" x14ac:dyDescent="0.3">
      <c r="B65" s="15">
        <v>45</v>
      </c>
      <c r="C65" s="361" t="str">
        <f>VLOOKUP( $B65, T_Aop[], 5, 1)</f>
        <v xml:space="preserve"> </v>
      </c>
      <c r="D65" s="608" t="str">
        <f>VLOOKUP( $B65, T_Aop[], 6, 1)</f>
        <v xml:space="preserve">    1. Kratkoročna potraživanja (046 do 051)</v>
      </c>
      <c r="E65" s="609"/>
      <c r="F65" s="609"/>
      <c r="G65" s="609"/>
      <c r="H65" s="610"/>
      <c r="I65" s="121">
        <f>VLOOKUP( $B65, T_Aop[], 4, 1)</f>
        <v>45</v>
      </c>
      <c r="J65" s="157"/>
      <c r="K65" s="394">
        <f t="shared" ref="K65:L65" si="0">SUBTOTAL(9,K66:K71)</f>
        <v>11942234</v>
      </c>
      <c r="L65" s="394">
        <f t="shared" si="0"/>
        <v>5229878</v>
      </c>
      <c r="M65" s="394">
        <f>IF(AND([0]!Godina=2026,MID(Osnovni_podaci!D20,3,1)="s",Osnovni_podaci!L24=6,Osnovni_podaci!G24=0,MID(Osnovni_podaci!D20,3,1)="s",MID(Osnovni_podaci!D20,8,1)=" "),SUM(K65,-L65),A1)</f>
        <v>6712356</v>
      </c>
      <c r="N65" s="390">
        <f>IF(AND([0]!Godina=2026,MID(Osnovni_podaci!D20,3,1)="s",Osnovni_podaci!L24=6,Osnovni_podaci!G24=0,MID(Osnovni_podaci!D20,3,1)="s",MID(Osnovni_podaci!D20,8,1)=" "),SUBTOTAL(9,N66:N71),A1)</f>
        <v>5236990</v>
      </c>
      <c r="P65" s="44"/>
    </row>
    <row r="66" spans="2:16" x14ac:dyDescent="0.3">
      <c r="B66" s="15">
        <v>46</v>
      </c>
      <c r="C66" s="362" t="str">
        <f>VLOOKUP( $B66, T_Aop[], 5, 1)</f>
        <v>200, dio 209</v>
      </c>
      <c r="D66" s="611" t="str">
        <f>VLOOKUP( $B66, T_Aop[], 6, 1)</f>
        <v xml:space="preserve">      1.1. Kupci - povezana pravna lica</v>
      </c>
      <c r="E66" s="612"/>
      <c r="F66" s="612"/>
      <c r="G66" s="612"/>
      <c r="H66" s="613"/>
      <c r="I66" s="122">
        <f>VLOOKUP( $B66, T_Aop[], 4, 1)</f>
        <v>46</v>
      </c>
      <c r="J66" s="155">
        <v>7</v>
      </c>
      <c r="K66" s="155">
        <v>3562606</v>
      </c>
      <c r="L66" s="155">
        <v>1434210</v>
      </c>
      <c r="M66" s="152">
        <f>IF(AND([0]!Godina=2026,MID(Osnovni_podaci!D20,3,1)="s",Osnovni_podaci!L24=6,Osnovni_podaci!G24=0,MID(Osnovni_podaci!D20,3,1)="s",MID(Osnovni_podaci!D20,8,1)=" "),SUM(K66,-L66),A1)</f>
        <v>2128396</v>
      </c>
      <c r="N66" s="396">
        <v>2116065</v>
      </c>
      <c r="P66" s="44"/>
    </row>
    <row r="67" spans="2:16" x14ac:dyDescent="0.3">
      <c r="B67" s="15">
        <v>47</v>
      </c>
      <c r="C67" s="361" t="str">
        <f>VLOOKUP( $B67, T_Aop[], 5, 1)</f>
        <v>201, 202, 203, dio 209</v>
      </c>
      <c r="D67" s="608" t="str">
        <f>VLOOKUP( $B67, T_Aop[], 6, 1)</f>
        <v xml:space="preserve">      1.2. Kupci u zemlji</v>
      </c>
      <c r="E67" s="609"/>
      <c r="F67" s="609"/>
      <c r="G67" s="609"/>
      <c r="H67" s="610"/>
      <c r="I67" s="121">
        <f>VLOOKUP( $B67, T_Aop[], 4, 1)</f>
        <v>47</v>
      </c>
      <c r="J67" s="157">
        <v>7</v>
      </c>
      <c r="K67" s="157">
        <v>7940418</v>
      </c>
      <c r="L67" s="157">
        <v>3795668</v>
      </c>
      <c r="M67" s="151">
        <f>IF(AND([0]!Godina=2026,MID(Osnovni_podaci!D20,3,1)="s",Osnovni_podaci!L24=6,Osnovni_podaci!G24=0,MID(Osnovni_podaci!D20,3,1)="s",MID(Osnovni_podaci!D20,8,1)=" "),SUM(K67,-L67),A1)</f>
        <v>4144750</v>
      </c>
      <c r="N67" s="395">
        <v>2618594</v>
      </c>
      <c r="P67" s="44"/>
    </row>
    <row r="68" spans="2:16" x14ac:dyDescent="0.3">
      <c r="B68" s="15">
        <v>48</v>
      </c>
      <c r="C68" s="362" t="str">
        <f>VLOOKUP( $B68, T_Aop[], 5, 1)</f>
        <v>204, dio 209</v>
      </c>
      <c r="D68" s="611" t="str">
        <f>VLOOKUP( $B68, T_Aop[], 6, 1)</f>
        <v xml:space="preserve">      1.3. Kupci iz inostranstva</v>
      </c>
      <c r="E68" s="612"/>
      <c r="F68" s="612"/>
      <c r="G68" s="612"/>
      <c r="H68" s="613"/>
      <c r="I68" s="122">
        <f>VLOOKUP( $B68, T_Aop[], 4, 1)</f>
        <v>48</v>
      </c>
      <c r="J68" s="155">
        <v>7</v>
      </c>
      <c r="K68" s="155"/>
      <c r="L68" s="155"/>
      <c r="M68" s="152">
        <f>IF(AND([0]!Godina=2026,MID(Osnovni_podaci!D20,3,1)="s",Osnovni_podaci!L24=6,Osnovni_podaci!G24=0,MID(Osnovni_podaci!D20,3,1)="s",MID(Osnovni_podaci!D20,8,1)=" "),SUM(K68,-L68),A1)</f>
        <v>0</v>
      </c>
      <c r="N68" s="396"/>
      <c r="P68" s="44"/>
    </row>
    <row r="69" spans="2:16" x14ac:dyDescent="0.3">
      <c r="B69" s="15">
        <v>49</v>
      </c>
      <c r="C69" s="361" t="str">
        <f>VLOOKUP( $B69, T_Aop[], 5, 1)</f>
        <v>grupa 21, osim 214</v>
      </c>
      <c r="D69" s="608" t="str">
        <f>VLOOKUP( $B69, T_Aop[], 6, 1)</f>
        <v xml:space="preserve">      1.4.Potraživanja iz specifičnih poslova</v>
      </c>
      <c r="E69" s="609"/>
      <c r="F69" s="609"/>
      <c r="G69" s="609"/>
      <c r="H69" s="610"/>
      <c r="I69" s="121">
        <f>VLOOKUP( $B69, T_Aop[], 4, 1)</f>
        <v>49</v>
      </c>
      <c r="J69" s="157"/>
      <c r="K69" s="157"/>
      <c r="L69" s="157"/>
      <c r="M69" s="151">
        <f>IF(AND([0]!Godina=2026,MID(Osnovni_podaci!D20,3,1)="s",Osnovni_podaci!L24=6,Osnovni_podaci!G24=0,MID(Osnovni_podaci!D20,3,1)="s",MID(Osnovni_podaci!D20,8,1)=" "),SUM(K69,-L69),A1)</f>
        <v>0</v>
      </c>
      <c r="N69" s="395"/>
      <c r="P69" s="44"/>
    </row>
    <row r="70" spans="2:16" x14ac:dyDescent="0.3">
      <c r="B70" s="15">
        <v>50</v>
      </c>
      <c r="C70" s="362" t="str">
        <f>VLOOKUP( $B70, T_Aop[], 5, 1)</f>
        <v>grupa 22, osim 224</v>
      </c>
      <c r="D70" s="611" t="str">
        <f>VLOOKUP( $B70, T_Aop[], 6, 1)</f>
        <v xml:space="preserve">      1.5. Ostala kratkoročna potraživanja</v>
      </c>
      <c r="E70" s="612"/>
      <c r="F70" s="612"/>
      <c r="G70" s="612"/>
      <c r="H70" s="613"/>
      <c r="I70" s="122">
        <f>VLOOKUP( $B70, T_Aop[], 4, 1)</f>
        <v>50</v>
      </c>
      <c r="J70" s="155">
        <v>7</v>
      </c>
      <c r="K70" s="155">
        <v>439210</v>
      </c>
      <c r="L70" s="155"/>
      <c r="M70" s="152">
        <f>IF(AND([0]!Godina=2026,MID(Osnovni_podaci!D20,3,1)="s",Osnovni_podaci!L24=6,Osnovni_podaci!G24=0,MID(Osnovni_podaci!D20,3,1)="s",MID(Osnovni_podaci!D20,8,1)=" "),SUM(K70,-L70),A1)</f>
        <v>439210</v>
      </c>
      <c r="N70" s="396">
        <v>441859</v>
      </c>
      <c r="P70" s="44"/>
    </row>
    <row r="71" spans="2:16" x14ac:dyDescent="0.3">
      <c r="B71" s="15">
        <v>51</v>
      </c>
      <c r="C71" s="361">
        <f>VLOOKUP( $B71, T_Aop[], 5, 1)</f>
        <v>224</v>
      </c>
      <c r="D71" s="608" t="str">
        <f>VLOOKUP( $B71, T_Aop[], 6, 1)</f>
        <v xml:space="preserve">      1.6. Potraživanja za više plaćen porez na dobit</v>
      </c>
      <c r="E71" s="609"/>
      <c r="F71" s="609"/>
      <c r="G71" s="609"/>
      <c r="H71" s="610"/>
      <c r="I71" s="121">
        <f>VLOOKUP( $B71, T_Aop[], 4, 1)</f>
        <v>51</v>
      </c>
      <c r="J71" s="157"/>
      <c r="K71" s="157"/>
      <c r="L71" s="157"/>
      <c r="M71" s="151">
        <f>IF(AND([0]!Godina=2026,MID(Osnovni_podaci!D20,3,1)="s",Osnovni_podaci!L24=6,Osnovni_podaci!G24=0,MID(Osnovni_podaci!D20,3,1)="s",MID(Osnovni_podaci!D20,8,1)=" "),SUM(K71,-L71),A1)</f>
        <v>0</v>
      </c>
      <c r="N71" s="395">
        <v>60472</v>
      </c>
      <c r="P71" s="44"/>
    </row>
    <row r="72" spans="2:16" x14ac:dyDescent="0.3">
      <c r="B72" s="15">
        <v>52</v>
      </c>
      <c r="C72" s="362" t="str">
        <f>VLOOKUP( $B72, T_Aop[], 5, 1)</f>
        <v xml:space="preserve"> </v>
      </c>
      <c r="D72" s="611" t="str">
        <f>VLOOKUP( $B72, T_Aop[], 6, 1)</f>
        <v xml:space="preserve">    2. Kratkoročni finansijski plasmani ( 053 + 058 + 059 + 060)</v>
      </c>
      <c r="E72" s="612"/>
      <c r="F72" s="612"/>
      <c r="G72" s="612"/>
      <c r="H72" s="613"/>
      <c r="I72" s="122">
        <f>VLOOKUP( $B72, T_Aop[], 4, 1)</f>
        <v>52</v>
      </c>
      <c r="J72" s="155"/>
      <c r="K72" s="389">
        <f>IF(AND([0]!Godina=2026,MID(Osnovni_podaci!D20,3,1)="s",Osnovni_podaci!L24=6,Osnovni_podaci!G24=0,MID(Osnovni_podaci!D20,3,1)="s",MID(Osnovni_podaci!D20,8,1)=" "),SUBTOTAL(9,K73:K80),A1)</f>
        <v>2608750</v>
      </c>
      <c r="L72" s="389">
        <f>SUBTOTAL(9,L73:L80)</f>
        <v>0</v>
      </c>
      <c r="M72" s="389">
        <f>IF(AND([0]!Godina=2026,MID(Osnovni_podaci!D20,3,1)="s",Osnovni_podaci!L24=6,Osnovni_podaci!G24=0,MID(Osnovni_podaci!D20,3,1)="s",MID(Osnovni_podaci!D20,8,1)=" "),SUM(K72,-L72),A1)</f>
        <v>2608750</v>
      </c>
      <c r="N72" s="399">
        <f>IF(AND([0]!Godina=2026,MID(Osnovni_podaci!D20,3,1)="s",Osnovni_podaci!L24=6,Osnovni_podaci!G24=0,MID(Osnovni_podaci!D20,3,1)="s",MID(Osnovni_podaci!D20,8,1)=" "),SUBTOTAL(9,N73:N80),A1)</f>
        <v>2533750</v>
      </c>
      <c r="P72" s="44"/>
    </row>
    <row r="73" spans="2:16" x14ac:dyDescent="0.3">
      <c r="B73" s="15">
        <v>53</v>
      </c>
      <c r="C73" s="361" t="str">
        <f>VLOOKUP( $B73, T_Aop[], 5, 1)</f>
        <v xml:space="preserve"> </v>
      </c>
      <c r="D73" s="608" t="str">
        <f>VLOOKUP( $B73, T_Aop[], 6, 1)</f>
        <v xml:space="preserve">      2.1. Finansijska sredstva po amortizovanoj vrijednosti (054 do 057)</v>
      </c>
      <c r="E73" s="609"/>
      <c r="F73" s="609"/>
      <c r="G73" s="609"/>
      <c r="H73" s="610"/>
      <c r="I73" s="121">
        <f>VLOOKUP( $B73, T_Aop[], 4, 1)</f>
        <v>53</v>
      </c>
      <c r="J73" s="157"/>
      <c r="K73" s="32">
        <f>IF(AND([0]!Godina=2026,MID(Osnovni_podaci!D20,3,1)="s",Osnovni_podaci!L24=6,Osnovni_podaci!G24=0,MID(Osnovni_podaci!D20,3,1)="s",MID(Osnovni_podaci!D20,8,1)=" "),SUBTOTAL(9,K74:K77),A1)</f>
        <v>2608750</v>
      </c>
      <c r="L73" s="32">
        <f>SUBTOTAL(9,L74:L77)</f>
        <v>0</v>
      </c>
      <c r="M73" s="394">
        <f>IF(AND([0]!Godina=2026,MID(Osnovni_podaci!D20,3,1)="s",Osnovni_podaci!L24=6,Osnovni_podaci!G24=0,MID(Osnovni_podaci!D20,3,1)="s",MID(Osnovni_podaci!D20,8,1)=" "),SUM(K73,-L73),A1)</f>
        <v>2608750</v>
      </c>
      <c r="N73" s="400">
        <f>IF(AND([0]!Godina=2026,MID(Osnovni_podaci!D20,3,1)="s",Osnovni_podaci!L24=6,Osnovni_podaci!G24=0,MID(Osnovni_podaci!D20,3,1)="s",MID(Osnovni_podaci!D20,8,1)=" "),SUBTOTAL(9,N74:N77),A1)</f>
        <v>2533750</v>
      </c>
      <c r="P73" s="44"/>
    </row>
    <row r="74" spans="2:16" x14ac:dyDescent="0.3">
      <c r="B74" s="15">
        <v>54</v>
      </c>
      <c r="C74" s="362" t="str">
        <f>VLOOKUP( $B74, T_Aop[], 5, 1)</f>
        <v>230, dio 238</v>
      </c>
      <c r="D74" s="611" t="str">
        <f>VLOOKUP( $B74, T_Aop[], 6, 1)</f>
        <v xml:space="preserve">        a) Kratkoročni krediti povezanim pravnim licima</v>
      </c>
      <c r="E74" s="612"/>
      <c r="F74" s="612"/>
      <c r="G74" s="612"/>
      <c r="H74" s="613"/>
      <c r="I74" s="122">
        <f>VLOOKUP( $B74, T_Aop[], 4, 1)</f>
        <v>54</v>
      </c>
      <c r="J74" s="155"/>
      <c r="K74" s="155"/>
      <c r="L74" s="155"/>
      <c r="M74" s="152">
        <f>IF(AND([0]!Godina=2026,MID(Osnovni_podaci!D20,3,1)="s",Osnovni_podaci!L24=6,Osnovni_podaci!G24=0,MID(Osnovni_podaci!D20,3,1)="s",MID(Osnovni_podaci!D20,8,1)=" "),SUM(K74,-L74),A1)</f>
        <v>0</v>
      </c>
      <c r="N74" s="396"/>
      <c r="P74" s="44"/>
    </row>
    <row r="75" spans="2:16" x14ac:dyDescent="0.3">
      <c r="B75" s="15">
        <v>55</v>
      </c>
      <c r="C75" s="361" t="str">
        <f>VLOOKUP( $B75, T_Aop[], 5, 1)</f>
        <v>231, dio 238</v>
      </c>
      <c r="D75" s="608" t="str">
        <f>VLOOKUP( $B75, T_Aop[], 6, 1)</f>
        <v xml:space="preserve">        b) Kratkoročni krediti u zemlji</v>
      </c>
      <c r="E75" s="609"/>
      <c r="F75" s="609"/>
      <c r="G75" s="609"/>
      <c r="H75" s="610"/>
      <c r="I75" s="121">
        <f>VLOOKUP( $B75, T_Aop[], 4, 1)</f>
        <v>55</v>
      </c>
      <c r="J75" s="157"/>
      <c r="K75" s="157">
        <v>2608750</v>
      </c>
      <c r="L75" s="157"/>
      <c r="M75" s="151">
        <f>IF(AND([0]!Godina=2026,MID(Osnovni_podaci!D20,3,1)="s",Osnovni_podaci!L24=6,Osnovni_podaci!G24=0,MID(Osnovni_podaci!D20,3,1)="s",MID(Osnovni_podaci!D20,8,1)=" "),SUM(K75,-L75),A1)</f>
        <v>2608750</v>
      </c>
      <c r="N75" s="395">
        <v>2533750</v>
      </c>
      <c r="P75" s="44"/>
    </row>
    <row r="76" spans="2:16" x14ac:dyDescent="0.3">
      <c r="B76" s="15">
        <v>56</v>
      </c>
      <c r="C76" s="362" t="str">
        <f>VLOOKUP( $B76, T_Aop[], 5, 1)</f>
        <v>232, dio 238</v>
      </c>
      <c r="D76" s="611" t="str">
        <f>VLOOKUP( $B76, T_Aop[], 6, 1)</f>
        <v xml:space="preserve">        c) Kratkoročni krediti u inostranstvu</v>
      </c>
      <c r="E76" s="612"/>
      <c r="F76" s="612"/>
      <c r="G76" s="612"/>
      <c r="H76" s="613"/>
      <c r="I76" s="122">
        <f>VLOOKUP( $B76, T_Aop[], 4, 1)</f>
        <v>56</v>
      </c>
      <c r="J76" s="155"/>
      <c r="K76" s="155"/>
      <c r="L76" s="155"/>
      <c r="M76" s="152">
        <f>IF(AND([0]!Godina=2026,MID(Osnovni_podaci!D20,3,1)="s",Osnovni_podaci!L24=6,Osnovni_podaci!G24=0,MID(Osnovni_podaci!D20,3,1)="s",MID(Osnovni_podaci!D20,8,1)=" "),SUM(K76,-L76),A1)</f>
        <v>0</v>
      </c>
      <c r="N76" s="396"/>
      <c r="P76" s="44"/>
    </row>
    <row r="77" spans="2:16" x14ac:dyDescent="0.3">
      <c r="B77" s="15">
        <v>57</v>
      </c>
      <c r="C77" s="361" t="str">
        <f>VLOOKUP( $B77, T_Aop[], 5, 1)</f>
        <v>233, dio 238</v>
      </c>
      <c r="D77" s="608" t="str">
        <f>VLOOKUP( $B77, T_Aop[], 6, 1)</f>
        <v xml:space="preserve">        d) Ostala finansijska sredstva po amortizovanoj vrijednosti</v>
      </c>
      <c r="E77" s="609"/>
      <c r="F77" s="609"/>
      <c r="G77" s="609"/>
      <c r="H77" s="610"/>
      <c r="I77" s="121">
        <f>VLOOKUP( $B77, T_Aop[], 4, 1)</f>
        <v>57</v>
      </c>
      <c r="J77" s="157"/>
      <c r="K77" s="157"/>
      <c r="L77" s="157"/>
      <c r="M77" s="151">
        <f>IF(AND([0]!Godina=2026,MID(Osnovni_podaci!D20,3,1)="s",Osnovni_podaci!L24=6,Osnovni_podaci!G24=0,MID(Osnovni_podaci!D20,3,1)="s",MID(Osnovni_podaci!D20,8,1)=" "),SUM(K77,-L77),A1)</f>
        <v>0</v>
      </c>
      <c r="N77" s="395"/>
      <c r="P77" s="44"/>
    </row>
    <row r="78" spans="2:16" x14ac:dyDescent="0.3">
      <c r="B78" s="15">
        <v>58</v>
      </c>
      <c r="C78" s="362" t="str">
        <f>VLOOKUP( $B78, T_Aop[], 5, 1)</f>
        <v>235 i 236</v>
      </c>
      <c r="D78" s="611" t="str">
        <f>VLOOKUP( $B78, T_Aop[], 6, 1)</f>
        <v xml:space="preserve">      2.2. Finansijska sredstva po fer vrijednosti kroz bilans uspjeha</v>
      </c>
      <c r="E78" s="612"/>
      <c r="F78" s="612"/>
      <c r="G78" s="612"/>
      <c r="H78" s="613"/>
      <c r="I78" s="122">
        <f>VLOOKUP( $B78, T_Aop[], 4, 1)</f>
        <v>58</v>
      </c>
      <c r="J78" s="155"/>
      <c r="K78" s="155"/>
      <c r="L78" s="155"/>
      <c r="M78" s="152">
        <f>IF(AND([0]!Godina=2026,MID(Osnovni_podaci!D20,3,1)="s",Osnovni_podaci!L24=6,Osnovni_podaci!G24=0,MID(Osnovni_podaci!D20,3,1)="s",MID(Osnovni_podaci!D20,8,1)=" "),SUM(K78,-L78),A1)</f>
        <v>0</v>
      </c>
      <c r="N78" s="396"/>
      <c r="P78" s="44"/>
    </row>
    <row r="79" spans="2:16" x14ac:dyDescent="0.3">
      <c r="B79" s="15">
        <v>59</v>
      </c>
      <c r="C79" s="361" t="str">
        <f>VLOOKUP( $B79, T_Aop[], 5, 1)</f>
        <v>234, 239</v>
      </c>
      <c r="D79" s="608" t="str">
        <f>VLOOKUP( $B79, T_Aop[], 6, 1)</f>
        <v xml:space="preserve">      2.3. Potraživanje po finansijskom lizingu</v>
      </c>
      <c r="E79" s="609"/>
      <c r="F79" s="609"/>
      <c r="G79" s="609"/>
      <c r="H79" s="610"/>
      <c r="I79" s="121">
        <f>VLOOKUP( $B79, T_Aop[], 4, 1)</f>
        <v>59</v>
      </c>
      <c r="J79" s="157"/>
      <c r="K79" s="157"/>
      <c r="L79" s="157"/>
      <c r="M79" s="151">
        <f>IF(AND([0]!Godina=2026,MID(Osnovni_podaci!D20,3,1)="s",Osnovni_podaci!L24=6,Osnovni_podaci!G24=0,MID(Osnovni_podaci!D20,3,1)="s",MID(Osnovni_podaci!D20,8,1)=" "),SUM(K79,-L79),A1)</f>
        <v>0</v>
      </c>
      <c r="N79" s="395"/>
      <c r="P79" s="44"/>
    </row>
    <row r="80" spans="2:16" x14ac:dyDescent="0.3">
      <c r="B80" s="15">
        <v>60</v>
      </c>
      <c r="C80" s="362">
        <f>VLOOKUP( $B80, T_Aop[], 5, 1)</f>
        <v>214</v>
      </c>
      <c r="D80" s="611" t="str">
        <f>VLOOKUP( $B80, T_Aop[], 6, 1)</f>
        <v xml:space="preserve">      2.4. Derivatna finansijska sredstva</v>
      </c>
      <c r="E80" s="612"/>
      <c r="F80" s="612"/>
      <c r="G80" s="612"/>
      <c r="H80" s="613"/>
      <c r="I80" s="122">
        <f>VLOOKUP( $B80, T_Aop[], 4, 1)</f>
        <v>60</v>
      </c>
      <c r="J80" s="155"/>
      <c r="K80" s="155"/>
      <c r="L80" s="155"/>
      <c r="M80" s="152">
        <f>IF(AND([0]!Godina=2026,MID(Osnovni_podaci!D20,3,1)="s",Osnovni_podaci!L24=6,Osnovni_podaci!G24=0,MID(Osnovni_podaci!D20,3,1)="s",MID(Osnovni_podaci!D20,8,1)=" "),SUM(K80,-L80),A1)</f>
        <v>0</v>
      </c>
      <c r="N80" s="396"/>
      <c r="P80" s="44"/>
    </row>
    <row r="81" spans="2:16" x14ac:dyDescent="0.3">
      <c r="B81" s="15">
        <v>61</v>
      </c>
      <c r="C81" s="361">
        <f>VLOOKUP( $B81, T_Aop[], 5, 1)</f>
        <v>24</v>
      </c>
      <c r="D81" s="608" t="str">
        <f>VLOOKUP( $B81, T_Aop[], 6, 1)</f>
        <v xml:space="preserve">    3. Gotovinski ekvivalenti i gotovina (062 + 063)</v>
      </c>
      <c r="E81" s="609"/>
      <c r="F81" s="609"/>
      <c r="G81" s="609"/>
      <c r="H81" s="610"/>
      <c r="I81" s="121">
        <f>VLOOKUP( $B81, T_Aop[], 4, 1)</f>
        <v>61</v>
      </c>
      <c r="J81" s="157">
        <v>8</v>
      </c>
      <c r="K81" s="32">
        <f>IF(AND([0]!Godina=2026,MID(Osnovni_podaci!D20,3,1)="s",Osnovni_podaci!L24=6,Osnovni_podaci!G24=0,MID(Osnovni_podaci!D20,3,1)="s",MID(Osnovni_podaci!D20,8,1)=" "),SUBTOTAL(9,K82:K83),A1)</f>
        <v>250689</v>
      </c>
      <c r="L81" s="32">
        <f>IF(AND([0]!Godina=2026,MID(Osnovni_podaci!D20,3,1)="s",Osnovni_podaci!L24=6,Osnovni_podaci!G24=0,MID(Osnovni_podaci!D20,3,1)="s",MID(Osnovni_podaci!D20,8,1)=" "),SUBTOTAL(9,L82:L83),A1)</f>
        <v>0</v>
      </c>
      <c r="M81" s="32">
        <f t="shared" ref="M81:M86" si="1">SUM(K81,-L81)</f>
        <v>250689</v>
      </c>
      <c r="N81" s="400">
        <f>SUBTOTAL(9,N82:N83)</f>
        <v>197935</v>
      </c>
      <c r="P81" s="44"/>
    </row>
    <row r="82" spans="2:16" x14ac:dyDescent="0.3">
      <c r="B82" s="15">
        <v>62</v>
      </c>
      <c r="C82" s="362" t="str">
        <f>VLOOKUP( $B82, T_Aop[], 5, 1)</f>
        <v>240, dio 249</v>
      </c>
      <c r="D82" s="611" t="str">
        <f>VLOOKUP( $B82, T_Aop[], 6, 1)</f>
        <v xml:space="preserve">      3.1. Gotovinski ekvivalenti </v>
      </c>
      <c r="E82" s="612"/>
      <c r="F82" s="612"/>
      <c r="G82" s="612"/>
      <c r="H82" s="613"/>
      <c r="I82" s="122">
        <f>VLOOKUP( $B82, T_Aop[], 4, 1)</f>
        <v>62</v>
      </c>
      <c r="J82" s="155"/>
      <c r="K82" s="239"/>
      <c r="L82" s="155"/>
      <c r="M82" s="152">
        <f t="shared" si="1"/>
        <v>0</v>
      </c>
      <c r="N82" s="401"/>
      <c r="P82" s="44"/>
    </row>
    <row r="83" spans="2:16" x14ac:dyDescent="0.3">
      <c r="B83" s="15">
        <v>63</v>
      </c>
      <c r="C83" s="361" t="str">
        <f>VLOOKUP( $B83, T_Aop[], 5, 1)</f>
        <v>241 do 249</v>
      </c>
      <c r="D83" s="608" t="str">
        <f>VLOOKUP( $B83, T_Aop[], 6, 1)</f>
        <v xml:space="preserve">      3.2. Gotovina</v>
      </c>
      <c r="E83" s="609"/>
      <c r="F83" s="609"/>
      <c r="G83" s="609"/>
      <c r="H83" s="610"/>
      <c r="I83" s="121">
        <f>VLOOKUP( $B83, T_Aop[], 4, 1)</f>
        <v>63</v>
      </c>
      <c r="J83" s="157">
        <v>8</v>
      </c>
      <c r="K83" s="430">
        <v>250689</v>
      </c>
      <c r="L83" s="157"/>
      <c r="M83" s="151">
        <f t="shared" si="1"/>
        <v>250689</v>
      </c>
      <c r="N83" s="395">
        <v>197935</v>
      </c>
      <c r="P83" s="44"/>
    </row>
    <row r="84" spans="2:16" x14ac:dyDescent="0.3">
      <c r="B84" s="15">
        <v>64</v>
      </c>
      <c r="C84" s="362" t="str">
        <f>VLOOKUP( $B84, T_Aop[], 5, 1)</f>
        <v>270 do 279</v>
      </c>
      <c r="D84" s="611" t="str">
        <f>VLOOKUP( $B84, T_Aop[], 6, 1)</f>
        <v xml:space="preserve">    4. Porez na dodatu vrijednost</v>
      </c>
      <c r="E84" s="612"/>
      <c r="F84" s="612"/>
      <c r="G84" s="612"/>
      <c r="H84" s="613"/>
      <c r="I84" s="122">
        <f>VLOOKUP( $B84, T_Aop[], 4, 1)</f>
        <v>64</v>
      </c>
      <c r="J84" s="155"/>
      <c r="K84" s="429"/>
      <c r="L84" s="155"/>
      <c r="M84" s="152">
        <f t="shared" si="1"/>
        <v>0</v>
      </c>
      <c r="N84" s="396">
        <v>27881</v>
      </c>
      <c r="P84" s="44"/>
    </row>
    <row r="85" spans="2:16" x14ac:dyDescent="0.3">
      <c r="B85" s="15">
        <v>65</v>
      </c>
      <c r="C85" s="361" t="str">
        <f>VLOOKUP( $B85, T_Aop[], 5, 1)</f>
        <v>280 do 289</v>
      </c>
      <c r="D85" s="608" t="str">
        <f>VLOOKUP( $B85, T_Aop[], 6, 1)</f>
        <v xml:space="preserve">    5. Kratkoročna  razgraničenja</v>
      </c>
      <c r="E85" s="609"/>
      <c r="F85" s="609"/>
      <c r="G85" s="609"/>
      <c r="H85" s="610"/>
      <c r="I85" s="121">
        <f>VLOOKUP( $B85, T_Aop[], 4, 1)</f>
        <v>65</v>
      </c>
      <c r="J85" s="157"/>
      <c r="K85" s="428">
        <v>1471353</v>
      </c>
      <c r="L85" s="157"/>
      <c r="M85" s="151">
        <f t="shared" si="1"/>
        <v>1471353</v>
      </c>
      <c r="N85" s="395">
        <v>617004</v>
      </c>
      <c r="P85" s="44"/>
    </row>
    <row r="86" spans="2:16" x14ac:dyDescent="0.3">
      <c r="B86" s="15">
        <v>66</v>
      </c>
      <c r="C86" s="362"/>
      <c r="D86" s="619" t="str">
        <f>VLOOKUP( $B86, T_Aop[], 6, 1)</f>
        <v xml:space="preserve">  G. BILANSNA AKTIVA (001 + 035 + 036)</v>
      </c>
      <c r="E86" s="620"/>
      <c r="F86" s="620"/>
      <c r="G86" s="620"/>
      <c r="H86" s="621"/>
      <c r="I86" s="172">
        <f>VLOOKUP( $B86, T_Aop[], 4, 1)</f>
        <v>66</v>
      </c>
      <c r="J86" s="155"/>
      <c r="K86" s="31">
        <f>IF(AND([0]!Godina=2026,MID(Osnovni_podaci!D20,3,1)="s",Osnovni_podaci!L24=6,Osnovni_podaci!G24=0,MID(Osnovni_podaci!D20,3,1)="s",MID(Osnovni_podaci!D20,8,1)=" "),SUBTOTAL( 9, K21:K85),A1)</f>
        <v>53831098</v>
      </c>
      <c r="L86" s="31">
        <f>IF(AND([0]!Godina=2026,MID(Osnovni_podaci!D20,3,1)="s",Osnovni_podaci!L24=6,Osnovni_podaci!G24=0,MID(Osnovni_podaci!D20,3,1)="s",MID(Osnovni_podaci!D20,8,1)=" "),SUBTOTAL( 9, L21:L85),A1)</f>
        <v>25907933</v>
      </c>
      <c r="M86" s="81">
        <f t="shared" si="1"/>
        <v>27923165</v>
      </c>
      <c r="N86" s="240">
        <f>SUBTOTAL( 9, N21:N85)</f>
        <v>25282992</v>
      </c>
      <c r="P86" s="44"/>
    </row>
    <row r="87" spans="2:16" x14ac:dyDescent="0.3">
      <c r="B87" s="15">
        <v>67</v>
      </c>
      <c r="C87" s="363" t="str">
        <f>VLOOKUP( $B87, T_Aop[], 5, 1)</f>
        <v>880 do 888</v>
      </c>
      <c r="D87" s="662" t="str">
        <f>VLOOKUP( $B87, T_Aop[], 6, 1)</f>
        <v xml:space="preserve">  D. VANBILANSNA AKTIVA</v>
      </c>
      <c r="E87" s="663"/>
      <c r="F87" s="663"/>
      <c r="G87" s="663"/>
      <c r="H87" s="664"/>
      <c r="I87" s="173">
        <f>VLOOKUP( $B87, T_Aop[], 4, 1)</f>
        <v>67</v>
      </c>
      <c r="J87" s="402"/>
      <c r="K87" s="435"/>
      <c r="L87" s="435"/>
      <c r="M87" s="35">
        <f>SUM(K87,-L87)</f>
        <v>0</v>
      </c>
      <c r="N87" s="436"/>
      <c r="P87" s="44"/>
    </row>
    <row r="88" spans="2:16" x14ac:dyDescent="0.3">
      <c r="C88" s="123"/>
      <c r="D88" s="123"/>
      <c r="E88" s="123"/>
      <c r="F88" s="123"/>
      <c r="G88" s="123"/>
      <c r="H88" s="123"/>
      <c r="I88" s="123"/>
      <c r="J88" s="123"/>
      <c r="K88" s="123"/>
      <c r="L88" s="123"/>
      <c r="M88" s="124"/>
      <c r="N88" s="123"/>
      <c r="P88" s="44"/>
    </row>
    <row r="89" spans="2:16" x14ac:dyDescent="0.3">
      <c r="C89" s="650" t="str">
        <f>Tabele_zaglavlje_Grupa_racuna</f>
        <v>Grupa računa, račun</v>
      </c>
      <c r="D89" s="666" t="str">
        <f>Tabele_zaglavlje_Pozicija</f>
        <v>POZICIJA</v>
      </c>
      <c r="E89" s="667"/>
      <c r="F89" s="667"/>
      <c r="G89" s="667"/>
      <c r="H89" s="668"/>
      <c r="I89" s="676" t="str">
        <f>Tabele_zaglavlje_Oznaka_aop</f>
        <v>Oznaka za AOP</v>
      </c>
      <c r="J89" s="658" t="str">
        <f>Tabele_zaglavlje_Napomena_aop</f>
        <v>Napomena</v>
      </c>
      <c r="K89" s="672"/>
      <c r="L89" s="673"/>
      <c r="M89" s="654" t="str">
        <f>Tabele_zaglavlje_BS_iznos_tekuca</f>
        <v>Iznos na dan bilansa tekuće godine</v>
      </c>
      <c r="N89" s="665" t="str">
        <f>Tabele_zaglavlje_BS_iznos_prethodna</f>
        <v>Iznos na dan bilansa prethodne godine (PS)</v>
      </c>
      <c r="P89" s="44"/>
    </row>
    <row r="90" spans="2:16" ht="39.75" customHeight="1" x14ac:dyDescent="0.3">
      <c r="C90" s="651"/>
      <c r="D90" s="669"/>
      <c r="E90" s="670"/>
      <c r="F90" s="670"/>
      <c r="G90" s="670"/>
      <c r="H90" s="671"/>
      <c r="I90" s="655"/>
      <c r="J90" s="659"/>
      <c r="K90" s="674"/>
      <c r="L90" s="675"/>
      <c r="M90" s="655"/>
      <c r="N90" s="649"/>
      <c r="P90" s="44"/>
    </row>
    <row r="91" spans="2:16" x14ac:dyDescent="0.3">
      <c r="C91" s="24">
        <v>1</v>
      </c>
      <c r="D91" s="644">
        <v>2</v>
      </c>
      <c r="E91" s="645"/>
      <c r="F91" s="645"/>
      <c r="G91" s="645"/>
      <c r="H91" s="646"/>
      <c r="I91" s="235">
        <v>3</v>
      </c>
      <c r="J91" s="241">
        <v>4</v>
      </c>
      <c r="K91" s="404"/>
      <c r="L91" s="405"/>
      <c r="M91" s="234">
        <v>5</v>
      </c>
      <c r="N91" s="26">
        <v>6</v>
      </c>
      <c r="P91" s="44"/>
    </row>
    <row r="92" spans="2:16" ht="22.9" customHeight="1" x14ac:dyDescent="0.3">
      <c r="B92" s="15">
        <v>68</v>
      </c>
      <c r="C92" s="169">
        <f>VLOOKUP( $B92, T_Aop[], 5, 1)</f>
        <v>0</v>
      </c>
      <c r="D92" s="625" t="str">
        <f>IF(AND([0]!Godina=2026,MID(Osnovni_podaci!D20,3,1)="s",Osnovni_podaci!L24=6,Osnovni_podaci!G24=0,MID(Osnovni_podaci!D20,3,1)="s",MID(Osnovni_podaci!D20,8,1)=" "),VLOOKUP( $B92, T_Aop[], 6, 1),A1)</f>
        <v xml:space="preserve">  BILANSNA PASIVA
A. KAPITAL  (102 -110 + 113 - 114 + 115 + 119 + 122 - 123 + 124 - 128 + 131)</v>
      </c>
      <c r="E92" s="626"/>
      <c r="F92" s="626"/>
      <c r="G92" s="626"/>
      <c r="H92" s="627"/>
      <c r="I92" s="170">
        <f>VLOOKUP( $B92, T_Aop[], 4, 1)</f>
        <v>101</v>
      </c>
      <c r="J92" s="427">
        <v>9</v>
      </c>
      <c r="K92" s="604"/>
      <c r="L92" s="605"/>
      <c r="M92" s="522">
        <f>SUBTOTAL( 9, M95:M100,M104,M107:M109, M111:M113,M116:M118,M122) - SUBTOTAL( 9, M102:M103, M114, M120:M121) -SUBTOTAL(9, M105)</f>
        <v>21911658</v>
      </c>
      <c r="N92" s="523">
        <f>SUBTOTAL( 9, N95:N100, N104, N107:N109, N111:N113, N116:N118, N122) - SUBTOTAL( 9, N102:N103, N114, N120:N121)-SUBTOTAL(9,N105)</f>
        <v>20843745</v>
      </c>
      <c r="P92" s="44"/>
    </row>
    <row r="93" spans="2:16" x14ac:dyDescent="0.3">
      <c r="B93" s="15">
        <v>69</v>
      </c>
      <c r="C93" s="357">
        <f>VLOOKUP( $B93, T_Aop[], 5, 1)</f>
        <v>30</v>
      </c>
      <c r="D93" s="634" t="str">
        <f>IF(AND([0]!Godina=2026,MID(Osnovni_podaci!D20,3,1)="s",Osnovni_podaci!L24=6,Osnovni_podaci!G24=0,MID(Osnovni_podaci!D20,3,1)="s",MID(Osnovni_podaci!D20,8,1)=" "),VLOOKUP( $B93, T_Aop[], 6, 1),A1)</f>
        <v xml:space="preserve">  I OSNOVNI KAPITAL (103 + 106 + 107 + 108 + 109)</v>
      </c>
      <c r="E93" s="635"/>
      <c r="F93" s="635"/>
      <c r="G93" s="635"/>
      <c r="H93" s="636"/>
      <c r="I93" s="242">
        <f>VLOOKUP( $B93, T_Aop[], 4, 1)</f>
        <v>102</v>
      </c>
      <c r="J93" s="425"/>
      <c r="K93" s="602"/>
      <c r="L93" s="603"/>
      <c r="M93" s="524">
        <f>SUBTOTAL( 9, M94:M100)</f>
        <v>9603944</v>
      </c>
      <c r="N93" s="525">
        <f>SUBTOTAL( 9, N94:N100)</f>
        <v>9603944</v>
      </c>
      <c r="P93" s="44"/>
    </row>
    <row r="94" spans="2:16" x14ac:dyDescent="0.3">
      <c r="B94" s="15">
        <v>70</v>
      </c>
      <c r="C94" s="358">
        <f>VLOOKUP( $B94, T_Aop[], 5, 1)</f>
        <v>300</v>
      </c>
      <c r="D94" s="608" t="str">
        <f>IF(AND([0]!Godina=2026,MID(Osnovni_podaci!D20,3,1)="s",Osnovni_podaci!L24=6,Osnovni_podaci!G24=0,MID(Osnovni_podaci!D20,3,1)="s",MID(Osnovni_podaci!D20,8,1)=" "),VLOOKUP( $B94, T_Aop[], 6, 1),A1)</f>
        <v xml:space="preserve">    1. Akcijski kapital (104 + 105)</v>
      </c>
      <c r="E94" s="609"/>
      <c r="F94" s="609"/>
      <c r="G94" s="609"/>
      <c r="H94" s="610"/>
      <c r="I94" s="170">
        <f>VLOOKUP( $B94, T_Aop[], 4, 1)</f>
        <v>103</v>
      </c>
      <c r="J94" s="157"/>
      <c r="K94" s="604"/>
      <c r="L94" s="605"/>
      <c r="M94" s="48">
        <f>SUBTOTAL( 9, M95:M96)</f>
        <v>9603944</v>
      </c>
      <c r="N94" s="49">
        <f>SUBTOTAL( 9, N95:N96)</f>
        <v>9603944</v>
      </c>
      <c r="P94" s="44"/>
    </row>
    <row r="95" spans="2:16" x14ac:dyDescent="0.3">
      <c r="B95" s="15">
        <v>71</v>
      </c>
      <c r="C95" s="359"/>
      <c r="D95" s="611" t="str">
        <f>IF(AND([0]!Godina=2026,MID(Osnovni_podaci!D20,3,1)="s",Osnovni_podaci!L24=6,Osnovni_podaci!G24=0,MID(Osnovni_podaci!D20,3,1)="s",MID(Osnovni_podaci!D20,8,1)=" "),VLOOKUP( $B95, T_Aop[], 6, 1),A1)</f>
        <v xml:space="preserve">      1.1. Akcijski kapital - obične akcije </v>
      </c>
      <c r="E95" s="612"/>
      <c r="F95" s="612"/>
      <c r="G95" s="612"/>
      <c r="H95" s="613"/>
      <c r="I95" s="122">
        <f>VLOOKUP( $B95, T_Aop[], 4, 1)</f>
        <v>104</v>
      </c>
      <c r="J95" s="155"/>
      <c r="K95" s="602"/>
      <c r="L95" s="603"/>
      <c r="M95" s="195">
        <v>9603944</v>
      </c>
      <c r="N95" s="196">
        <v>9603944</v>
      </c>
      <c r="P95" s="44"/>
    </row>
    <row r="96" spans="2:16" x14ac:dyDescent="0.3">
      <c r="B96" s="15">
        <v>72</v>
      </c>
      <c r="C96" s="358"/>
      <c r="D96" s="608" t="str">
        <f>IF(AND([0]!Godina=2026,MID(Osnovni_podaci!D20,3,1)="s",Osnovni_podaci!L24=6,Osnovni_podaci!G24=0,MID(Osnovni_podaci!D20,3,1)="s",MID(Osnovni_podaci!D20,8,1)=" "),VLOOKUP( $B96, T_Aop[], 6, 1),A1)</f>
        <v xml:space="preserve">      1.2. Akcijski kapital – povlašćene (prioritetne) akcije</v>
      </c>
      <c r="E96" s="609"/>
      <c r="F96" s="609"/>
      <c r="G96" s="609"/>
      <c r="H96" s="610"/>
      <c r="I96" s="121">
        <f>VLOOKUP( $B96, T_Aop[], 4, 1)</f>
        <v>105</v>
      </c>
      <c r="J96" s="157"/>
      <c r="K96" s="604"/>
      <c r="L96" s="605"/>
      <c r="M96" s="197"/>
      <c r="N96" s="198"/>
      <c r="P96" s="44"/>
    </row>
    <row r="97" spans="2:16" x14ac:dyDescent="0.3">
      <c r="B97" s="15">
        <v>73</v>
      </c>
      <c r="C97" s="359">
        <f>VLOOKUP( $B97, T_Aop[], 5, 1)</f>
        <v>302</v>
      </c>
      <c r="D97" s="611" t="str">
        <f>IF(AND([0]!Godina=2026,MID(Osnovni_podaci!D20,3,1)="s",Osnovni_podaci!L24=6,Osnovni_podaci!G24=0,MID(Osnovni_podaci!D20,3,1)="s",MID(Osnovni_podaci!D20,8,1)=" "),VLOOKUP( $B97, T_Aop[], 6, 1),A1)</f>
        <v xml:space="preserve">    2. Udjeli društva sa ograničenom odgovornošću</v>
      </c>
      <c r="E97" s="612"/>
      <c r="F97" s="612"/>
      <c r="G97" s="612"/>
      <c r="H97" s="613"/>
      <c r="I97" s="122">
        <f>VLOOKUP( $B97, T_Aop[], 4, 1)</f>
        <v>106</v>
      </c>
      <c r="J97" s="155"/>
      <c r="K97" s="602"/>
      <c r="L97" s="603"/>
      <c r="M97" s="195"/>
      <c r="N97" s="196"/>
      <c r="P97" s="44"/>
    </row>
    <row r="98" spans="2:16" x14ac:dyDescent="0.3">
      <c r="B98" s="15">
        <v>74</v>
      </c>
      <c r="C98" s="358">
        <f>VLOOKUP( $B98, T_Aop[], 5, 1)</f>
        <v>304</v>
      </c>
      <c r="D98" s="608" t="str">
        <f>IF(AND([0]!Godina=2026,MID(Osnovni_podaci!D20,3,1)="s",Osnovni_podaci!L24=6,Osnovni_podaci!G24=0,MID(Osnovni_podaci!D20,3,1)="s",MID(Osnovni_podaci!D20,8,1)=" "),VLOOKUP( $B98, T_Aop[], 6, 1),A1)</f>
        <v xml:space="preserve">    3. Ulozi</v>
      </c>
      <c r="E98" s="609"/>
      <c r="F98" s="609"/>
      <c r="G98" s="609"/>
      <c r="H98" s="610"/>
      <c r="I98" s="121">
        <f>VLOOKUP( $B98, T_Aop[], 4, 1)</f>
        <v>107</v>
      </c>
      <c r="J98" s="157"/>
      <c r="K98" s="604"/>
      <c r="L98" s="605"/>
      <c r="M98" s="197"/>
      <c r="N98" s="198"/>
      <c r="P98" s="44"/>
    </row>
    <row r="99" spans="2:16" x14ac:dyDescent="0.3">
      <c r="B99" s="15">
        <v>75</v>
      </c>
      <c r="C99" s="359">
        <f>VLOOKUP( $B99, T_Aop[], 5, 1)</f>
        <v>305</v>
      </c>
      <c r="D99" s="611" t="str">
        <f>IF(AND([0]!Godina=2026,MID(Osnovni_podaci!D20,3,1)="s",Osnovni_podaci!L24=6,Osnovni_podaci!G24=0,MID(Osnovni_podaci!D20,3,1)="s",MID(Osnovni_podaci!D20,8,1)=" "),VLOOKUP( $B99, T_Aop[], 6, 1),A1)</f>
        <v xml:space="preserve">    4. Državni kapital</v>
      </c>
      <c r="E99" s="612"/>
      <c r="F99" s="612"/>
      <c r="G99" s="612"/>
      <c r="H99" s="613"/>
      <c r="I99" s="122">
        <f>VLOOKUP( $B99, T_Aop[], 4, 1)</f>
        <v>108</v>
      </c>
      <c r="J99" s="155"/>
      <c r="K99" s="602"/>
      <c r="L99" s="603"/>
      <c r="M99" s="195"/>
      <c r="N99" s="196"/>
      <c r="P99" s="44"/>
    </row>
    <row r="100" spans="2:16" x14ac:dyDescent="0.3">
      <c r="B100" s="15">
        <v>76</v>
      </c>
      <c r="C100" s="358" t="str">
        <f>IF(AND([0]!Godina=2026,MID(Osnovni_podaci!D20,3,1)="s",Osnovni_podaci!L24=6,Osnovni_podaci!G24=0,MID(Osnovni_podaci!D20,3,1)="s",MID(Osnovni_podaci!D20,8,1)=" "),VLOOKUP( $B100, T_Aop[], 5, 1),A1)</f>
        <v>309</v>
      </c>
      <c r="D100" s="608" t="str">
        <f>IF(AND([0]!Godina=2026,MID(Osnovni_podaci!D20,3,1)="s",Osnovni_podaci!L24=6,Osnovni_podaci!G24=0,MID(Osnovni_podaci!D20,3,1)="s",MID(Osnovni_podaci!D20,8,1)=" "),VLOOKUP( $B100, T_Aop[], 6, 1),A1)</f>
        <v xml:space="preserve">    5. Ostali osnovni kapital</v>
      </c>
      <c r="E100" s="609"/>
      <c r="F100" s="609"/>
      <c r="G100" s="609"/>
      <c r="H100" s="610"/>
      <c r="I100" s="121">
        <f>IF(AND([0]!Godina=2026,MID(Osnovni_podaci!D20,3,1)="s",Osnovni_podaci!L24=6,Osnovni_podaci!G24=0,MID(Osnovni_podaci!D20,3,1)="s",MID(Osnovni_podaci!D20,8,1)=" "),VLOOKUP( $B100, T_Aop[], 4, 1),A1)</f>
        <v>109</v>
      </c>
      <c r="J100" s="157"/>
      <c r="K100" s="604"/>
      <c r="L100" s="605"/>
      <c r="M100" s="197"/>
      <c r="N100" s="198"/>
      <c r="P100" s="44"/>
    </row>
    <row r="101" spans="2:16" x14ac:dyDescent="0.3">
      <c r="B101" s="15">
        <v>77</v>
      </c>
      <c r="C101" s="359">
        <f>IF(AND([0]!Godina=2026,MID(Osnovni_podaci!D20,3,1)="s",Osnovni_podaci!L24=6,Osnovni_podaci!G24=0,MID(Osnovni_podaci!D20,3,1)="s",MID(Osnovni_podaci!D20,8,1)=" "),VLOOKUP( $B101, T_Aop[], 5, 1),A1)</f>
        <v>31</v>
      </c>
      <c r="D101" s="619" t="str">
        <f>IF(AND([0]!Godina=2026,MID(Osnovni_podaci!D20,3,1)="s",Osnovni_podaci!L24=6,Osnovni_podaci!G24=0,MID(Osnovni_podaci!D20,3,1)="s",MID(Osnovni_podaci!D20,8,1)=" "),VLOOKUP( $B101, T_Aop[], 6, 1),A1)</f>
        <v xml:space="preserve">  II OTKUPLJENE SOPSTVENE AKCIJE I UPISANI NEUPLAĆENI KAPITAL (111 + 112)</v>
      </c>
      <c r="E101" s="620"/>
      <c r="F101" s="620"/>
      <c r="G101" s="620"/>
      <c r="H101" s="621"/>
      <c r="I101" s="171">
        <f>IF(AND([0]!Godina=2026,MID(Osnovni_podaci!D20,3,1)="s",Osnovni_podaci!L24=6,Osnovni_podaci!G24=0,MID(Osnovni_podaci!D20,3,1)="s",MID(Osnovni_podaci!D20,8,1)=" "),VLOOKUP( $B101, T_Aop[], 4, 1),A1)</f>
        <v>110</v>
      </c>
      <c r="J101" s="155"/>
      <c r="K101" s="602"/>
      <c r="L101" s="603"/>
      <c r="M101" s="50">
        <f>SUBTOTAL( 9, M102:M103)</f>
        <v>0</v>
      </c>
      <c r="N101" s="51">
        <f>SUBTOTAL( 9, N102:N103)</f>
        <v>0</v>
      </c>
      <c r="P101" s="44"/>
    </row>
    <row r="102" spans="2:16" x14ac:dyDescent="0.3">
      <c r="B102" s="15">
        <v>78</v>
      </c>
      <c r="C102" s="358">
        <f>IF(AND([0]!Godina=2026,MID(Osnovni_podaci!D20,3,1)="s",Osnovni_podaci!L24=6,Osnovni_podaci!G24=0,MID(Osnovni_podaci!D20,3,1)="s",MID(Osnovni_podaci!D20,8,1)=" "),VLOOKUP( $B102, T_Aop[], 5, 1),A1)</f>
        <v>310</v>
      </c>
      <c r="D102" s="608" t="str">
        <f>IF(AND([0]!Godina=2026,MID(Osnovni_podaci!D20,3,1)="s",Osnovni_podaci!L24=6,Osnovni_podaci!G24=0,MID(Osnovni_podaci!D20,3,1)="s",MID(Osnovni_podaci!D20,8,1)=" "),VLOOKUP( $B102, T_Aop[], 6, 1),A1)</f>
        <v xml:space="preserve">    1. Otkupljene sopstvene akcije i udjeli </v>
      </c>
      <c r="E102" s="609"/>
      <c r="F102" s="609"/>
      <c r="G102" s="609"/>
      <c r="H102" s="610"/>
      <c r="I102" s="121">
        <f>IF(AND([0]!Godina=2026,MID(Osnovni_podaci!D20,3,1)="s",Osnovni_podaci!L24=6,Osnovni_podaci!G24=0,MID(Osnovni_podaci!D20,3,1)="s",MID(Osnovni_podaci!D20,8,1)=" "),VLOOKUP( $B102, T_Aop[], 4, 1),A1)</f>
        <v>111</v>
      </c>
      <c r="J102" s="157"/>
      <c r="K102" s="604"/>
      <c r="L102" s="605"/>
      <c r="M102" s="201"/>
      <c r="N102" s="202"/>
      <c r="P102" s="44"/>
    </row>
    <row r="103" spans="2:16" x14ac:dyDescent="0.3">
      <c r="B103" s="15">
        <v>79</v>
      </c>
      <c r="C103" s="359">
        <f>IF(AND([0]!Godina=2026,MID(Osnovni_podaci!D20,3,1)="s",Osnovni_podaci!L24=6,Osnovni_podaci!G24=0,MID(Osnovni_podaci!D20,3,1)="s",MID(Osnovni_podaci!D20,8,1)=" "),VLOOKUP( $B103, T_Aop[], 5, 1),A1)</f>
        <v>311</v>
      </c>
      <c r="D103" s="611" t="str">
        <f>IF(AND([0]!Godina=2026,MID(Osnovni_podaci!D20,3,1)="s",Osnovni_podaci!L24=6,Osnovni_podaci!G24=0,MID(Osnovni_podaci!D20,3,1)="s",MID(Osnovni_podaci!D20,8,1)=" "),VLOOKUP( $B103, T_Aop[], 6, 1),A1)</f>
        <v xml:space="preserve">    2. Upisani neuplaćeni kapital</v>
      </c>
      <c r="E103" s="612"/>
      <c r="F103" s="612"/>
      <c r="G103" s="612"/>
      <c r="H103" s="613"/>
      <c r="I103" s="122">
        <f>IF(AND([0]!Godina=2026,MID(Osnovni_podaci!D20,3,1)="s",Osnovni_podaci!L24=6,Osnovni_podaci!G24=0,MID(Osnovni_podaci!D20,3,1)="s",MID(Osnovni_podaci!D20,8,1)=" "),VLOOKUP( $B103, T_Aop[], 4, 1),A1)</f>
        <v>112</v>
      </c>
      <c r="J103" s="155"/>
      <c r="K103" s="602"/>
      <c r="L103" s="603"/>
      <c r="M103" s="199"/>
      <c r="N103" s="200"/>
      <c r="P103" s="44"/>
    </row>
    <row r="104" spans="2:16" x14ac:dyDescent="0.3">
      <c r="B104" s="15">
        <v>80</v>
      </c>
      <c r="C104" s="358">
        <f>IF(AND([0]!Godina=2026,MID(Osnovni_podaci!D20,3,1)="s",Osnovni_podaci!L24=6,Osnovni_podaci!G24=0,MID(Osnovni_podaci!D20,3,1)="s",MID(Osnovni_podaci!D20,8,1)=" "),VLOOKUP( $B104, T_Aop[], 5, 1),A1)</f>
        <v>320</v>
      </c>
      <c r="D104" s="616" t="str">
        <f>IF(AND([0]!Godina=2026,MID(Osnovni_podaci!D20,3,1)="s",Osnovni_podaci!L24=6,Osnovni_podaci!G24=0,MID(Osnovni_podaci!D20,3,1)="s",MID(Osnovni_podaci!D20,8,1)=" "),VLOOKUP( $B104, T_Aop[], 6, 1),A1)</f>
        <v xml:space="preserve">  III EMISIONA PREMIJA</v>
      </c>
      <c r="E104" s="617"/>
      <c r="F104" s="617"/>
      <c r="G104" s="617"/>
      <c r="H104" s="618"/>
      <c r="I104" s="170">
        <f>IF(AND([0]!Godina=2026,MID(Osnovni_podaci!D20,3,1)="s",Osnovni_podaci!L24=6,Osnovni_podaci!G24=0,MID(Osnovni_podaci!D20,3,1)="s",MID(Osnovni_podaci!D20,8,1)=" "),VLOOKUP( $B104, T_Aop[], 4, 1),A1)</f>
        <v>113</v>
      </c>
      <c r="J104" s="157"/>
      <c r="K104" s="604"/>
      <c r="L104" s="605"/>
      <c r="M104" s="201"/>
      <c r="N104" s="202"/>
      <c r="P104" s="44"/>
    </row>
    <row r="105" spans="2:16" x14ac:dyDescent="0.3">
      <c r="B105" s="15">
        <v>81</v>
      </c>
      <c r="C105" s="359">
        <f>IF(AND([0]!Godina=2026,MID(Osnovni_podaci!D20,3,1)="s",Osnovni_podaci!L24=6,Osnovni_podaci!G24=0,MID(Osnovni_podaci!D20,3,1)="s",MID(Osnovni_podaci!D20,8,1)=" "),VLOOKUP( $B105, T_Aop[], 5, 1),A1)</f>
        <v>321</v>
      </c>
      <c r="D105" s="619" t="str">
        <f>IF(AND([0]!Godina=2026,MID(Osnovni_podaci!D20,3,1)="s",Osnovni_podaci!L24=6,Osnovni_podaci!G24=0,MID(Osnovni_podaci!D20,3,1)="s",MID(Osnovni_podaci!D20,8,1)=" "),VLOOKUP( $B105, T_Aop[], 6, 1),A1)</f>
        <v xml:space="preserve">  IV EMISIONI GUBITAK</v>
      </c>
      <c r="E105" s="620"/>
      <c r="F105" s="620"/>
      <c r="G105" s="620"/>
      <c r="H105" s="621"/>
      <c r="I105" s="171">
        <f>IF(AND([0]!Godina=2026,MID(Osnovni_podaci!D20,3,1)="s",Osnovni_podaci!L24=6,Osnovni_podaci!G24=0,MID(Osnovni_podaci!D20,3,1)="s",MID(Osnovni_podaci!D20,8,1)=" "),VLOOKUP( $B105, T_Aop[], 4, 1),A1)</f>
        <v>114</v>
      </c>
      <c r="J105" s="155"/>
      <c r="K105" s="602"/>
      <c r="L105" s="603"/>
      <c r="M105" s="199"/>
      <c r="N105" s="200"/>
      <c r="P105" s="44"/>
    </row>
    <row r="106" spans="2:16" x14ac:dyDescent="0.3">
      <c r="B106" s="15">
        <v>82</v>
      </c>
      <c r="C106" s="358" t="str">
        <f>IF(AND([0]!Godina=2026,MID(Osnovni_podaci!D20,3,1)="s",Osnovni_podaci!L24=6,Osnovni_podaci!G24=0,MID(Osnovni_podaci!D20,3,1)="s",MID(Osnovni_podaci!D20,8,1)=" "),VLOOKUP( $B106, T_Aop[], 5, 1),A1)</f>
        <v>dio 32</v>
      </c>
      <c r="D106" s="616" t="str">
        <f>IF(AND([0]!Godina=2026,MID(Osnovni_podaci!D20,3,1)="s",Osnovni_podaci!L24=6,Osnovni_podaci!G24=0,MID(Osnovni_podaci!D20,3,1)="s",MID(Osnovni_podaci!D20,8,1)=" "),VLOOKUP( $B106, T_Aop[], 6, 1),A1)</f>
        <v xml:space="preserve">  V REZERVE (116 do 118)</v>
      </c>
      <c r="E106" s="617"/>
      <c r="F106" s="617"/>
      <c r="G106" s="617"/>
      <c r="H106" s="618"/>
      <c r="I106" s="170">
        <f>IF(AND([0]!Godina=2026,MID(Osnovni_podaci!D20,3,1)="s",Osnovni_podaci!L24=6,Osnovni_podaci!G24=0,MID(Osnovni_podaci!D20,3,1)="s",MID(Osnovni_podaci!D20,8,1)=" "),VLOOKUP( $B106, T_Aop[], 4, 1),A1)</f>
        <v>115</v>
      </c>
      <c r="J106" s="157"/>
      <c r="K106" s="604"/>
      <c r="L106" s="605"/>
      <c r="M106" s="48">
        <f>SUBTOTAL( 9, M107:M109)</f>
        <v>274841</v>
      </c>
      <c r="N106" s="49">
        <f>SUBTOTAL( 9, N107:N109)</f>
        <v>273966</v>
      </c>
      <c r="P106" s="44"/>
    </row>
    <row r="107" spans="2:16" x14ac:dyDescent="0.3">
      <c r="B107" s="15">
        <v>83</v>
      </c>
      <c r="C107" s="359">
        <f>IF(AND([0]!Godina=2026,MID(Osnovni_podaci!D20,3,1)="s",Osnovni_podaci!L24=6,Osnovni_podaci!G24=0,MID(Osnovni_podaci!D20,3,1)="s",MID(Osnovni_podaci!D20,8,1)=" "),VLOOKUP( $B107, T_Aop[], 5, 1),A1)</f>
        <v>322</v>
      </c>
      <c r="D107" s="611" t="str">
        <f>IF(AND([0]!Godina=2026,MID(Osnovni_podaci!D20,3,1)="s",Osnovni_podaci!L24=6,Osnovni_podaci!G24=0,MID(Osnovni_podaci!D20,3,1)="s",MID(Osnovni_podaci!D20,8,1)=" "),VLOOKUP( $B107, T_Aop[], 6, 1),A1)</f>
        <v xml:space="preserve">    1. Zakonske rezerve</v>
      </c>
      <c r="E107" s="612"/>
      <c r="F107" s="612"/>
      <c r="G107" s="612"/>
      <c r="H107" s="613"/>
      <c r="I107" s="122">
        <f>IF(AND([0]!Godina=2026,MID(Osnovni_podaci!D20,3,1)="s",Osnovni_podaci!L24=6,Osnovni_podaci!G24=0,MID(Osnovni_podaci!D20,3,1)="s",MID(Osnovni_podaci!D20,8,1)=" "),VLOOKUP( $B107, T_Aop[], 4, 1),A1)</f>
        <v>116</v>
      </c>
      <c r="J107" s="155"/>
      <c r="K107" s="602"/>
      <c r="L107" s="603"/>
      <c r="M107" s="195">
        <v>274841</v>
      </c>
      <c r="N107" s="196">
        <v>273966</v>
      </c>
      <c r="P107" s="44"/>
    </row>
    <row r="108" spans="2:16" x14ac:dyDescent="0.3">
      <c r="B108" s="15">
        <v>84</v>
      </c>
      <c r="C108" s="358">
        <f>IF(AND([0]!Godina=2026,MID(Osnovni_podaci!D20,3,1)="s",Osnovni_podaci!L24=6,Osnovni_podaci!G24=0,MID(Osnovni_podaci!D20,3,1)="s",MID(Osnovni_podaci!D20,8,1)=" "),VLOOKUP( $B108, T_Aop[], 5, 1),A1)</f>
        <v>323</v>
      </c>
      <c r="D108" s="608" t="str">
        <f>IF(AND([0]!Godina=2026,MID(Osnovni_podaci!D20,3,1)="s",Osnovni_podaci!L24=6,Osnovni_podaci!G24=0,MID(Osnovni_podaci!D20,3,1)="s",MID(Osnovni_podaci!D20,8,1)=" "),VLOOKUP( $B108, T_Aop[], 6, 1),A1)</f>
        <v xml:space="preserve">    2. Statutarne rezerve</v>
      </c>
      <c r="E108" s="609"/>
      <c r="F108" s="609"/>
      <c r="G108" s="609"/>
      <c r="H108" s="610"/>
      <c r="I108" s="121">
        <f>IF(AND([0]!Godina=2026,MID(Osnovni_podaci!D20,3,1)="s",Osnovni_podaci!L24=6,Osnovni_podaci!G24=0,MID(Osnovni_podaci!D20,3,1)="s",MID(Osnovni_podaci!D20,8,1)=" "),VLOOKUP( $B108, T_Aop[], 4, 1),A1)</f>
        <v>117</v>
      </c>
      <c r="J108" s="157"/>
      <c r="K108" s="604"/>
      <c r="L108" s="605"/>
      <c r="M108" s="159"/>
      <c r="N108" s="395"/>
      <c r="P108" s="44"/>
    </row>
    <row r="109" spans="2:16" x14ac:dyDescent="0.3">
      <c r="B109" s="15">
        <v>85</v>
      </c>
      <c r="C109" s="359">
        <f>IF(AND([0]!Godina=2026,MID(Osnovni_podaci!D20,3,1)="s",Osnovni_podaci!L24=6,Osnovni_podaci!G24=0,MID(Osnovni_podaci!D20,3,1)="s",MID(Osnovni_podaci!D20,8,1)=" "),VLOOKUP( $B109, T_Aop[], 5, 1),A1)</f>
        <v>329</v>
      </c>
      <c r="D109" s="611" t="str">
        <f>IF(AND([0]!Godina=2026,MID(Osnovni_podaci!D20,3,1)="s",Osnovni_podaci!L24=6,Osnovni_podaci!G24=0,MID(Osnovni_podaci!D20,3,1)="s",MID(Osnovni_podaci!D20,8,1)=" "),VLOOKUP( $B109, T_Aop[], 6, 1),A1)</f>
        <v xml:space="preserve">    3. Ostale rezerve</v>
      </c>
      <c r="E109" s="612"/>
      <c r="F109" s="612"/>
      <c r="G109" s="612"/>
      <c r="H109" s="613"/>
      <c r="I109" s="122">
        <f>IF(AND([0]!Godina=2026,MID(Osnovni_podaci!D20,3,1)="s",Osnovni_podaci!L24=6,Osnovni_podaci!G24=0,MID(Osnovni_podaci!D20,3,1)="s",MID(Osnovni_podaci!D20,8,1)=" "),VLOOKUP( $B109, T_Aop[], 4, 1),A1)</f>
        <v>118</v>
      </c>
      <c r="J109" s="155"/>
      <c r="K109" s="602"/>
      <c r="L109" s="603"/>
      <c r="M109" s="195"/>
      <c r="N109" s="396"/>
      <c r="P109" s="44"/>
    </row>
    <row r="110" spans="2:16" ht="11.25" customHeight="1" x14ac:dyDescent="0.3">
      <c r="B110" s="15">
        <v>86</v>
      </c>
      <c r="C110" s="358" t="str">
        <f>IF(AND([0]!Godina=2026,MID(Osnovni_podaci!D20,3,1)="s",Osnovni_podaci!L24=6,Osnovni_podaci!G24=0,MID(Osnovni_podaci!D20,3,1)="s",MID(Osnovni_podaci!D20,8,1)=" "),VLOOKUP( $B110, T_Aop[], 5, 1),A1)</f>
        <v>dio 33</v>
      </c>
      <c r="D110" s="616" t="str">
        <f>IF(AND([0]!Godina=2026,MID(Osnovni_podaci!D20,3,1)="s",Osnovni_podaci!L24=6,Osnovni_podaci!G24=0,MID(Osnovni_podaci!D20,3,1)="s",MID(Osnovni_podaci!D20,8,1)=" "),VLOOKUP( $B110, T_Aop[], 6, 1),A1)</f>
        <v xml:space="preserve">   VI REVALORIZACIONE REZERVE (120 + 121)</v>
      </c>
      <c r="E110" s="617"/>
      <c r="F110" s="617"/>
      <c r="G110" s="617"/>
      <c r="H110" s="618"/>
      <c r="I110" s="170">
        <f>IF(AND([0]!Godina=2026,MID(Osnovni_podaci!D20,3,1)="s",Osnovni_podaci!L24=6,Osnovni_podaci!G24=0,MID(Osnovni_podaci!D20,3,1)="s",MID(Osnovni_podaci!D20,8,1)=" "),VLOOKUP( $B110, T_Aop[], 4, 1),A1)</f>
        <v>119</v>
      </c>
      <c r="J110" s="157"/>
      <c r="K110" s="604"/>
      <c r="L110" s="605"/>
      <c r="M110" s="48">
        <f>SUBTOTAL( 9, M111:M112)</f>
        <v>6146918</v>
      </c>
      <c r="N110" s="400">
        <f>SUBTOTAL( 9, N111:N112)</f>
        <v>6146918</v>
      </c>
      <c r="P110" s="44"/>
    </row>
    <row r="111" spans="2:16" x14ac:dyDescent="0.3">
      <c r="B111" s="15">
        <v>87</v>
      </c>
      <c r="C111" s="359">
        <f>IF(AND([0]!Godina=2026,MID(Osnovni_podaci!D20,3,1)="s",Osnovni_podaci!L24=6,Osnovni_podaci!G24=0,MID(Osnovni_podaci!D20,3,1)="s",MID(Osnovni_podaci!D20,8,1)=" "),VLOOKUP( $B111, T_Aop[], 5, 1),A1)</f>
        <v>330</v>
      </c>
      <c r="D111" s="611" t="str">
        <f>IF(AND([0]!Godina=2026,MID(Osnovni_podaci!D20,3,1)="s",Osnovni_podaci!L24=6,Osnovni_podaci!G24=0,MID(Osnovni_podaci!D20,3,1)="s",MID(Osnovni_podaci!D20,8,1)=" "),VLOOKUP( $B111, T_Aop[], 6, 1),A1)</f>
        <v xml:space="preserve">    1. Revalorizacione rezerve za nekretnine, postrojenja, opremu i nematerijalna sredstva</v>
      </c>
      <c r="E111" s="612"/>
      <c r="F111" s="612"/>
      <c r="G111" s="612"/>
      <c r="H111" s="613"/>
      <c r="I111" s="122">
        <f>IF(AND([0]!Godina=2026,MID(Osnovni_podaci!D20,3,1)="s",Osnovni_podaci!L24=6,Osnovni_podaci!G24=0,MID(Osnovni_podaci!D20,3,1)="s",MID(Osnovni_podaci!D20,8,1)=" "),VLOOKUP( $B111, T_Aop[], 4, 1),A1)</f>
        <v>120</v>
      </c>
      <c r="J111" s="155"/>
      <c r="K111" s="602"/>
      <c r="L111" s="603"/>
      <c r="M111" s="195">
        <v>6146918</v>
      </c>
      <c r="N111" s="396">
        <v>6146918</v>
      </c>
      <c r="P111" s="44"/>
    </row>
    <row r="112" spans="2:16" x14ac:dyDescent="0.3">
      <c r="B112" s="15">
        <v>88</v>
      </c>
      <c r="C112" s="358" t="str">
        <f>IF(AND([0]!Godina=2026,MID(Osnovni_podaci!D20,3,1)="s",Osnovni_podaci!L24=6,Osnovni_podaci!G24=0,MID(Osnovni_podaci!D20,3,1)="s",MID(Osnovni_podaci!D20,8,1)=" "),VLOOKUP( $B112, T_Aop[], 5, 1),A1)</f>
        <v>331 i 334</v>
      </c>
      <c r="D112" s="608" t="str">
        <f>IF(AND([0]!Godina=2026,MID(Osnovni_podaci!D20,3,1)="s",Osnovni_podaci!L24=6,Osnovni_podaci!G24=0,MID(Osnovni_podaci!D20,3,1)="s",MID(Osnovni_podaci!D20,8,1)=" "),VLOOKUP( $B112, T_Aop[], 6, 1),A1)</f>
        <v xml:space="preserve">    2. Ostale revalorizacione rezerve</v>
      </c>
      <c r="E112" s="609"/>
      <c r="F112" s="609"/>
      <c r="G112" s="609"/>
      <c r="H112" s="610"/>
      <c r="I112" s="121">
        <f>IF(AND([0]!Godina=2026,MID(Osnovni_podaci!D20,3,1)="s",Osnovni_podaci!L24=6,Osnovni_podaci!G24=0,MID(Osnovni_podaci!D20,3,1)="s",MID(Osnovni_podaci!D20,8,1)=" "),VLOOKUP( $B112, T_Aop[], 4, 1),A1)</f>
        <v>121</v>
      </c>
      <c r="J112" s="157"/>
      <c r="K112" s="604"/>
      <c r="L112" s="605"/>
      <c r="M112" s="197"/>
      <c r="N112" s="395"/>
      <c r="P112" s="44"/>
    </row>
    <row r="113" spans="2:16" ht="21" customHeight="1" x14ac:dyDescent="0.3">
      <c r="B113" s="15">
        <v>89</v>
      </c>
      <c r="C113" s="359">
        <f>IF(AND([0]!Godina=2026,MID(Osnovni_podaci!D20,3,1)="s",Osnovni_podaci!L24=6,Osnovni_podaci!G24=0,MID(Osnovni_podaci!D20,3,1)="s",MID(Osnovni_podaci!D20,8,1)=" "),VLOOKUP( $B113, T_Aop[], 5, 1),A1)</f>
        <v>332</v>
      </c>
      <c r="D113" s="622" t="str">
        <f>IF(AND([0]!Godina=2026,MID(Osnovni_podaci!D20,3,1)="s",Osnovni_podaci!L24=6,Osnovni_podaci!G24=0,MID(Osnovni_podaci!D20,3,1)="s",MID(Osnovni_podaci!D20,8,1)=" "),VLOOKUP( $B113, T_Aop[], 6, 1),A1)</f>
        <v xml:space="preserve">  VII POZITIVNI EFEKTI VREDNOVANJA FINANSIJSKIH SREDSTAVA KOJA SE VREDNUJU PO FER VRIJEDNOSTI KROZ OSTALI UKUPNI REZULTAT</v>
      </c>
      <c r="E113" s="623"/>
      <c r="F113" s="623"/>
      <c r="G113" s="623"/>
      <c r="H113" s="624"/>
      <c r="I113" s="171">
        <f>IF(AND([0]!Godina=2026,MID(Osnovni_podaci!D20,3,1)="s",Osnovni_podaci!L24=6,Osnovni_podaci!G24=0,MID(Osnovni_podaci!D20,3,1)="s",MID(Osnovni_podaci!D20,8,1)=" "),VLOOKUP( $B113, T_Aop[], 4, 1),A1)</f>
        <v>122</v>
      </c>
      <c r="J113" s="155"/>
      <c r="K113" s="602"/>
      <c r="L113" s="603"/>
      <c r="M113" s="199"/>
      <c r="N113" s="397"/>
      <c r="P113" s="44"/>
    </row>
    <row r="114" spans="2:16" ht="23.65" customHeight="1" x14ac:dyDescent="0.3">
      <c r="B114" s="15">
        <v>90</v>
      </c>
      <c r="C114" s="358">
        <f>IF(AND([0]!Godina=2026,MID(Osnovni_podaci!D20,3,1)="s",Osnovni_podaci!L24=6,Osnovni_podaci!G24=0,MID(Osnovni_podaci!D20,3,1)="s",MID(Osnovni_podaci!D20,8,1)=" "),VLOOKUP( $B114, T_Aop[], 5, 1),A1)</f>
        <v>333</v>
      </c>
      <c r="D114" s="625" t="str">
        <f>IF(AND([0]!Godina=2026,MID(Osnovni_podaci!D20,3,1)="s",Osnovni_podaci!L24=6,Osnovni_podaci!G24=0,MID(Osnovni_podaci!D20,3,1)="s",MID(Osnovni_podaci!D20,8,1)=" "),VLOOKUP( $B114, T_Aop[], 6, 1),A1)</f>
        <v xml:space="preserve">  VIII NEGATIVNI EFEKTI VREDNOVANJA FINANSIJSKIH SREDSTAVA KOJA SE VREDNUJU PO FER VRIJEDNOSTI KROZ OSTALI UKUPNI REZULTAT</v>
      </c>
      <c r="E114" s="626"/>
      <c r="F114" s="626"/>
      <c r="G114" s="626"/>
      <c r="H114" s="627"/>
      <c r="I114" s="170">
        <f>IF(AND([0]!Godina=2026,MID(Osnovni_podaci!D20,3,1)="s",Osnovni_podaci!L24=6,Osnovni_podaci!G24=0,MID(Osnovni_podaci!D20,3,1)="s",MID(Osnovni_podaci!D20,8,1)=" "),VLOOKUP( $B114, T_Aop[], 4, 1),A1)</f>
        <v>123</v>
      </c>
      <c r="J114" s="157"/>
      <c r="K114" s="604"/>
      <c r="L114" s="605"/>
      <c r="M114" s="201"/>
      <c r="N114" s="398"/>
      <c r="P114" s="44"/>
    </row>
    <row r="115" spans="2:16" x14ac:dyDescent="0.3">
      <c r="B115" s="15">
        <v>91</v>
      </c>
      <c r="C115" s="359">
        <f>IF(AND([0]!Godina=2026,MID(Osnovni_podaci!D20,3,1)="s",Osnovni_podaci!L24=6,Osnovni_podaci!G24=0,MID(Osnovni_podaci!D20,3,1)="s",MID(Osnovni_podaci!D20,8,1)=" "),VLOOKUP( $B115, T_Aop[], 5, 1),A1)</f>
        <v>34</v>
      </c>
      <c r="D115" s="619" t="str">
        <f>IF(AND([0]!Godina=2026,MID(Osnovni_podaci!D20,3,1)="s",Osnovni_podaci!L24=6,Osnovni_podaci!G24=0,MID(Osnovni_podaci!D20,3,1)="s",MID(Osnovni_podaci!D20,8,1)=" "),VLOOKUP( $B115, T_Aop[], 6, 1),A1)</f>
        <v xml:space="preserve">  IX  NERASPOREĐENA DOBIT (125 do 127)</v>
      </c>
      <c r="E115" s="620"/>
      <c r="F115" s="620"/>
      <c r="G115" s="620"/>
      <c r="H115" s="621"/>
      <c r="I115" s="171">
        <f>IF(AND([0]!Godina=2026,MID(Osnovni_podaci!D20,3,1)="s",Osnovni_podaci!L24=6,Osnovni_podaci!G24=0,MID(Osnovni_podaci!D20,3,1)="s",MID(Osnovni_podaci!D20,8,1)=" "),VLOOKUP( $B115, T_Aop[], 4, 1),A1)</f>
        <v>124</v>
      </c>
      <c r="J115" s="155"/>
      <c r="K115" s="602"/>
      <c r="L115" s="603"/>
      <c r="M115" s="50">
        <f>SUBTOTAL( 9, M116:M118)</f>
        <v>5885955</v>
      </c>
      <c r="N115" s="240">
        <f>SUBTOTAL( 9, N116:N118)</f>
        <v>4818917</v>
      </c>
      <c r="P115" s="44"/>
    </row>
    <row r="116" spans="2:16" ht="12" customHeight="1" x14ac:dyDescent="0.3">
      <c r="B116" s="15">
        <v>92</v>
      </c>
      <c r="C116" s="358" t="str">
        <f>IF(AND([0]!Godina=2026,MID(Osnovni_podaci!D20,3,1)="s",Osnovni_podaci!L24=6,Osnovni_podaci!G24=0,MID(Osnovni_podaci!D20,3,1)="s",MID(Osnovni_podaci!D20,8,1)=" "),VLOOKUP( $B116, T_Aop[], 5, 1),A1)</f>
        <v>340 ili 342</v>
      </c>
      <c r="D116" s="628" t="str">
        <f>IF(AND([0]!Godina=2026,MID(Osnovni_podaci!D20,3,1)="s",Osnovni_podaci!L24=6,Osnovni_podaci!G24=0,MID(Osnovni_podaci!D20,3,1)="s",MID(Osnovni_podaci!D20,8,1)=" "),VLOOKUP( $B116, T_Aop[], 6, 1),A1)</f>
        <v xml:space="preserve">    1. Neraspoređena dobit ranijih godina / Neraspoređeni višak prihoda nad rashodima ranijih godina</v>
      </c>
      <c r="E116" s="629"/>
      <c r="F116" s="629"/>
      <c r="G116" s="629"/>
      <c r="H116" s="630"/>
      <c r="I116" s="121">
        <f>IF(AND([0]!Godina=2026,MID(Osnovni_podaci!D20,3,1)="s",Osnovni_podaci!L24=6,Osnovni_podaci!G24=0,MID(Osnovni_podaci!D20,3,1)="s",MID(Osnovni_podaci!D20,8,1)=" "),VLOOKUP( $B116, T_Aop[], 4, 1),A1)</f>
        <v>125</v>
      </c>
      <c r="J116" s="157"/>
      <c r="K116" s="604"/>
      <c r="L116" s="605"/>
      <c r="M116" s="197">
        <v>4818042</v>
      </c>
      <c r="N116" s="395">
        <v>4801420</v>
      </c>
      <c r="P116" s="44"/>
    </row>
    <row r="117" spans="2:16" ht="12" customHeight="1" x14ac:dyDescent="0.3">
      <c r="B117" s="15">
        <v>93</v>
      </c>
      <c r="C117" s="359" t="str">
        <f>IF(AND([0]!Godina=2026,MID(Osnovni_podaci!D20,3,1)="s",Osnovni_podaci!L24=6,Osnovni_podaci!G24=0,MID(Osnovni_podaci!D20,3,1)="s",MID(Osnovni_podaci!D20,8,1)=" "),VLOOKUP( $B117, T_Aop[], 5, 1),A1)</f>
        <v>341 ili 343</v>
      </c>
      <c r="D117" s="631" t="str">
        <f>IF(AND([0]!Godina=2026,MID(Osnovni_podaci!D20,3,1)="s",Osnovni_podaci!L24=6,Osnovni_podaci!G24=0,MID(Osnovni_podaci!D20,3,1)="s",MID(Osnovni_podaci!D20,8,1)=" "),VLOOKUP( $B117, T_Aop[], 6, 1),A1)</f>
        <v xml:space="preserve">    2. Neraspoređena dobit tekuće godine / Neraspoređeni višak prihoda nad rashodima tekuće godine</v>
      </c>
      <c r="E117" s="632"/>
      <c r="F117" s="632"/>
      <c r="G117" s="632"/>
      <c r="H117" s="633"/>
      <c r="I117" s="122">
        <f>IF(AND([0]!Godina=2026,MID(Osnovni_podaci!D20,3,1)="s",Osnovni_podaci!L24=6,Osnovni_podaci!G24=0,MID(Osnovni_podaci!D20,3,1)="s",MID(Osnovni_podaci!D20,8,1)=" "),VLOOKUP( $B117, T_Aop[], 4, 1),A1)</f>
        <v>126</v>
      </c>
      <c r="J117" s="155"/>
      <c r="K117" s="602"/>
      <c r="L117" s="603"/>
      <c r="M117" s="195">
        <v>1067913</v>
      </c>
      <c r="N117" s="396">
        <v>17497</v>
      </c>
      <c r="P117" s="44"/>
    </row>
    <row r="118" spans="2:16" x14ac:dyDescent="0.3">
      <c r="B118" s="15">
        <v>94</v>
      </c>
      <c r="C118" s="358">
        <f>IF(AND([0]!Godina=2026,MID(Osnovni_podaci!D20,3,1)="s",Osnovni_podaci!L24=6,Osnovni_podaci!G24=0,MID(Osnovni_podaci!D20,3,1)="s",MID(Osnovni_podaci!D20,8,1)=" "),VLOOKUP( $B118, T_Aop[], 5, 1),A1)</f>
        <v>344</v>
      </c>
      <c r="D118" s="608" t="str">
        <f>IF(AND([0]!Godina=2026,MID(Osnovni_podaci!D20,3,1)="s",Osnovni_podaci!L24=6,Osnovni_podaci!G24=0,MID(Osnovni_podaci!D20,3,1)="s",MID(Osnovni_podaci!D20,8,1)=" "),VLOOKUP( $B118, T_Aop[], 6, 1),A1)</f>
        <v xml:space="preserve">    3. Neto prihod od samostalne djelatnosti</v>
      </c>
      <c r="E118" s="609"/>
      <c r="F118" s="609"/>
      <c r="G118" s="609"/>
      <c r="H118" s="610"/>
      <c r="I118" s="121">
        <f>IF(AND([0]!Godina=2026,MID(Osnovni_podaci!D20,3,1)="s",Osnovni_podaci!L24=6,Osnovni_podaci!G24=0,MID(Osnovni_podaci!D20,3,1)="s",MID(Osnovni_podaci!D20,8,1)=" "),VLOOKUP( $B118, T_Aop[], 4, 1),A1)</f>
        <v>127</v>
      </c>
      <c r="J118" s="157"/>
      <c r="K118" s="604"/>
      <c r="L118" s="605"/>
      <c r="M118" s="197"/>
      <c r="N118" s="395"/>
      <c r="P118" s="44"/>
    </row>
    <row r="119" spans="2:16" x14ac:dyDescent="0.3">
      <c r="B119" s="15">
        <v>95</v>
      </c>
      <c r="C119" s="359" t="str">
        <f>IF(AND([0]!Godina=2026,MID(Osnovni_podaci!D20,3,1)="s",Osnovni_podaci!L24=6,Osnovni_podaci!G24=0,MID(Osnovni_podaci!D20,3,1)="s",MID(Osnovni_podaci!D20,8,1)=" "),VLOOKUP( $B119, T_Aop[], 5, 1),A1)</f>
        <v>35</v>
      </c>
      <c r="D119" s="619" t="str">
        <f>IF(AND([0]!Godina=2026,MID(Osnovni_podaci!D20,3,1)="s",Osnovni_podaci!L24=6,Osnovni_podaci!G24=0,MID(Osnovni_podaci!D20,3,1)="s",MID(Osnovni_podaci!D20,8,1)=" "),VLOOKUP( $B119, T_Aop[], 6, 1),A1)</f>
        <v xml:space="preserve">  X GUBITAK (129 + 130)  </v>
      </c>
      <c r="E119" s="620"/>
      <c r="F119" s="620"/>
      <c r="G119" s="620"/>
      <c r="H119" s="621"/>
      <c r="I119" s="171">
        <f>IF(AND([0]!Godina=2026,MID(Osnovni_podaci!D20,3,1)="s",Osnovni_podaci!L24=6,Osnovni_podaci!G24=0,MID(Osnovni_podaci!D20,3,1)="s",MID(Osnovni_podaci!D20,8,1)=" "),VLOOKUP( $B119, T_Aop[], 4, 1),A1)</f>
        <v>128</v>
      </c>
      <c r="J119" s="155"/>
      <c r="K119" s="602"/>
      <c r="L119" s="603"/>
      <c r="M119" s="50">
        <f>SUBTOTAL( 9, M120:M121)</f>
        <v>0</v>
      </c>
      <c r="N119" s="240">
        <f>SUBTOTAL( 9, N120:N121)</f>
        <v>0</v>
      </c>
      <c r="P119" s="44"/>
    </row>
    <row r="120" spans="2:16" x14ac:dyDescent="0.3">
      <c r="B120" s="15">
        <v>96</v>
      </c>
      <c r="C120" s="358" t="str">
        <f>IF(AND([0]!Godina=2026,MID(Osnovni_podaci!D20,3,1)="s",Osnovni_podaci!L24=6,Osnovni_podaci!G24=0,MID(Osnovni_podaci!D20,3,1)="s",MID(Osnovni_podaci!D20,8,1)=" "),VLOOKUP( $B120, T_Aop[], 5, 1),A1)</f>
        <v>350 ili 352</v>
      </c>
      <c r="D120" s="608" t="str">
        <f>IF(AND([0]!Godina=2026,MID(Osnovni_podaci!D20,3,1)="s",Osnovni_podaci!L24=6,Osnovni_podaci!G24=0,MID(Osnovni_podaci!D20,3,1)="s",MID(Osnovni_podaci!D20,8,1)=" "),VLOOKUP( $B120, T_Aop[], 6, 1),A1)</f>
        <v xml:space="preserve">    1. Gubitak ranijih godina / Višak rashoda nad prihodima ranijih godina</v>
      </c>
      <c r="E120" s="609"/>
      <c r="F120" s="609"/>
      <c r="G120" s="609"/>
      <c r="H120" s="610"/>
      <c r="I120" s="121">
        <f>IF(AND([0]!Godina=2026,MID(Osnovni_podaci!D20,3,1)="s",Osnovni_podaci!L24=6,Osnovni_podaci!G24=0,MID(Osnovni_podaci!D20,3,1)="s",MID(Osnovni_podaci!D20,8,1)=" "),VLOOKUP( $B120, T_Aop[], 4, 1),A1)</f>
        <v>129</v>
      </c>
      <c r="J120" s="157"/>
      <c r="K120" s="604"/>
      <c r="L120" s="605"/>
      <c r="M120" s="197"/>
      <c r="N120" s="395"/>
      <c r="P120" s="44"/>
    </row>
    <row r="121" spans="2:16" x14ac:dyDescent="0.3">
      <c r="B121" s="15">
        <v>97</v>
      </c>
      <c r="C121" s="359" t="str">
        <f>IF(AND([0]!Godina=2026,MID(Osnovni_podaci!D20,3,1)="s",Osnovni_podaci!L24=6,Osnovni_podaci!G24=0,MID(Osnovni_podaci!D20,3,1)="s",MID(Osnovni_podaci!D20,8,1)=" "),VLOOKUP( $B121, T_Aop[], 5, 1),A1)</f>
        <v>351 ili 353</v>
      </c>
      <c r="D121" s="611" t="str">
        <f>IF(AND([0]!Godina=2026,MID(Osnovni_podaci!D20,3,1)="s",Osnovni_podaci!L24=6,Osnovni_podaci!G24=0,MID(Osnovni_podaci!D20,3,1)="s",MID(Osnovni_podaci!D20,8,1)=" "),VLOOKUP( $B121, T_Aop[], 6, 1),A1)</f>
        <v xml:space="preserve">    2. Gubitak tekuće godine / Višak rashoda nad prihodima tekuće godine</v>
      </c>
      <c r="E121" s="612"/>
      <c r="F121" s="612"/>
      <c r="G121" s="612"/>
      <c r="H121" s="613"/>
      <c r="I121" s="122">
        <f>IF(AND([0]!Godina=2026,MID(Osnovni_podaci!D20,3,1)="s",Osnovni_podaci!L24=6,Osnovni_podaci!G24=0,MID(Osnovni_podaci!D20,3,1)="s",MID(Osnovni_podaci!D20,8,1)=" "),VLOOKUP( $B121, T_Aop[], 4, 1),A1)</f>
        <v>130</v>
      </c>
      <c r="J121" s="155"/>
      <c r="K121" s="602"/>
      <c r="L121" s="603"/>
      <c r="M121" s="195"/>
      <c r="N121" s="396"/>
      <c r="P121" s="44"/>
    </row>
    <row r="122" spans="2:16" x14ac:dyDescent="0.3">
      <c r="B122" s="15">
        <v>98</v>
      </c>
      <c r="C122" s="358" t="str">
        <f>IF(AND([0]!Godina=2026,MID(Osnovni_podaci!D20,3,1)="s",Osnovni_podaci!L24=6,Osnovni_podaci!G24=0,MID(Osnovni_podaci!D20,3,1)="s",MID(Osnovni_podaci!D20,8,1)=" "),VLOOKUP( $B122, T_Aop[], 5, 1),A1)</f>
        <v xml:space="preserve"> </v>
      </c>
      <c r="D122" s="616" t="str">
        <f>IF(AND([0]!Godina=2026,MID(Osnovni_podaci!D20,3,1)="s",Osnovni_podaci!L24=6,Osnovni_podaci!G24=0,MID(Osnovni_podaci!D20,3,1)="s",MID(Osnovni_podaci!D20,8,1)=" "),VLOOKUP( $B122, T_Aop[], 6, 1),A1)</f>
        <v xml:space="preserve">  XI UČEŠĆA BEZ PRAVA KONTROLE</v>
      </c>
      <c r="E122" s="617"/>
      <c r="F122" s="617"/>
      <c r="G122" s="617"/>
      <c r="H122" s="618"/>
      <c r="I122" s="170">
        <f>IF(AND([0]!Godina=2026,MID(Osnovni_podaci!D20,3,1)="s",Osnovni_podaci!L24=6,Osnovni_podaci!G24=0,MID(Osnovni_podaci!D20,3,1)="s",MID(Osnovni_podaci!D20,8,1)=" "),VLOOKUP( $B122, T_Aop[], 4, 1),A1)</f>
        <v>131</v>
      </c>
      <c r="J122" s="157"/>
      <c r="K122" s="604"/>
      <c r="L122" s="605"/>
      <c r="M122" s="201"/>
      <c r="N122" s="398"/>
      <c r="P122" s="44"/>
    </row>
    <row r="123" spans="2:16" x14ac:dyDescent="0.3">
      <c r="B123" s="15">
        <v>99</v>
      </c>
      <c r="C123" s="359" t="str">
        <f>IF(AND([0]!Godina=2026,MID(Osnovni_podaci!D20,3,1)="s",Osnovni_podaci!L24=6,Osnovni_podaci!G24=0,MID(Osnovni_podaci!D20,3,1)="s",MID(Osnovni_podaci!D20,8,1)=" "),VLOOKUP( $B123, T_Aop[], 5, 1),A1)</f>
        <v xml:space="preserve"> </v>
      </c>
      <c r="D123" s="619" t="str">
        <f>IF(AND([0]!Godina=2026,MID(Osnovni_podaci!D20,3,1)="s",Osnovni_podaci!L24=6,Osnovni_podaci!G24=0,MID(Osnovni_podaci!D20,3,1)="s",MID(Osnovni_podaci!D20,8,1)=" "),VLOOKUP( $B123, T_Aop[], 6, 1),A1)</f>
        <v xml:space="preserve">  B. DUGOROČNA REZERVISANJA I DUGOROČNE OBAVEZE (133 + 137 + 145)</v>
      </c>
      <c r="E123" s="620"/>
      <c r="F123" s="620"/>
      <c r="G123" s="620"/>
      <c r="H123" s="621"/>
      <c r="I123" s="171">
        <f>IF(AND([0]!Godina=2026,MID(Osnovni_podaci!D20,3,1)="s",Osnovni_podaci!L24=6,Osnovni_podaci!G24=0,MID(Osnovni_podaci!D20,3,1)="s",MID(Osnovni_podaci!D20,8,1)=" "),VLOOKUP( $B123, T_Aop[], 4, 1),A1)</f>
        <v>132</v>
      </c>
      <c r="J123" s="155">
        <v>10</v>
      </c>
      <c r="K123" s="602"/>
      <c r="L123" s="603"/>
      <c r="M123" s="388">
        <f>SUBTOTAL( 9, M124:M136)</f>
        <v>306943</v>
      </c>
      <c r="N123" s="399">
        <f>SUBTOTAL( 9, N124:N136)</f>
        <v>306943</v>
      </c>
      <c r="P123" s="44"/>
    </row>
    <row r="124" spans="2:16" x14ac:dyDescent="0.3">
      <c r="B124" s="15">
        <v>100</v>
      </c>
      <c r="C124" s="358" t="str">
        <f>IF(AND([0]!Godina=2026,MID(Osnovni_podaci!D20,3,1)="s",Osnovni_podaci!L24=6,Osnovni_podaci!G24=0,MID(Osnovni_podaci!D20,3,1)="s",MID(Osnovni_podaci!D20,8,1)=" "),VLOOKUP( $B124, T_Aop[], 5, 1),A1)</f>
        <v>dio 40</v>
      </c>
      <c r="D124" s="616" t="str">
        <f>IF(AND([0]!Godina=2026,MID(Osnovni_podaci!D20,3,1)="s",Osnovni_podaci!L24=6,Osnovni_podaci!G24=0,MID(Osnovni_podaci!D20,3,1)="s",MID(Osnovni_podaci!D20,8,1)=" "),VLOOKUP( $B124, T_Aop[], 6, 1),A1)</f>
        <v xml:space="preserve">  I DUGOROČNA REZERVISANJA (134 do 136)</v>
      </c>
      <c r="E124" s="617"/>
      <c r="F124" s="617"/>
      <c r="G124" s="617"/>
      <c r="H124" s="618"/>
      <c r="I124" s="170">
        <f>IF(AND([0]!Godina=2026,MID(Osnovni_podaci!D20,3,1)="s",Osnovni_podaci!L24=6,Osnovni_podaci!G24=0,MID(Osnovni_podaci!D20,3,1)="s",MID(Osnovni_podaci!D20,8,1)=" "),VLOOKUP( $B124, T_Aop[], 4, 1),A1)</f>
        <v>133</v>
      </c>
      <c r="J124" s="157"/>
      <c r="K124" s="604"/>
      <c r="L124" s="605"/>
      <c r="M124" s="48">
        <f>SUBTOTAL( 9, M125:M127)</f>
        <v>306943</v>
      </c>
      <c r="N124" s="400">
        <f>SUBTOTAL( 9, N125:N127)</f>
        <v>306943</v>
      </c>
      <c r="P124" s="44"/>
    </row>
    <row r="125" spans="2:16" x14ac:dyDescent="0.3">
      <c r="B125" s="15">
        <v>101</v>
      </c>
      <c r="C125" s="359">
        <f>IF(AND([0]!Godina=2026,MID(Osnovni_podaci!D20,3,1)="s",Osnovni_podaci!L24=6,Osnovni_podaci!G24=0,MID(Osnovni_podaci!D20,3,1)="s",MID(Osnovni_podaci!D20,8,1)=" "),VLOOKUP( $B125, T_Aop[], 5, 1),A1)</f>
        <v>400</v>
      </c>
      <c r="D125" s="611" t="str">
        <f>IF(AND([0]!Godina=2026,MID(Osnovni_podaci!D20,3,1)="s",Osnovni_podaci!L24=6,Osnovni_podaci!G24=0,MID(Osnovni_podaci!D20,3,1)="s",MID(Osnovni_podaci!D20,8,1)=" "),VLOOKUP( $B125, T_Aop[], 6, 1),A1)</f>
        <v xml:space="preserve">    1. Rezervisanja za troškove u garantnom roku</v>
      </c>
      <c r="E125" s="612"/>
      <c r="F125" s="612"/>
      <c r="G125" s="612"/>
      <c r="H125" s="613"/>
      <c r="I125" s="122">
        <f>IF(AND([0]!Godina=2026,MID(Osnovni_podaci!D20,3,1)="s",Osnovni_podaci!L24=6,Osnovni_podaci!G24=0,MID(Osnovni_podaci!D20,3,1)="s",MID(Osnovni_podaci!D20,8,1)=" "),VLOOKUP( $B125, T_Aop[], 4, 1),A1)</f>
        <v>134</v>
      </c>
      <c r="J125" s="155"/>
      <c r="K125" s="602"/>
      <c r="L125" s="603"/>
      <c r="M125" s="195"/>
      <c r="N125" s="396"/>
      <c r="P125" s="44"/>
    </row>
    <row r="126" spans="2:16" x14ac:dyDescent="0.3">
      <c r="B126" s="15">
        <v>102</v>
      </c>
      <c r="C126" s="358">
        <f>IF(AND([0]!Godina=2026,MID(Osnovni_podaci!D20,3,1)="s",Osnovni_podaci!L24=6,Osnovni_podaci!G24=0,MID(Osnovni_podaci!D20,3,1)="s",MID(Osnovni_podaci!D20,8,1)=" "),VLOOKUP( $B126, T_Aop[], 5, 1),A1)</f>
        <v>404</v>
      </c>
      <c r="D126" s="608" t="str">
        <f>IF(AND([0]!Godina=2026,MID(Osnovni_podaci!D20,3,1)="s",Osnovni_podaci!L24=6,Osnovni_podaci!G24=0,MID(Osnovni_podaci!D20,3,1)="s",MID(Osnovni_podaci!D20,8,1)=" "),VLOOKUP( $B126, T_Aop[], 6, 1),A1)</f>
        <v xml:space="preserve">    2. Rezervisanja za naknade i beneficije zaposlenih</v>
      </c>
      <c r="E126" s="609"/>
      <c r="F126" s="609"/>
      <c r="G126" s="609"/>
      <c r="H126" s="610"/>
      <c r="I126" s="121">
        <f>IF(AND([0]!Godina=2026,MID(Osnovni_podaci!D20,3,1)="s",Osnovni_podaci!L24=6,Osnovni_podaci!G24=0,MID(Osnovni_podaci!D20,3,1)="s",MID(Osnovni_podaci!D20,8,1)=" "),VLOOKUP( $B126, T_Aop[], 4, 1),A1)</f>
        <v>135</v>
      </c>
      <c r="J126" s="157"/>
      <c r="K126" s="604"/>
      <c r="L126" s="605"/>
      <c r="M126" s="197">
        <v>217895</v>
      </c>
      <c r="N126" s="395">
        <v>217895</v>
      </c>
      <c r="P126" s="44"/>
    </row>
    <row r="127" spans="2:16" x14ac:dyDescent="0.3">
      <c r="B127" s="15">
        <v>103</v>
      </c>
      <c r="C127" s="359" t="str">
        <f>IF(AND([0]!Godina=2026,MID(Osnovni_podaci!D20,3,1)="s",Osnovni_podaci!L24=6,Osnovni_podaci!G24=0,MID(Osnovni_podaci!D20,3,1)="s",MID(Osnovni_podaci!D20,8,1)=" "),VLOOKUP( $B127, T_Aop[], 5, 1),A1)</f>
        <v>401, 402, 403, dio 409</v>
      </c>
      <c r="D127" s="611" t="str">
        <f>IF(AND([0]!Godina=2026,MID(Osnovni_podaci!D20,3,1)="s",Osnovni_podaci!L24=6,Osnovni_podaci!G24=0,MID(Osnovni_podaci!D20,3,1)="s",MID(Osnovni_podaci!D20,8,1)=" "),VLOOKUP( $B127, T_Aop[], 6, 1),A1)</f>
        <v xml:space="preserve">    3. Ostala dugoročna rezervisanja</v>
      </c>
      <c r="E127" s="612"/>
      <c r="F127" s="612"/>
      <c r="G127" s="612"/>
      <c r="H127" s="613"/>
      <c r="I127" s="122">
        <f>IF(AND([0]!Godina=2026,MID(Osnovni_podaci!D20,3,1)="s",Osnovni_podaci!L24=6,Osnovni_podaci!G24=0,MID(Osnovni_podaci!D20,3,1)="s",MID(Osnovni_podaci!D20,8,1)=" "),VLOOKUP( $B127, T_Aop[], 4, 1),A1)</f>
        <v>136</v>
      </c>
      <c r="J127" s="155"/>
      <c r="K127" s="602"/>
      <c r="L127" s="603"/>
      <c r="M127" s="195">
        <v>89048</v>
      </c>
      <c r="N127" s="396">
        <v>89048</v>
      </c>
      <c r="P127" s="44"/>
    </row>
    <row r="128" spans="2:16" x14ac:dyDescent="0.3">
      <c r="B128" s="15">
        <v>104</v>
      </c>
      <c r="C128" s="358" t="str">
        <f>IF(AND([0]!Godina=2026,MID(Osnovni_podaci!D20,3,1)="s",Osnovni_podaci!L24=6,Osnovni_podaci!G24=0,MID(Osnovni_podaci!D20,3,1)="s",MID(Osnovni_podaci!D20,8,1)=" "),VLOOKUP( $B128, T_Aop[], 5, 1),A1)</f>
        <v xml:space="preserve"> </v>
      </c>
      <c r="D128" s="616" t="str">
        <f>IF(AND([0]!Godina=2026,MID(Osnovni_podaci!D20,3,1)="s",Osnovni_podaci!L24=6,Osnovni_podaci!G24=0,MID(Osnovni_podaci!D20,3,1)="s",MID(Osnovni_podaci!D20,8,1)=" "),VLOOKUP( $B128, T_Aop[], 6, 1),A1)</f>
        <v xml:space="preserve">  II DUGOROČNE OBAVEZE (138 do 144)</v>
      </c>
      <c r="E128" s="617"/>
      <c r="F128" s="617"/>
      <c r="G128" s="617"/>
      <c r="H128" s="618"/>
      <c r="I128" s="170">
        <f>IF(AND([0]!Godina=2026,MID(Osnovni_podaci!D20,3,1)="s",Osnovni_podaci!L24=6,Osnovni_podaci!G24=0,MID(Osnovni_podaci!D20,3,1)="s",MID(Osnovni_podaci!D20,8,1)=" "),VLOOKUP( $B128, T_Aop[], 4, 1),A1)</f>
        <v>137</v>
      </c>
      <c r="J128" s="157">
        <v>11</v>
      </c>
      <c r="K128" s="604"/>
      <c r="L128" s="605"/>
      <c r="M128" s="48">
        <f>SUBTOTAL( 9, M129:M135)</f>
        <v>0</v>
      </c>
      <c r="N128" s="400">
        <f>SUBTOTAL( 9, N129:N135)</f>
        <v>0</v>
      </c>
      <c r="P128" s="44"/>
    </row>
    <row r="129" spans="2:16" x14ac:dyDescent="0.3">
      <c r="B129" s="15">
        <v>105</v>
      </c>
      <c r="C129" s="359">
        <f>IF(AND([0]!Godina=2026,MID(Osnovni_podaci!D20,3,1)="s",Osnovni_podaci!L24=6,Osnovni_podaci!G24=0,MID(Osnovni_podaci!D20,3,1)="s",MID(Osnovni_podaci!D20,8,1)=" "),VLOOKUP( $B129, T_Aop[], 5, 1),A1)</f>
        <v>411</v>
      </c>
      <c r="D129" s="611" t="str">
        <f>IF(AND([0]!Godina=2026,MID(Osnovni_podaci!D20,3,1)="s",Osnovni_podaci!L24=6,Osnovni_podaci!G24=0,MID(Osnovni_podaci!D20,3,1)="s",MID(Osnovni_podaci!D20,8,1)=" "),VLOOKUP( $B129, T_Aop[], 6, 1),A1)</f>
        <v xml:space="preserve">    1. Obaveze prema povezanim pravnim licima</v>
      </c>
      <c r="E129" s="612"/>
      <c r="F129" s="612"/>
      <c r="G129" s="612"/>
      <c r="H129" s="613"/>
      <c r="I129" s="122">
        <f>IF(AND([0]!Godina=2026,MID(Osnovni_podaci!D20,3,1)="s",Osnovni_podaci!L24=6,Osnovni_podaci!G24=0,MID(Osnovni_podaci!D20,3,1)="s",MID(Osnovni_podaci!D20,8,1)=" "),VLOOKUP( $B129, T_Aop[], 4, 1),A1)</f>
        <v>138</v>
      </c>
      <c r="J129" s="155"/>
      <c r="K129" s="602"/>
      <c r="L129" s="603"/>
      <c r="M129" s="195"/>
      <c r="N129" s="396"/>
      <c r="P129" s="44"/>
    </row>
    <row r="130" spans="2:16" x14ac:dyDescent="0.3">
      <c r="B130" s="15">
        <v>106</v>
      </c>
      <c r="C130" s="358">
        <f>IF(AND([0]!Godina=2026,MID(Osnovni_podaci!D20,3,1)="s",Osnovni_podaci!L24=6,Osnovni_podaci!G24=0,MID(Osnovni_podaci!D20,3,1)="s",MID(Osnovni_podaci!D20,8,1)=" "),VLOOKUP( $B130, T_Aop[], 5, 1),A1)</f>
        <v>413</v>
      </c>
      <c r="D130" s="608" t="str">
        <f>IF(AND([0]!Godina=2026,MID(Osnovni_podaci!D20,3,1)="s",Osnovni_podaci!L24=6,Osnovni_podaci!G24=0,MID(Osnovni_podaci!D20,3,1)="s",MID(Osnovni_podaci!D20,8,1)=" "),VLOOKUP( $B130, T_Aop[], 6, 1),A1)</f>
        <v xml:space="preserve">    2. Dugoročni krediti u zemlji</v>
      </c>
      <c r="E130" s="609"/>
      <c r="F130" s="609"/>
      <c r="G130" s="609"/>
      <c r="H130" s="610"/>
      <c r="I130" s="121">
        <f>IF(AND([0]!Godina=2026,MID(Osnovni_podaci!D20,3,1)="s",Osnovni_podaci!L24=6,Osnovni_podaci!G24=0,MID(Osnovni_podaci!D20,3,1)="s",MID(Osnovni_podaci!D20,8,1)=" "),VLOOKUP( $B130, T_Aop[], 4, 1),A1)</f>
        <v>139</v>
      </c>
      <c r="J130" s="157"/>
      <c r="K130" s="604"/>
      <c r="L130" s="605"/>
      <c r="M130" s="197"/>
      <c r="N130" s="395"/>
      <c r="P130" s="44"/>
    </row>
    <row r="131" spans="2:16" x14ac:dyDescent="0.3">
      <c r="B131" s="15">
        <v>107</v>
      </c>
      <c r="C131" s="359">
        <f>IF(AND([0]!Godina=2026,MID(Osnovni_podaci!D20,3,1)="s",Osnovni_podaci!L24=6,Osnovni_podaci!G24=0,MID(Osnovni_podaci!D20,3,1)="s",MID(Osnovni_podaci!D20,8,1)=" "),VLOOKUP( $B131, T_Aop[], 5, 1),A1)</f>
        <v>414</v>
      </c>
      <c r="D131" s="611" t="str">
        <f>IF(AND([0]!Godina=2026,MID(Osnovni_podaci!D20,3,1)="s",Osnovni_podaci!L24=6,Osnovni_podaci!G24=0,MID(Osnovni_podaci!D20,3,1)="s",MID(Osnovni_podaci!D20,8,1)=" "),VLOOKUP( $B131, T_Aop[], 6, 1),A1)</f>
        <v xml:space="preserve">    3. Dugoročni krediti u inostranstvu</v>
      </c>
      <c r="E131" s="612"/>
      <c r="F131" s="612"/>
      <c r="G131" s="612"/>
      <c r="H131" s="613"/>
      <c r="I131" s="122">
        <f>IF(AND([0]!Godina=2026,MID(Osnovni_podaci!D20,3,1)="s",Osnovni_podaci!L24=6,Osnovni_podaci!G24=0,MID(Osnovni_podaci!D20,3,1)="s",MID(Osnovni_podaci!D20,8,1)=" "),VLOOKUP( $B131, T_Aop[], 4, 1),A1)</f>
        <v>140</v>
      </c>
      <c r="J131" s="155"/>
      <c r="K131" s="602"/>
      <c r="L131" s="603"/>
      <c r="M131" s="195"/>
      <c r="N131" s="196"/>
      <c r="P131" s="44"/>
    </row>
    <row r="132" spans="2:16" x14ac:dyDescent="0.3">
      <c r="B132" s="15">
        <v>108</v>
      </c>
      <c r="C132" s="358">
        <f>IF(AND([0]!Godina=2026,MID(Osnovni_podaci!D20,3,1)="s",Osnovni_podaci!L24=6,Osnovni_podaci!G24=0,MID(Osnovni_podaci!D20,3,1)="s",MID(Osnovni_podaci!D20,8,1)=" "),VLOOKUP( $B132, T_Aop[], 5, 1),A1)</f>
        <v>412</v>
      </c>
      <c r="D132" s="608" t="str">
        <f>IF(AND([0]!Godina=2026,MID(Osnovni_podaci!D20,3,1)="s",Osnovni_podaci!L24=6,Osnovni_podaci!G24=0,MID(Osnovni_podaci!D20,3,1)="s",MID(Osnovni_podaci!D20,8,1)=" "),VLOOKUP( $B132, T_Aop[], 6, 1),A1)</f>
        <v xml:space="preserve">    4. Obaveze po emitovanim dužničkim instrumentima</v>
      </c>
      <c r="E132" s="609"/>
      <c r="F132" s="609"/>
      <c r="G132" s="609"/>
      <c r="H132" s="610"/>
      <c r="I132" s="121">
        <f>IF(AND([0]!Godina=2026,MID(Osnovni_podaci!D20,3,1)="s",Osnovni_podaci!L24=6,Osnovni_podaci!G24=0,MID(Osnovni_podaci!D20,3,1)="s",MID(Osnovni_podaci!D20,8,1)=" "),VLOOKUP( $B132, T_Aop[], 4, 1),A1)</f>
        <v>141</v>
      </c>
      <c r="J132" s="157"/>
      <c r="K132" s="604"/>
      <c r="L132" s="605"/>
      <c r="M132" s="197"/>
      <c r="N132" s="198"/>
      <c r="P132" s="44"/>
    </row>
    <row r="133" spans="2:16" x14ac:dyDescent="0.3">
      <c r="B133" s="15">
        <v>109</v>
      </c>
      <c r="C133" s="359" t="str">
        <f>IF(AND([0]!Godina=2026,MID(Osnovni_podaci!D20,3,1)="s",Osnovni_podaci!L24=6,Osnovni_podaci!G24=0,MID(Osnovni_podaci!D20,3,1)="s",MID(Osnovni_podaci!D20,8,1)=" "),VLOOKUP( $B133, T_Aop[], 5, 1),A1)</f>
        <v>415, 416</v>
      </c>
      <c r="D133" s="611" t="str">
        <f>IF(AND([0]!Godina=2026,MID(Osnovni_podaci!D20,3,1)="s",Osnovni_podaci!L24=6,Osnovni_podaci!G24=0,MID(Osnovni_podaci!D20,3,1)="s",MID(Osnovni_podaci!D20,8,1)=" "),VLOOKUP( $B133, T_Aop[], 6, 1),A1)</f>
        <v xml:space="preserve">    5. Dugoročne obaveze po lizingu</v>
      </c>
      <c r="E133" s="612"/>
      <c r="F133" s="612"/>
      <c r="G133" s="612"/>
      <c r="H133" s="613"/>
      <c r="I133" s="122">
        <f>IF(AND([0]!Godina=2026,MID(Osnovni_podaci!D20,3,1)="s",Osnovni_podaci!L24=6,Osnovni_podaci!G24=0,MID(Osnovni_podaci!D20,3,1)="s",MID(Osnovni_podaci!D20,8,1)=" "),VLOOKUP( $B133, T_Aop[], 4, 1),A1)</f>
        <v>142</v>
      </c>
      <c r="J133" s="155"/>
      <c r="K133" s="602"/>
      <c r="L133" s="603"/>
      <c r="M133" s="195"/>
      <c r="N133" s="196"/>
      <c r="P133" s="44"/>
    </row>
    <row r="134" spans="2:16" x14ac:dyDescent="0.3">
      <c r="B134" s="15">
        <v>110</v>
      </c>
      <c r="C134" s="358" t="str">
        <f>IF(AND([0]!Godina=2026,MID(Osnovni_podaci!D20,3,1)="s",Osnovni_podaci!L24=6,Osnovni_podaci!G24=0,MID(Osnovni_podaci!D20,3,1)="s",MID(Osnovni_podaci!D20,8,1)=" "),VLOOKUP( $B134, T_Aop[], 5, 1),A1)</f>
        <v>418</v>
      </c>
      <c r="D134" s="608" t="str">
        <f>IF(AND([0]!Godina=2026,MID(Osnovni_podaci!D20,3,1)="s",Osnovni_podaci!L24=6,Osnovni_podaci!G24=0,MID(Osnovni_podaci!D20,3,1)="s",MID(Osnovni_podaci!D20,8,1)=" "),VLOOKUP( $B134, T_Aop[], 6, 1),A1)</f>
        <v xml:space="preserve">    6. Ostale dugoročne finansijske obaveze po amortizovanoj vrijednosti</v>
      </c>
      <c r="E134" s="609"/>
      <c r="F134" s="609"/>
      <c r="G134" s="609"/>
      <c r="H134" s="610"/>
      <c r="I134" s="121">
        <f>IF(AND([0]!Godina=2026,MID(Osnovni_podaci!D20,3,1)="s",Osnovni_podaci!L24=6,Osnovni_podaci!G24=0,MID(Osnovni_podaci!D20,3,1)="s",MID(Osnovni_podaci!D20,8,1)=" "),VLOOKUP( $B134, T_Aop[], 4, 1),A1)</f>
        <v>143</v>
      </c>
      <c r="J134" s="157"/>
      <c r="K134" s="604"/>
      <c r="L134" s="605"/>
      <c r="M134" s="197"/>
      <c r="N134" s="198"/>
      <c r="P134" s="44"/>
    </row>
    <row r="135" spans="2:16" x14ac:dyDescent="0.3">
      <c r="B135" s="15">
        <v>111</v>
      </c>
      <c r="C135" s="359" t="str">
        <f>IF(AND([0]!Godina=2026,MID(Osnovni_podaci!D20,3,1)="s",Osnovni_podaci!L24=6,Osnovni_podaci!G24=0,MID(Osnovni_podaci!D20,3,1)="s",MID(Osnovni_podaci!D20,8,1)=" "),VLOOKUP( $B135, T_Aop[], 5, 1),A1)</f>
        <v>dio 409, 410, 419</v>
      </c>
      <c r="D135" s="611" t="str">
        <f>IF(AND([0]!Godina=2026,MID(Osnovni_podaci!D20,3,1)="s",Osnovni_podaci!L24=6,Osnovni_podaci!G24=0,MID(Osnovni_podaci!D20,3,1)="s",MID(Osnovni_podaci!D20,8,1)=" "),VLOOKUP( $B135, T_Aop[], 6, 1),A1)</f>
        <v xml:space="preserve">    7. Ostale dugoročne obaveze, uključujući razgraničenja</v>
      </c>
      <c r="E135" s="612"/>
      <c r="F135" s="612"/>
      <c r="G135" s="612"/>
      <c r="H135" s="613"/>
      <c r="I135" s="122">
        <f>IF(AND([0]!Godina=2026,MID(Osnovni_podaci!D20,3,1)="s",Osnovni_podaci!L24=6,Osnovni_podaci!G24=0,MID(Osnovni_podaci!D20,3,1)="s",MID(Osnovni_podaci!D20,8,1)=" "),VLOOKUP( $B135, T_Aop[], 4, 1),A1)</f>
        <v>144</v>
      </c>
      <c r="J135" s="155"/>
      <c r="K135" s="602"/>
      <c r="L135" s="603"/>
      <c r="M135" s="195"/>
      <c r="N135" s="196"/>
      <c r="P135" s="44"/>
    </row>
    <row r="136" spans="2:16" x14ac:dyDescent="0.3">
      <c r="B136" s="15">
        <v>112</v>
      </c>
      <c r="C136" s="358">
        <f>IF(AND([0]!Godina=2026,MID(Osnovni_podaci!D20,3,1)="s",Osnovni_podaci!L24=6,Osnovni_podaci!G24=0,MID(Osnovni_podaci!D20,3,1)="s",MID(Osnovni_podaci!D20,8,1)=" "),VLOOKUP( $B136, T_Aop[], 5, 1),A1)</f>
        <v>408</v>
      </c>
      <c r="D136" s="616" t="str">
        <f>IF(AND([0]!Godina=2026,MID(Osnovni_podaci!D20,3,1)="s",Osnovni_podaci!L24=6,Osnovni_podaci!G24=0,MID(Osnovni_podaci!D20,3,1)="s",MID(Osnovni_podaci!D20,8,1)=" "),VLOOKUP( $B136, T_Aop[], 6, 1),A1)</f>
        <v xml:space="preserve">  III RAZGRANIČENI PRIHODI I PRIMLJENE DONACIJE</v>
      </c>
      <c r="E136" s="617"/>
      <c r="F136" s="617"/>
      <c r="G136" s="617"/>
      <c r="H136" s="618"/>
      <c r="I136" s="170">
        <f>IF(AND([0]!Godina=2026,MID(Osnovni_podaci!D20,3,1)="s",Osnovni_podaci!L24=6,Osnovni_podaci!G24=0,MID(Osnovni_podaci!D20,3,1)="s",MID(Osnovni_podaci!D20,8,1)=" "),VLOOKUP( $B136, T_Aop[], 4, 1),A1)</f>
        <v>145</v>
      </c>
      <c r="J136" s="157"/>
      <c r="K136" s="604"/>
      <c r="L136" s="605"/>
      <c r="M136" s="201"/>
      <c r="N136" s="202"/>
      <c r="P136" s="44"/>
    </row>
    <row r="137" spans="2:16" x14ac:dyDescent="0.3">
      <c r="B137" s="15">
        <v>113</v>
      </c>
      <c r="C137" s="359">
        <f>IF(AND([0]!Godina=2026,MID(Osnovni_podaci!D20,3,1)="s",Osnovni_podaci!L24=6,Osnovni_podaci!G24=0,MID(Osnovni_podaci!D20,3,1)="s",MID(Osnovni_podaci!D20,8,1)=" "),VLOOKUP( $B137, T_Aop[], 5, 1),A1)</f>
        <v>407</v>
      </c>
      <c r="D137" s="619" t="str">
        <f>IF(AND([0]!Godina=2026,MID(Osnovni_podaci!D20,3,1)="s",Osnovni_podaci!L24=6,Osnovni_podaci!G24=0,MID(Osnovni_podaci!D20,3,1)="s",MID(Osnovni_podaci!D20,8,1)=" "),VLOOKUP( $B137, T_Aop[], 6, 1),A1)</f>
        <v xml:space="preserve">  V. ODLOŽENE PORESKE OBAVEZE </v>
      </c>
      <c r="E137" s="620"/>
      <c r="F137" s="620"/>
      <c r="G137" s="620"/>
      <c r="H137" s="621"/>
      <c r="I137" s="171">
        <f>IF(AND([0]!Godina=2026,MID(Osnovni_podaci!D20,3,1)="s",Osnovni_podaci!L24=6,Osnovni_podaci!G24=0,MID(Osnovni_podaci!D20,3,1)="s",MID(Osnovni_podaci!D20,8,1)=" "),VLOOKUP( $B137, T_Aop[], 4, 1),A1)</f>
        <v>146</v>
      </c>
      <c r="J137" s="155"/>
      <c r="K137" s="602"/>
      <c r="L137" s="603"/>
      <c r="M137" s="199"/>
      <c r="N137" s="200"/>
      <c r="P137" s="44"/>
    </row>
    <row r="138" spans="2:16" ht="23.65" customHeight="1" x14ac:dyDescent="0.3">
      <c r="B138" s="15">
        <v>114</v>
      </c>
      <c r="C138" s="358" t="str">
        <f>IF(AND([0]!Godina=2026,MID(Osnovni_podaci!D20,3,1)="s",Osnovni_podaci!L24=6,Osnovni_podaci!G24=0,MID(Osnovni_podaci!D20,3,1)="s",MID(Osnovni_podaci!D20,8,1)=" "),VLOOKUP( $B138, T_Aop[], 5, 1),A1)</f>
        <v>42 do 49</v>
      </c>
      <c r="D138" s="616" t="str">
        <f>IF(AND([0]!Godina=2026,MID(Osnovni_podaci!D20,3,1)="s",Osnovni_podaci!L24=6,Osnovni_podaci!G24=0,MID(Osnovni_podaci!D20,3,1)="s",MID(Osnovni_podaci!D20,8,1)=" "),VLOOKUP( $B138, T_Aop[], 6, 1),A1)</f>
        <v xml:space="preserve">   G. KRATKOROČNE OBAVEZE I KRATKOROČNA REZERVISANJA(148 + 155 + 161 + 162 + 163 + 164 + 165 + 166 + 167 + 168)</v>
      </c>
      <c r="E138" s="617"/>
      <c r="F138" s="617"/>
      <c r="G138" s="617"/>
      <c r="H138" s="618"/>
      <c r="I138" s="170">
        <f>IF(AND([0]!Godina=2026,MID(Osnovni_podaci!D20,3,1)="s",Osnovni_podaci!L24=6,Osnovni_podaci!G24=0,MID(Osnovni_podaci!D20,3,1)="s",MID(Osnovni_podaci!D20,8,1)=" "),VLOOKUP( $B138, T_Aop[], 4, 1),A1)</f>
        <v>147</v>
      </c>
      <c r="J138" s="157">
        <v>12</v>
      </c>
      <c r="K138" s="604"/>
      <c r="L138" s="605"/>
      <c r="M138" s="48">
        <f>SUBTOTAL( 9, M139:M159)</f>
        <v>5704564</v>
      </c>
      <c r="N138" s="49">
        <f>SUBTOTAL( 9, N139:N159)</f>
        <v>4132304</v>
      </c>
      <c r="P138" s="44"/>
    </row>
    <row r="139" spans="2:16" x14ac:dyDescent="0.3">
      <c r="B139" s="15">
        <v>115</v>
      </c>
      <c r="C139" s="359">
        <f>IF(AND([0]!Godina=2026,MID(Osnovni_podaci!D20,3,1)="s",Osnovni_podaci!L24=6,Osnovni_podaci!G24=0,MID(Osnovni_podaci!D20,3,1)="s",MID(Osnovni_podaci!D20,8,1)=" "),VLOOKUP( $B139, T_Aop[], 5, 1),A1)</f>
        <v>42</v>
      </c>
      <c r="D139" s="611" t="str">
        <f>IF(AND([0]!Godina=2026,MID(Osnovni_podaci!D20,3,1)="s",Osnovni_podaci!L24=6,Osnovni_podaci!G24=0,MID(Osnovni_podaci!D20,3,1)="s",MID(Osnovni_podaci!D20,8,1)=" "),VLOOKUP( $B139, T_Aop[], 6, 1),A1)</f>
        <v xml:space="preserve">    1. Kratkoročne finansijske obaveze (149 do 154)</v>
      </c>
      <c r="E139" s="612"/>
      <c r="F139" s="612"/>
      <c r="G139" s="612"/>
      <c r="H139" s="613"/>
      <c r="I139" s="122">
        <f>IF(AND([0]!Godina=2026,MID(Osnovni_podaci!D20,3,1)="s",Osnovni_podaci!L24=6,Osnovni_podaci!G24=0,MID(Osnovni_podaci!D20,3,1)="s",MID(Osnovni_podaci!D20,8,1)=" "),VLOOKUP( $B139, T_Aop[], 4, 1),A1)</f>
        <v>148</v>
      </c>
      <c r="J139" s="155"/>
      <c r="K139" s="602"/>
      <c r="L139" s="603"/>
      <c r="M139" s="50">
        <f>SUBTOTAL( 9, M140:M145)</f>
        <v>2726479</v>
      </c>
      <c r="N139" s="51">
        <f>SUBTOTAL( 9, N140:N145)</f>
        <v>1776395</v>
      </c>
      <c r="P139" s="44"/>
    </row>
    <row r="140" spans="2:16" x14ac:dyDescent="0.3">
      <c r="B140" s="15">
        <v>116</v>
      </c>
      <c r="C140" s="358">
        <f>IF(AND([0]!Godina=2026,MID(Osnovni_podaci!D20,3,1)="s",Osnovni_podaci!L24=6,Osnovni_podaci!G24=0,MID(Osnovni_podaci!D20,3,1)="s",MID(Osnovni_podaci!D20,8,1)=" "),VLOOKUP( $B140, T_Aop[], 5, 1),A1)</f>
        <v>420</v>
      </c>
      <c r="D140" s="608" t="str">
        <f>IF(AND([0]!Godina=2026,MID(Osnovni_podaci!D20,3,1)="s",Osnovni_podaci!L24=6,Osnovni_podaci!G24=0,MID(Osnovni_podaci!D20,3,1)="s",MID(Osnovni_podaci!D20,8,1)=" "),VLOOKUP( $B140, T_Aop[], 6, 1),A1)</f>
        <v xml:space="preserve">      1.1. Kratkoročne finansijske obaveze prema povezanim pravnim licima</v>
      </c>
      <c r="E140" s="609"/>
      <c r="F140" s="609"/>
      <c r="G140" s="609"/>
      <c r="H140" s="610"/>
      <c r="I140" s="121">
        <f>IF(AND([0]!Godina=2026,MID(Osnovni_podaci!D20,3,1)="s",Osnovni_podaci!L24=6,Osnovni_podaci!G24=0,MID(Osnovni_podaci!D20,3,1)="s",MID(Osnovni_podaci!D20,8,1)=" "),VLOOKUP( $B140, T_Aop[], 4, 1),A1)</f>
        <v>149</v>
      </c>
      <c r="J140" s="157">
        <v>12</v>
      </c>
      <c r="K140" s="604"/>
      <c r="L140" s="605"/>
      <c r="M140" s="197">
        <v>1526479</v>
      </c>
      <c r="N140" s="198">
        <v>976395</v>
      </c>
      <c r="P140" s="44"/>
    </row>
    <row r="141" spans="2:16" x14ac:dyDescent="0.3">
      <c r="B141" s="15">
        <v>117</v>
      </c>
      <c r="C141" s="359" t="str">
        <f>IF(AND([0]!Godina=2026,MID(Osnovni_podaci!D20,3,1)="s",Osnovni_podaci!L24=6,Osnovni_podaci!G24=0,MID(Osnovni_podaci!D20,3,1)="s",MID(Osnovni_podaci!D20,8,1)=" "),VLOOKUP( $B141, T_Aop[], 5, 1),A1)</f>
        <v>421 do 424</v>
      </c>
      <c r="D141" s="611" t="str">
        <f>IF(AND([0]!Godina=2026,MID(Osnovni_podaci!D20,3,1)="s",Osnovni_podaci!L24=6,Osnovni_podaci!G24=0,MID(Osnovni_podaci!D20,3,1)="s",MID(Osnovni_podaci!D20,8,1)=" "),VLOOKUP( $B141, T_Aop[], 6, 1),A1)</f>
        <v xml:space="preserve">      1.2. Kratkoročni krediti i obaveze po emitovanim kratkoročnim hartijama od vrijednosti</v>
      </c>
      <c r="E141" s="612"/>
      <c r="F141" s="612"/>
      <c r="G141" s="612"/>
      <c r="H141" s="613"/>
      <c r="I141" s="122">
        <f>IF(AND([0]!Godina=2026,MID(Osnovni_podaci!D20,3,1)="s",Osnovni_podaci!L24=6,Osnovni_podaci!G24=0,MID(Osnovni_podaci!D20,3,1)="s",MID(Osnovni_podaci!D20,8,1)=" "),VLOOKUP( $B141, T_Aop[], 4, 1),A1)</f>
        <v>150</v>
      </c>
      <c r="J141" s="155"/>
      <c r="K141" s="602"/>
      <c r="L141" s="603"/>
      <c r="M141" s="195"/>
      <c r="N141" s="196"/>
      <c r="P141" s="44"/>
    </row>
    <row r="142" spans="2:16" x14ac:dyDescent="0.3">
      <c r="B142" s="15">
        <v>118</v>
      </c>
      <c r="C142" s="358" t="str">
        <f>IF(AND([0]!Godina=2026,MID(Osnovni_podaci!D20,3,1)="s",Osnovni_podaci!L24=6,Osnovni_podaci!G24=0,MID(Osnovni_podaci!D20,3,1)="s",MID(Osnovni_podaci!D20,8,1)=" "),VLOOKUP( $B142, T_Aop[], 5, 1),A1)</f>
        <v>425 i 426</v>
      </c>
      <c r="D142" s="608" t="str">
        <f>IF(AND([0]!Godina=2026,MID(Osnovni_podaci!D20,3,1)="s",Osnovni_podaci!L24=6,Osnovni_podaci!G24=0,MID(Osnovni_podaci!D20,3,1)="s",MID(Osnovni_podaci!D20,8,1)=" "),VLOOKUP( $B142, T_Aop[], 6, 1),A1)</f>
        <v xml:space="preserve">      1.3. Kratkoročne obaveze po lizingu</v>
      </c>
      <c r="E142" s="609"/>
      <c r="F142" s="609"/>
      <c r="G142" s="609"/>
      <c r="H142" s="610"/>
      <c r="I142" s="121">
        <f>IF(AND([0]!Godina=2026,MID(Osnovni_podaci!D20,3,1)="s",Osnovni_podaci!L24=6,Osnovni_podaci!G24=0,MID(Osnovni_podaci!D20,3,1)="s",MID(Osnovni_podaci!D20,8,1)=" "),VLOOKUP( $B142, T_Aop[], 4, 1),A1)</f>
        <v>151</v>
      </c>
      <c r="J142" s="157"/>
      <c r="K142" s="604"/>
      <c r="L142" s="605"/>
      <c r="M142" s="197"/>
      <c r="N142" s="198"/>
      <c r="P142" s="44"/>
    </row>
    <row r="143" spans="2:16" x14ac:dyDescent="0.3">
      <c r="B143" s="15">
        <v>119</v>
      </c>
      <c r="C143" s="359">
        <f>IF(AND([0]!Godina=2026,MID(Osnovni_podaci!D20,3,1)="s",Osnovni_podaci!L24=6,Osnovni_podaci!G24=0,MID(Osnovni_podaci!D20,3,1)="s",MID(Osnovni_podaci!D20,8,1)=" "),VLOOKUP( $B143, T_Aop[], 5, 1),A1)</f>
        <v>427</v>
      </c>
      <c r="D143" s="611" t="str">
        <f>IF(AND([0]!Godina=2026,MID(Osnovni_podaci!D20,3,1)="s",Osnovni_podaci!L24=6,Osnovni_podaci!G24=0,MID(Osnovni_podaci!D20,3,1)="s",MID(Osnovni_podaci!D20,8,1)=" "),VLOOKUP( $B143, T_Aop[], 6, 1),A1)</f>
        <v xml:space="preserve">      1.4. Kratkoročne obaveze po fer vrijednosti kroz bilans uspjeha</v>
      </c>
      <c r="E143" s="612"/>
      <c r="F143" s="612"/>
      <c r="G143" s="612"/>
      <c r="H143" s="613"/>
      <c r="I143" s="122">
        <f>IF(AND([0]!Godina=2026,MID(Osnovni_podaci!D20,3,1)="s",Osnovni_podaci!L24=6,Osnovni_podaci!G24=0,MID(Osnovni_podaci!D20,3,1)="s",MID(Osnovni_podaci!D20,8,1)=" "),VLOOKUP( $B143, T_Aop[], 4, 1),A1)</f>
        <v>152</v>
      </c>
      <c r="J143" s="155"/>
      <c r="K143" s="602"/>
      <c r="L143" s="603"/>
      <c r="M143" s="195"/>
      <c r="N143" s="196"/>
      <c r="P143" s="44"/>
    </row>
    <row r="144" spans="2:16" x14ac:dyDescent="0.3">
      <c r="B144" s="15">
        <v>120</v>
      </c>
      <c r="C144" s="358">
        <f>IF(AND([0]!Godina=2026,MID(Osnovni_podaci!D20,3,1)="s",Osnovni_podaci!L24=6,Osnovni_podaci!G24=0,MID(Osnovni_podaci!D20,3,1)="s",MID(Osnovni_podaci!D20,8,1)=" "),VLOOKUP( $B144, T_Aop[], 5, 1),A1)</f>
        <v>428</v>
      </c>
      <c r="D144" s="608" t="str">
        <f>IF(AND([0]!Godina=2026,MID(Osnovni_podaci!D20,3,1)="s",Osnovni_podaci!L24=6,Osnovni_podaci!G24=0,MID(Osnovni_podaci!D20,3,1)="s",MID(Osnovni_podaci!D20,8,1)=" "),VLOOKUP( $B144, T_Aop[], 6, 1),A1)</f>
        <v xml:space="preserve">      1.5. Derivatne finansijske obaveze</v>
      </c>
      <c r="E144" s="609"/>
      <c r="F144" s="609"/>
      <c r="G144" s="609"/>
      <c r="H144" s="610"/>
      <c r="I144" s="121">
        <f>IF(AND([0]!Godina=2026,MID(Osnovni_podaci!D20,3,1)="s",Osnovni_podaci!L24=6,Osnovni_podaci!G24=0,MID(Osnovni_podaci!D20,3,1)="s",MID(Osnovni_podaci!D20,8,1)=" "),VLOOKUP( $B144, T_Aop[], 4, 1),A1)</f>
        <v>153</v>
      </c>
      <c r="J144" s="157"/>
      <c r="K144" s="604"/>
      <c r="L144" s="605"/>
      <c r="M144" s="197"/>
      <c r="N144" s="198"/>
      <c r="P144" s="44"/>
    </row>
    <row r="145" spans="2:16" x14ac:dyDescent="0.3">
      <c r="B145" s="15">
        <v>121</v>
      </c>
      <c r="C145" s="359">
        <f>IF(AND([0]!Godina=2026,MID(Osnovni_podaci!D20,3,1)="s",Osnovni_podaci!L24=6,Osnovni_podaci!G24=0,MID(Osnovni_podaci!D20,3,1)="s",MID(Osnovni_podaci!D20,8,1)=" "),VLOOKUP( $B145, T_Aop[], 5, 1),A1)</f>
        <v>429</v>
      </c>
      <c r="D145" s="611" t="str">
        <f>IF(AND([0]!Godina=2026,MID(Osnovni_podaci!D20,3,1)="s",Osnovni_podaci!L24=6,Osnovni_podaci!G24=0,MID(Osnovni_podaci!D20,3,1)="s",MID(Osnovni_podaci!D20,8,1)=" "),VLOOKUP( $B145, T_Aop[], 6, 1),A1)</f>
        <v xml:space="preserve">      1.6. Ostale obaveze po amortizovanoj vrijednosti</v>
      </c>
      <c r="E145" s="612"/>
      <c r="F145" s="612"/>
      <c r="G145" s="612"/>
      <c r="H145" s="613"/>
      <c r="I145" s="122">
        <f>IF(AND([0]!Godina=2026,MID(Osnovni_podaci!D20,3,1)="s",Osnovni_podaci!L24=6,Osnovni_podaci!G24=0,MID(Osnovni_podaci!D20,3,1)="s",MID(Osnovni_podaci!D20,8,1)=" "),VLOOKUP( $B145, T_Aop[], 4, 1),A1)</f>
        <v>154</v>
      </c>
      <c r="J145" s="155">
        <v>12</v>
      </c>
      <c r="K145" s="602"/>
      <c r="L145" s="603"/>
      <c r="M145" s="195">
        <v>1200000</v>
      </c>
      <c r="N145" s="196">
        <v>800000</v>
      </c>
      <c r="P145" s="44"/>
    </row>
    <row r="146" spans="2:16" x14ac:dyDescent="0.3">
      <c r="B146" s="15">
        <v>122</v>
      </c>
      <c r="C146" s="358">
        <f>IF(AND([0]!Godina=2026,MID(Osnovni_podaci!D20,3,1)="s",Osnovni_podaci!L24=6,Osnovni_podaci!G24=0,MID(Osnovni_podaci!D20,3,1)="s",MID(Osnovni_podaci!D20,8,1)=" "),VLOOKUP( $B146, T_Aop[], 5, 1),A1)</f>
        <v>43</v>
      </c>
      <c r="D146" s="608" t="str">
        <f>IF(AND([0]!Godina=2026,MID(Osnovni_podaci!D20,3,1)="s",Osnovni_podaci!L24=6,Osnovni_podaci!G24=0,MID(Osnovni_podaci!D20,3,1)="s",MID(Osnovni_podaci!D20,8,1)=" "),VLOOKUP( $B146, T_Aop[], 6, 1),A1)</f>
        <v xml:space="preserve">    2. Obaveze iz poslovanja (156 do 160)</v>
      </c>
      <c r="E146" s="609"/>
      <c r="F146" s="609"/>
      <c r="G146" s="609"/>
      <c r="H146" s="610"/>
      <c r="I146" s="121">
        <f>IF(AND([0]!Godina=2026,MID(Osnovni_podaci!D20,3,1)="s",Osnovni_podaci!L24=6,Osnovni_podaci!G24=0,MID(Osnovni_podaci!D20,3,1)="s",MID(Osnovni_podaci!D20,8,1)=" "),VLOOKUP( $B146, T_Aop[], 4, 1),A1)</f>
        <v>155</v>
      </c>
      <c r="J146" s="157">
        <v>13</v>
      </c>
      <c r="K146" s="604"/>
      <c r="L146" s="605"/>
      <c r="M146" s="445">
        <f>SUBTOTAL( 9, M147:M151)</f>
        <v>2060651</v>
      </c>
      <c r="N146" s="450">
        <f>SUBTOTAL( 9, N147:N151)</f>
        <v>1674722</v>
      </c>
      <c r="P146" s="44"/>
    </row>
    <row r="147" spans="2:16" x14ac:dyDescent="0.3">
      <c r="B147" s="15">
        <v>123</v>
      </c>
      <c r="C147" s="359" t="str">
        <f>IF(AND([0]!Godina=2026,MID(Osnovni_podaci!D20,3,1)="s",Osnovni_podaci!L24=6,Osnovni_podaci!G24=0,MID(Osnovni_podaci!D20,3,1)="s",MID(Osnovni_podaci!D20,8,1)=" "),VLOOKUP( $B147, T_Aop[], 5, 1),A1)</f>
        <v>430 i 436</v>
      </c>
      <c r="D147" s="611" t="str">
        <f>IF(AND([0]!Godina=2026,MID(Osnovni_podaci!D20,3,1)="s",Osnovni_podaci!L24=6,Osnovni_podaci!G24=0,MID(Osnovni_podaci!D20,3,1)="s",MID(Osnovni_podaci!D20,8,1)=" "),VLOOKUP( $B147, T_Aop[], 6, 1),A1)</f>
        <v xml:space="preserve">      2.1. Primljeni avansi, depoziti i kaucije</v>
      </c>
      <c r="E147" s="612"/>
      <c r="F147" s="612"/>
      <c r="G147" s="612"/>
      <c r="H147" s="613"/>
      <c r="I147" s="122">
        <f>IF(AND([0]!Godina=2026,MID(Osnovni_podaci!D20,3,1)="s",Osnovni_podaci!L24=6,Osnovni_podaci!G24=0,MID(Osnovni_podaci!D20,3,1)="s",MID(Osnovni_podaci!D20,8,1)=" "),VLOOKUP( $B147, T_Aop[], 4, 1),A1)</f>
        <v>156</v>
      </c>
      <c r="J147" s="155">
        <v>13</v>
      </c>
      <c r="K147" s="602"/>
      <c r="L147" s="603"/>
      <c r="M147" s="195">
        <v>130703</v>
      </c>
      <c r="N147" s="196">
        <v>148766</v>
      </c>
      <c r="P147" s="44"/>
    </row>
    <row r="148" spans="2:16" x14ac:dyDescent="0.3">
      <c r="B148" s="15">
        <v>124</v>
      </c>
      <c r="C148" s="358">
        <f>IF(AND([0]!Godina=2026,MID(Osnovni_podaci!D20,3,1)="s",Osnovni_podaci!L24=6,Osnovni_podaci!G24=0,MID(Osnovni_podaci!D20,3,1)="s",MID(Osnovni_podaci!D20,8,1)=" "),VLOOKUP( $B148, T_Aop[], 5, 1),A1)</f>
        <v>431</v>
      </c>
      <c r="D148" s="608" t="str">
        <f>IF(AND([0]!Godina=2026,MID(Osnovni_podaci!D20,3,1)="s",Osnovni_podaci!L24=6,Osnovni_podaci!G24=0,MID(Osnovni_podaci!D20,3,1)="s",MID(Osnovni_podaci!D20,8,1)=" "),VLOOKUP( $B148, T_Aop[], 6, 1),A1)</f>
        <v xml:space="preserve">      2.2. Dobavljači – povezana pravna lica</v>
      </c>
      <c r="E148" s="609"/>
      <c r="F148" s="609"/>
      <c r="G148" s="609"/>
      <c r="H148" s="610"/>
      <c r="I148" s="121">
        <f>IF(AND([0]!Godina=2026,MID(Osnovni_podaci!D20,3,1)="s",Osnovni_podaci!L24=6,Osnovni_podaci!G24=0,MID(Osnovni_podaci!D20,3,1)="s",MID(Osnovni_podaci!D20,8,1)=" "),VLOOKUP( $B148, T_Aop[], 4, 1),A1)</f>
        <v>157</v>
      </c>
      <c r="J148" s="157">
        <v>13</v>
      </c>
      <c r="K148" s="604"/>
      <c r="L148" s="605"/>
      <c r="M148" s="197">
        <v>906669</v>
      </c>
      <c r="N148" s="198">
        <v>572248</v>
      </c>
      <c r="P148" s="44"/>
    </row>
    <row r="149" spans="2:16" x14ac:dyDescent="0.3">
      <c r="B149" s="15">
        <v>125</v>
      </c>
      <c r="C149" s="359" t="str">
        <f>IF(AND([0]!Godina=2026,MID(Osnovni_podaci!D20,3,1)="s",Osnovni_podaci!L24=6,Osnovni_podaci!G24=0,MID(Osnovni_podaci!D20,3,1)="s",MID(Osnovni_podaci!D20,8,1)=" "),VLOOKUP( $B149, T_Aop[], 5, 1),A1)</f>
        <v>432, 433, 434</v>
      </c>
      <c r="D149" s="611" t="str">
        <f>IF(AND([0]!Godina=2026,MID(Osnovni_podaci!D20,3,1)="s",Osnovni_podaci!L24=6,Osnovni_podaci!G24=0,MID(Osnovni_podaci!D20,3,1)="s",MID(Osnovni_podaci!D20,8,1)=" "),VLOOKUP( $B149, T_Aop[], 6, 1),A1)</f>
        <v xml:space="preserve">      2.3. Dobavljači u zemlji</v>
      </c>
      <c r="E149" s="612"/>
      <c r="F149" s="612"/>
      <c r="G149" s="612"/>
      <c r="H149" s="613"/>
      <c r="I149" s="122">
        <f>IF(AND([0]!Godina=2026,MID(Osnovni_podaci!D20,3,1)="s",Osnovni_podaci!L24=6,Osnovni_podaci!G24=0,MID(Osnovni_podaci!D20,3,1)="s",MID(Osnovni_podaci!D20,8,1)=" "),VLOOKUP( $B149, T_Aop[], 4, 1),A1)</f>
        <v>158</v>
      </c>
      <c r="J149" s="155">
        <v>13</v>
      </c>
      <c r="K149" s="602"/>
      <c r="L149" s="603"/>
      <c r="M149" s="195">
        <v>1023279</v>
      </c>
      <c r="N149" s="196">
        <v>953708</v>
      </c>
      <c r="P149" s="44"/>
    </row>
    <row r="150" spans="2:16" x14ac:dyDescent="0.3">
      <c r="B150" s="15">
        <v>126</v>
      </c>
      <c r="C150" s="358">
        <f>IF(AND([0]!Godina=2026,MID(Osnovni_podaci!D20,3,1)="s",Osnovni_podaci!L24=6,Osnovni_podaci!G24=0,MID(Osnovni_podaci!D20,3,1)="s",MID(Osnovni_podaci!D20,8,1)=" "),VLOOKUP( $B150, T_Aop[], 5, 1),A1)</f>
        <v>435</v>
      </c>
      <c r="D150" s="608" t="str">
        <f>IF(AND([0]!Godina=2026,MID(Osnovni_podaci!D20,3,1)="s",Osnovni_podaci!L24=6,Osnovni_podaci!G24=0,MID(Osnovni_podaci!D20,3,1)="s",MID(Osnovni_podaci!D20,8,1)=" "),VLOOKUP( $B150, T_Aop[], 6, 1),A1)</f>
        <v xml:space="preserve">      2.4. Dobavljači iz inostranstva</v>
      </c>
      <c r="E150" s="609"/>
      <c r="F150" s="609"/>
      <c r="G150" s="609"/>
      <c r="H150" s="610"/>
      <c r="I150" s="121">
        <f>IF(AND([0]!Godina=2026,MID(Osnovni_podaci!D20,3,1)="s",Osnovni_podaci!L24=6,Osnovni_podaci!G24=0,MID(Osnovni_podaci!D20,3,1)="s",MID(Osnovni_podaci!D20,8,1)=" "),VLOOKUP( $B150, T_Aop[], 4, 1),A1)</f>
        <v>159</v>
      </c>
      <c r="J150" s="157"/>
      <c r="K150" s="604"/>
      <c r="L150" s="605"/>
      <c r="M150" s="197"/>
      <c r="N150" s="198"/>
      <c r="P150" s="44"/>
    </row>
    <row r="151" spans="2:16" x14ac:dyDescent="0.3">
      <c r="B151" s="15">
        <v>127</v>
      </c>
      <c r="C151" s="359" t="str">
        <f>IF(AND([0]!Godina=2026,MID(Osnovni_podaci!D20,3,1)="s",Osnovni_podaci!L24=6,Osnovni_podaci!G24=0,MID(Osnovni_podaci!D20,3,1)="s",MID(Osnovni_podaci!D20,8,1)=" "),VLOOKUP( $B151, T_Aop[], 5, 1),A1)</f>
        <v>437, 439</v>
      </c>
      <c r="D151" s="611" t="str">
        <f>IF(AND([0]!Godina=2026,MID(Osnovni_podaci!D20,3,1)="s",Osnovni_podaci!L24=6,Osnovni_podaci!G24=0,MID(Osnovni_podaci!D20,3,1)="s",MID(Osnovni_podaci!D20,8,1)=" "),VLOOKUP( $B151, T_Aop[], 6, 1),A1)</f>
        <v xml:space="preserve">      2.5. Ostale obaveze iz poslovanja</v>
      </c>
      <c r="E151" s="612"/>
      <c r="F151" s="612"/>
      <c r="G151" s="612"/>
      <c r="H151" s="613"/>
      <c r="I151" s="122">
        <f>IF(AND([0]!Godina=2026,MID(Osnovni_podaci!D20,3,1)="s",Osnovni_podaci!L24=6,Osnovni_podaci!G24=0,MID(Osnovni_podaci!D20,3,1)="s",MID(Osnovni_podaci!D20,8,1)=" "),VLOOKUP( $B151, T_Aop[], 4, 1),A1)</f>
        <v>160</v>
      </c>
      <c r="J151" s="155"/>
      <c r="K151" s="602"/>
      <c r="L151" s="603"/>
      <c r="M151" s="195"/>
      <c r="N151" s="196"/>
      <c r="P151" s="44"/>
    </row>
    <row r="152" spans="2:16" x14ac:dyDescent="0.3">
      <c r="B152" s="15">
        <v>128</v>
      </c>
      <c r="C152" s="358" t="str">
        <f>IF(AND([0]!Godina=2026,MID(Osnovni_podaci!D20,3,1)="s",Osnovni_podaci!L24=6,Osnovni_podaci!G24=0,MID(Osnovni_podaci!D20,3,1)="s",MID(Osnovni_podaci!D20,8,1)=" "),VLOOKUP( $B152, T_Aop[], 5, 1),A1)</f>
        <v>440 do 449</v>
      </c>
      <c r="D152" s="608" t="str">
        <f>IF(AND([0]!Godina=2026,MID(Osnovni_podaci!D20,3,1)="s",Osnovni_podaci!L24=6,Osnovni_podaci!G24=0,MID(Osnovni_podaci!D20,3,1)="s",MID(Osnovni_podaci!D20,8,1)=" "),VLOOKUP( $B152, T_Aop[], 6, 1),A1)</f>
        <v xml:space="preserve">    3. Obaveze iz specifičnih poslova</v>
      </c>
      <c r="E152" s="609"/>
      <c r="F152" s="609"/>
      <c r="G152" s="609"/>
      <c r="H152" s="610"/>
      <c r="I152" s="121">
        <f>IF(AND([0]!Godina=2026,MID(Osnovni_podaci!D20,3,1)="s",Osnovni_podaci!L24=6,Osnovni_podaci!G24=0,MID(Osnovni_podaci!D20,3,1)="s",MID(Osnovni_podaci!D20,8,1)=" "),VLOOKUP( $B152, T_Aop[], 4, 1),A1)</f>
        <v>161</v>
      </c>
      <c r="J152" s="157"/>
      <c r="K152" s="604"/>
      <c r="L152" s="605"/>
      <c r="M152" s="197"/>
      <c r="N152" s="395"/>
      <c r="P152" s="44"/>
    </row>
    <row r="153" spans="2:16" x14ac:dyDescent="0.3">
      <c r="B153" s="15">
        <v>129</v>
      </c>
      <c r="C153" s="359" t="str">
        <f>IF(AND([0]!Godina=2026,MID(Osnovni_podaci!D20,3,1)="s",Osnovni_podaci!L24=6,Osnovni_podaci!G24=0,MID(Osnovni_podaci!D20,3,1)="s",MID(Osnovni_podaci!D20,8,1)=" "),VLOOKUP( $B153, T_Aop[], 5, 1),A1)</f>
        <v>450 do 458</v>
      </c>
      <c r="D153" s="611" t="str">
        <f>IF(AND([0]!Godina=2026,MID(Osnovni_podaci!D20,3,1)="s",Osnovni_podaci!L24=6,Osnovni_podaci!G24=0,MID(Osnovni_podaci!D20,3,1)="s",MID(Osnovni_podaci!D20,8,1)=" "),VLOOKUP( $B153, T_Aop[], 6, 1),A1)</f>
        <v xml:space="preserve">    4. Obaveze za plate i naknade plata</v>
      </c>
      <c r="E153" s="612"/>
      <c r="F153" s="612"/>
      <c r="G153" s="612"/>
      <c r="H153" s="613"/>
      <c r="I153" s="122">
        <f>IF(AND([0]!Godina=2026,MID(Osnovni_podaci!D20,3,1)="s",Osnovni_podaci!L24=6,Osnovni_podaci!G24=0,MID(Osnovni_podaci!D20,3,1)="s",MID(Osnovni_podaci!D20,8,1)=" "),VLOOKUP( $B153, T_Aop[], 4, 1),A1)</f>
        <v>162</v>
      </c>
      <c r="J153" s="155"/>
      <c r="K153" s="602"/>
      <c r="L153" s="603"/>
      <c r="M153" s="195">
        <v>421932</v>
      </c>
      <c r="N153" s="396">
        <v>436733</v>
      </c>
      <c r="P153" s="44"/>
    </row>
    <row r="154" spans="2:16" x14ac:dyDescent="0.3">
      <c r="B154" s="15">
        <v>130</v>
      </c>
      <c r="C154" s="358" t="str">
        <f>IF(AND([0]!Godina=2026,MID(Osnovni_podaci!D20,3,1)="s",Osnovni_podaci!L24=6,Osnovni_podaci!G24=0,MID(Osnovni_podaci!D20,3,1)="s",MID(Osnovni_podaci!D20,8,1)=" "),VLOOKUP( $B154, T_Aop[], 5, 1),A1)</f>
        <v>460 do 469</v>
      </c>
      <c r="D154" s="608" t="str">
        <f>IF(AND([0]!Godina=2026,MID(Osnovni_podaci!D20,3,1)="s",Osnovni_podaci!L24=6,Osnovni_podaci!G24=0,MID(Osnovni_podaci!D20,3,1)="s",MID(Osnovni_podaci!D20,8,1)=" "),VLOOKUP( $B154, T_Aop[], 6, 1),A1)</f>
        <v xml:space="preserve">    5. Ostale obaveze</v>
      </c>
      <c r="E154" s="609"/>
      <c r="F154" s="609"/>
      <c r="G154" s="609"/>
      <c r="H154" s="610"/>
      <c r="I154" s="121">
        <f>IF(AND([0]!Godina=2026,MID(Osnovni_podaci!D20,3,1)="s",Osnovni_podaci!L24=6,Osnovni_podaci!G24=0,MID(Osnovni_podaci!D20,3,1)="s",MID(Osnovni_podaci!D20,8,1)=" "),VLOOKUP( $B154, T_Aop[], 4, 1),A1)</f>
        <v>163</v>
      </c>
      <c r="J154" s="157"/>
      <c r="K154" s="604"/>
      <c r="L154" s="605"/>
      <c r="M154" s="197">
        <v>92562</v>
      </c>
      <c r="N154" s="395">
        <v>95792</v>
      </c>
      <c r="P154" s="44"/>
    </row>
    <row r="155" spans="2:16" x14ac:dyDescent="0.3">
      <c r="B155" s="15">
        <v>131</v>
      </c>
      <c r="C155" s="359" t="str">
        <f>IF(AND([0]!Godina=2026,MID(Osnovni_podaci!D20,3,1)="s",Osnovni_podaci!L24=6,Osnovni_podaci!G24=0,MID(Osnovni_podaci!D20,3,1)="s",MID(Osnovni_podaci!D20,8,1)=" "),VLOOKUP( $B155, T_Aop[], 5, 1),A1)</f>
        <v>470 do 479</v>
      </c>
      <c r="D155" s="611" t="str">
        <f>IF(AND([0]!Godina=2026,MID(Osnovni_podaci!D20,3,1)="s",Osnovni_podaci!L24=6,Osnovni_podaci!G24=0,MID(Osnovni_podaci!D20,3,1)="s",MID(Osnovni_podaci!D20,8,1)=" "),VLOOKUP( $B155, T_Aop[], 6, 1),A1)</f>
        <v xml:space="preserve">    6. Porez na dodatu vrijednost</v>
      </c>
      <c r="E155" s="612"/>
      <c r="F155" s="612"/>
      <c r="G155" s="612"/>
      <c r="H155" s="613"/>
      <c r="I155" s="122">
        <f>IF(AND([0]!Godina=2026,MID(Osnovni_podaci!D20,3,1)="s",Osnovni_podaci!L24=6,Osnovni_podaci!G24=0,MID(Osnovni_podaci!D20,3,1)="s",MID(Osnovni_podaci!D20,8,1)=" "),VLOOKUP( $B155, T_Aop[], 4, 1),A1)</f>
        <v>164</v>
      </c>
      <c r="J155" s="155"/>
      <c r="K155" s="602"/>
      <c r="L155" s="603"/>
      <c r="M155" s="195">
        <v>183805</v>
      </c>
      <c r="N155" s="396"/>
      <c r="P155" s="44"/>
    </row>
    <row r="156" spans="2:16" ht="12.75" customHeight="1" x14ac:dyDescent="0.3">
      <c r="B156" s="15">
        <v>132</v>
      </c>
      <c r="C156" s="358" t="str">
        <f>IF(AND([0]!Godina=2026,MID(Osnovni_podaci!D20,3,1)="s",Osnovni_podaci!L24=6,Osnovni_podaci!G24=0,MID(Osnovni_podaci!D20,3,1)="s",MID(Osnovni_podaci!D20,8,1)=" "),VLOOKUP( $B156, T_Aop[], 5, 1),A1)</f>
        <v>48, osim 481</v>
      </c>
      <c r="D156" s="608" t="str">
        <f>IF(AND([0]!Godina=2026,MID(Osnovni_podaci!D20,3,1)="s",Osnovni_podaci!L24=6,Osnovni_podaci!G24=0,MID(Osnovni_podaci!D20,3,1)="s",MID(Osnovni_podaci!D20,8,1)=" "),VLOOKUP( $B156, T_Aop[], 6, 1),A1)</f>
        <v xml:space="preserve">    7. Obaveze za ostale poreze, doprinose i druge dažbine</v>
      </c>
      <c r="E156" s="609"/>
      <c r="F156" s="609"/>
      <c r="G156" s="609"/>
      <c r="H156" s="610"/>
      <c r="I156" s="121">
        <f>IF(AND([0]!Godina=2026,MID(Osnovni_podaci!D20,3,1)="s",Osnovni_podaci!L24=6,Osnovni_podaci!G24=0,MID(Osnovni_podaci!D20,3,1)="s",MID(Osnovni_podaci!D20,8,1)=" "),VLOOKUP( $B156, T_Aop[], 4, 1),A1)</f>
        <v>165</v>
      </c>
      <c r="J156" s="157"/>
      <c r="K156" s="604"/>
      <c r="L156" s="605"/>
      <c r="M156" s="197">
        <v>13628</v>
      </c>
      <c r="N156" s="395">
        <v>11662</v>
      </c>
      <c r="P156" s="44"/>
    </row>
    <row r="157" spans="2:16" ht="10.5" customHeight="1" x14ac:dyDescent="0.3">
      <c r="B157" s="15">
        <v>133</v>
      </c>
      <c r="C157" s="359">
        <f>IF(AND([0]!Godina=2026,MID(Osnovni_podaci!D20,3,1)="s",Osnovni_podaci!L24=6,Osnovni_podaci!G24=0,MID(Osnovni_podaci!D20,3,1)="s",MID(Osnovni_podaci!D20,8,1)=" "),VLOOKUP( $B157, T_Aop[], 5, 1),A1)</f>
        <v>481</v>
      </c>
      <c r="D157" s="611" t="str">
        <f>IF(AND([0]!Godina=2026,MID(Osnovni_podaci!D20,3,1)="s",Osnovni_podaci!L24=6,Osnovni_podaci!G24=0,MID(Osnovni_podaci!D20,3,1)="s",MID(Osnovni_podaci!D20,8,1)=" "),VLOOKUP( $B157, T_Aop[], 6, 1),A1)</f>
        <v xml:space="preserve">    8. Obaveze za porez na dobit</v>
      </c>
      <c r="E157" s="612"/>
      <c r="F157" s="612"/>
      <c r="G157" s="612"/>
      <c r="H157" s="613"/>
      <c r="I157" s="122">
        <f>IF(AND([0]!Godina=2026,MID(Osnovni_podaci!D20,3,1)="s",Osnovni_podaci!L24=6,Osnovni_podaci!G24=0,MID(Osnovni_podaci!D20,3,1)="s",MID(Osnovni_podaci!D20,8,1)=" "),VLOOKUP( $B157, T_Aop[], 4, 1),A1)</f>
        <v>166</v>
      </c>
      <c r="J157" s="155"/>
      <c r="K157" s="602"/>
      <c r="L157" s="603"/>
      <c r="M157" s="195">
        <v>78694</v>
      </c>
      <c r="N157" s="396"/>
      <c r="P157" s="44"/>
    </row>
    <row r="158" spans="2:16" ht="12.75" customHeight="1" x14ac:dyDescent="0.3">
      <c r="B158" s="15">
        <v>134</v>
      </c>
      <c r="C158" s="358" t="str">
        <f>IF(AND([0]!Godina=2026,MID(Osnovni_podaci!D20,3,1)="s",Osnovni_podaci!L24=6,Osnovni_podaci!G24=0,MID(Osnovni_podaci!D20,3,1)="s",MID(Osnovni_podaci!D20,8,1)=" "),VLOOKUP( $B158, T_Aop[], 5, 1),A1)</f>
        <v>49, osim 496</v>
      </c>
      <c r="D158" s="608" t="str">
        <f>IF(AND([0]!Godina=2026,MID(Osnovni_podaci!D20,3,1)="s",Osnovni_podaci!L24=6,Osnovni_podaci!G24=0,MID(Osnovni_podaci!D20,3,1)="s",MID(Osnovni_podaci!D20,8,1)=" "),VLOOKUP( $B158, T_Aop[], 6, 1),A1)</f>
        <v xml:space="preserve">    9. Kratkoročna razgraničenja</v>
      </c>
      <c r="E158" s="609"/>
      <c r="F158" s="609"/>
      <c r="G158" s="609"/>
      <c r="H158" s="610"/>
      <c r="I158" s="121">
        <f>IF(AND([0]!Godina=2026,MID(Osnovni_podaci!D20,3,1)="s",Osnovni_podaci!L24=6,Osnovni_podaci!G24=0,MID(Osnovni_podaci!D20,3,1)="s",MID(Osnovni_podaci!D20,8,1)=" "),VLOOKUP( $B158, T_Aop[], 4, 1),A1)</f>
        <v>167</v>
      </c>
      <c r="J158" s="157"/>
      <c r="K158" s="604"/>
      <c r="L158" s="605"/>
      <c r="M158" s="197">
        <v>126813</v>
      </c>
      <c r="N158" s="198">
        <v>137000</v>
      </c>
      <c r="P158" s="44"/>
    </row>
    <row r="159" spans="2:16" ht="12.75" customHeight="1" x14ac:dyDescent="0.3">
      <c r="B159" s="15">
        <v>135</v>
      </c>
      <c r="C159" s="359">
        <f>VLOOKUP( $B159, T_Aop[], 5, 1)</f>
        <v>496</v>
      </c>
      <c r="D159" s="611" t="str">
        <f>IF(AND([0]!Godina=2026,MID(Osnovni_podaci!D20,3,1)="s",Osnovni_podaci!L24=6,Osnovni_podaci!G24=0,MID(Osnovni_podaci!D20,3,1)="s",MID(Osnovni_podaci!D20,8,1)=" "),VLOOKUP( $B159, T_Aop[], 6, 1),A1)</f>
        <v xml:space="preserve">    10. Kratkoročna rezervisanja</v>
      </c>
      <c r="E159" s="612"/>
      <c r="F159" s="612"/>
      <c r="G159" s="612"/>
      <c r="H159" s="613"/>
      <c r="I159" s="122">
        <f>IF(AND([0]!Godina=2026,MID(Osnovni_podaci!D20,3,1)="s",Osnovni_podaci!L24=6,Osnovni_podaci!G24=0,MID(Osnovni_podaci!D20,3,1)="s",MID(Osnovni_podaci!D20,8,1)=" "),VLOOKUP( $B159, T_Aop[], 4, 1),A1)</f>
        <v>168</v>
      </c>
      <c r="J159" s="155"/>
      <c r="K159" s="602"/>
      <c r="L159" s="603"/>
      <c r="M159" s="195"/>
      <c r="N159" s="196"/>
    </row>
    <row r="160" spans="2:16" ht="6.25" customHeight="1" x14ac:dyDescent="0.3">
      <c r="B160" s="15">
        <v>136</v>
      </c>
      <c r="C160" s="358"/>
      <c r="D160" s="608" t="str">
        <f>IF(AND([0]!Godina=2026,MID(Osnovni_podaci!D20,3,1)="s",Osnovni_podaci!L24=6,Osnovni_podaci!G24=0,MID(Osnovni_podaci!D20,3,1)="s",MID(Osnovni_podaci!D20,8,1)=" "),VLOOKUP( $B160, T_Aop[], 6, 1),A1)</f>
        <v/>
      </c>
      <c r="E160" s="609"/>
      <c r="F160" s="609"/>
      <c r="G160" s="609"/>
      <c r="H160" s="610"/>
      <c r="I160" s="170">
        <f>IF(AND([0]!Godina=2026,MID(Osnovni_podaci!D20,3,1)="s",Osnovni_podaci!L24=6,Osnovni_podaci!G24=0,MID(Osnovni_podaci!D20,3,1)="s",MID(Osnovni_podaci!D20,8,1)=" "),VLOOKUP( $B160, T_Aop[], 4, 1),A1)</f>
        <v>0</v>
      </c>
      <c r="J160" s="157"/>
      <c r="K160" s="604"/>
      <c r="L160" s="605"/>
      <c r="M160" s="197"/>
      <c r="N160" s="198"/>
    </row>
    <row r="161" spans="2:20" ht="12.75" customHeight="1" x14ac:dyDescent="0.3">
      <c r="B161" s="15">
        <v>137</v>
      </c>
      <c r="C161" s="359"/>
      <c r="D161" s="619" t="str">
        <f>IF(AND([0]!Godina=2026,MID(Osnovni_podaci!D20,3,1)="s",Osnovni_podaci!L24=6,Osnovni_podaci!G24=0,MID(Osnovni_podaci!D20,3,1)="s",MID(Osnovni_podaci!D20,8,1)=" "),VLOOKUP( $B161, T_Aop[], 6, 1),A1)</f>
        <v xml:space="preserve">  D. BILANSNA PASIVA (101 + 132 + 146 + 147)</v>
      </c>
      <c r="E161" s="620"/>
      <c r="F161" s="620"/>
      <c r="G161" s="620"/>
      <c r="H161" s="621"/>
      <c r="I161" s="171">
        <f>IF(AND([0]!Godina=2026,MID(Osnovni_podaci!D20,3,1)="s",Osnovni_podaci!L24=6,Osnovni_podaci!G24=0,MID(Osnovni_podaci!D20,3,1)="s",MID(Osnovni_podaci!D20,8,1)=" "),VLOOKUP( $B161, T_Aop[], 4, 1),A1)</f>
        <v>169</v>
      </c>
      <c r="J161" s="155"/>
      <c r="K161" s="602"/>
      <c r="L161" s="603"/>
      <c r="M161" s="388">
        <f>SUBTOTAL( 9, M93:M100, M106:M109,M104, M110:M112,M113,M115:M118,M122:M159) - SUBTOTAL( 9, M114, M101:M103, M105,  M119:M121)</f>
        <v>27923165</v>
      </c>
      <c r="N161" s="399">
        <f>SUBTOTAL( 9, N93:N100, N106:N109,N104, N110:N112,N113,N115:N118,N122:N159) - SUBTOTAL( 9, N114, N101:N103, N105,  N119:N121)</f>
        <v>25282992</v>
      </c>
    </row>
    <row r="162" spans="2:20" ht="9.75" customHeight="1" x14ac:dyDescent="0.3">
      <c r="B162" s="15">
        <v>138</v>
      </c>
      <c r="C162" s="364" t="str">
        <f>VLOOKUP( $B162, T_Aop[], 5, 1)</f>
        <v>890 do 898</v>
      </c>
      <c r="D162" s="662" t="str">
        <f>IF(AND([0]!Godina=2026,MID(Osnovni_podaci!D20,3,1)="s",Osnovni_podaci!L24=6,Osnovni_podaci!G24=0,MID(Osnovni_podaci!D20,3,1)="s",MID(Osnovni_podaci!D20,8,1)=" "),VLOOKUP( $B162, T_Aop[], 6, 1),A1)</f>
        <v xml:space="preserve">  Đ. VANBILANSNA PASIVA</v>
      </c>
      <c r="E162" s="663"/>
      <c r="F162" s="663"/>
      <c r="G162" s="663"/>
      <c r="H162" s="664"/>
      <c r="I162" s="173">
        <f>IF(AND([0]!Godina=2026,MID(Osnovni_podaci!D20,3,1)="s",Osnovni_podaci!L24=6,Osnovni_podaci!G24=0,MID(Osnovni_podaci!D20,3,1)="s",MID(Osnovni_podaci!D20,8,1)=" "),VLOOKUP( $B162, T_Aop[], 4, 1),A1)</f>
        <v>170</v>
      </c>
      <c r="J162" s="511"/>
      <c r="K162" s="606"/>
      <c r="L162" s="607"/>
      <c r="M162" s="439"/>
      <c r="N162" s="438"/>
    </row>
    <row r="163" spans="2:20" ht="9.75" customHeight="1" x14ac:dyDescent="0.3"/>
    <row r="164" spans="2:20" ht="3" hidden="1" customHeight="1" x14ac:dyDescent="0.3"/>
    <row r="165" spans="2:20" ht="0.75" hidden="1" customHeight="1" x14ac:dyDescent="0.3">
      <c r="C165" s="180"/>
      <c r="D165" s="519"/>
      <c r="E165"/>
      <c r="F165" s="56"/>
    </row>
    <row r="166" spans="2:20" ht="25.5" customHeight="1" x14ac:dyDescent="0.3">
      <c r="C166" s="180" t="str">
        <f>Podnozje_U</f>
        <v>U:</v>
      </c>
      <c r="D166" s="419" t="str">
        <f>Podatak_U</f>
        <v>Banja Luci</v>
      </c>
      <c r="E166"/>
      <c r="F166" s="56" t="str">
        <f>Podnozje_Lice_sa_licencom</f>
        <v>Lice sa licencom:</v>
      </c>
      <c r="G166" s="8"/>
      <c r="H166" s="14" t="str">
        <f>Podnozje_Broj_licence</f>
        <v>Broj licence:</v>
      </c>
      <c r="J166" s="37" t="str">
        <f>Podnozje_MP</f>
        <v>(M.P.)</v>
      </c>
      <c r="L166" s="1" t="str">
        <f>Podnozje_Direktor</f>
        <v>Lice ovlašćeno za zastupanje:</v>
      </c>
      <c r="M166" s="1"/>
      <c r="N166" s="1"/>
      <c r="O166" s="14"/>
      <c r="P166" s="14"/>
      <c r="Q166" s="14"/>
      <c r="R166" s="14"/>
      <c r="S166" s="14"/>
      <c r="T166" s="29"/>
    </row>
    <row r="167" spans="2:20" ht="20.25" customHeight="1" x14ac:dyDescent="0.3">
      <c r="D167" s="127"/>
      <c r="E167" t="s">
        <v>786</v>
      </c>
      <c r="F167" s="678" t="str">
        <f>Podatak_Lice_sa_licencom</f>
        <v>Ljupko Miletić</v>
      </c>
      <c r="G167" s="678"/>
      <c r="H167" s="8" t="str">
        <f>Podatak_Broj_Licence</f>
        <v>SR-1057/26</v>
      </c>
      <c r="I167" s="78"/>
      <c r="L167" s="510" t="str">
        <f>Podatak_Direktor</f>
        <v>Aleksandar Bajić</v>
      </c>
      <c r="M167" s="510"/>
      <c r="N167" s="510"/>
      <c r="O167" s="14"/>
      <c r="P167" s="14"/>
      <c r="R167" s="14"/>
      <c r="S167" s="14"/>
      <c r="T167" s="29"/>
    </row>
    <row r="168" spans="2:20" ht="24.25" customHeight="1" x14ac:dyDescent="0.3">
      <c r="C168" s="180" t="str">
        <f>Podnozje_Dana</f>
        <v>Dana:</v>
      </c>
      <c r="D168" s="418" t="str">
        <f>Podatak_Dana</f>
        <v>31.07.2026.</v>
      </c>
      <c r="E168"/>
      <c r="F168" s="417"/>
      <c r="G168"/>
      <c r="H168" s="8"/>
      <c r="I168" s="8"/>
      <c r="J168" s="9"/>
      <c r="L168" s="521"/>
      <c r="M168" s="521"/>
      <c r="N168" s="520"/>
      <c r="O168" s="14"/>
      <c r="P168" s="14"/>
      <c r="Q168" s="14"/>
      <c r="R168" s="14"/>
      <c r="S168" s="14"/>
      <c r="T168" s="29"/>
    </row>
    <row r="169" spans="2:20" ht="18.75" customHeight="1" x14ac:dyDescent="0.3"/>
    <row r="170" spans="2:20" ht="14.65" customHeight="1" x14ac:dyDescent="0.3">
      <c r="C170" s="180"/>
      <c r="D170" s="519"/>
      <c r="E170"/>
      <c r="F170" s="56"/>
      <c r="G170" s="8"/>
      <c r="H170" s="8" t="str">
        <f>_xlfn.TEXTJOIN(" ",FALSE,Osnovni_podaci!D66,Osnovni_podaci!D68)</f>
        <v xml:space="preserve"> </v>
      </c>
      <c r="I170" s="37"/>
      <c r="J170" s="677"/>
      <c r="K170" s="677"/>
      <c r="L170" s="677"/>
    </row>
    <row r="171" spans="2:20" hidden="1" x14ac:dyDescent="0.3">
      <c r="D171" s="127"/>
      <c r="E171"/>
      <c r="F171" s="678"/>
      <c r="G171" s="678"/>
      <c r="H171" s="8"/>
      <c r="I171" s="78"/>
      <c r="J171" s="679" t="s">
        <v>472</v>
      </c>
      <c r="K171" s="679"/>
      <c r="L171" s="679"/>
    </row>
    <row r="172" spans="2:20" hidden="1" x14ac:dyDescent="0.3">
      <c r="C172" s="180"/>
      <c r="D172" s="418"/>
      <c r="E172"/>
      <c r="F172" s="417"/>
      <c r="G172"/>
      <c r="H172" s="8"/>
      <c r="I172" s="8"/>
      <c r="J172" s="9"/>
      <c r="K172" s="262"/>
      <c r="L172" s="262"/>
    </row>
    <row r="173" spans="2:20" hidden="1" x14ac:dyDescent="0.3">
      <c r="C173" s="8"/>
      <c r="D173" s="9"/>
      <c r="E173" s="40"/>
      <c r="F173" s="8"/>
      <c r="G173" s="39"/>
      <c r="H173"/>
      <c r="I173" s="8"/>
      <c r="J173" s="8"/>
    </row>
    <row r="174" spans="2:20" hidden="1" x14ac:dyDescent="0.3">
      <c r="C174" s="37"/>
      <c r="D174" s="40"/>
      <c r="E174" s="40"/>
      <c r="F174" s="40"/>
      <c r="G174" s="40"/>
      <c r="H174" s="8"/>
      <c r="I174" s="9"/>
      <c r="J174" s="37"/>
      <c r="K174" s="37"/>
    </row>
    <row r="175" spans="2:20" x14ac:dyDescent="0.3"/>
  </sheetData>
  <sheetProtection algorithmName="SHA-512" hashValue="KIzyylTQH32ww3juI0SEuagmcKnh+C+FR+i17DF2QZpLa8OfBx5oSaSA7P+z0akH1KwGKvtG/l6bID8RnKBdzw==" saltValue="+jQugayC4qKPD7b/Teqdiw==" spinCount="100000" sheet="1" objects="1" scenarios="1"/>
  <mergeCells count="241">
    <mergeCell ref="J170:L170"/>
    <mergeCell ref="F171:G171"/>
    <mergeCell ref="J171:L171"/>
    <mergeCell ref="F167:G167"/>
    <mergeCell ref="D159:H159"/>
    <mergeCell ref="D160:H160"/>
    <mergeCell ref="D161:H161"/>
    <mergeCell ref="D162:H162"/>
    <mergeCell ref="C89:C90"/>
    <mergeCell ref="J89:J90"/>
    <mergeCell ref="D91:H91"/>
    <mergeCell ref="D155:H155"/>
    <mergeCell ref="D156:H156"/>
    <mergeCell ref="D157:H157"/>
    <mergeCell ref="D92:H92"/>
    <mergeCell ref="D93:H93"/>
    <mergeCell ref="D95:H95"/>
    <mergeCell ref="D94:H94"/>
    <mergeCell ref="D96:H96"/>
    <mergeCell ref="D97:H97"/>
    <mergeCell ref="D98:H98"/>
    <mergeCell ref="D99:H99"/>
    <mergeCell ref="D100:H100"/>
    <mergeCell ref="D101:H101"/>
    <mergeCell ref="D102:H102"/>
    <mergeCell ref="D103:H103"/>
    <mergeCell ref="D104:H104"/>
    <mergeCell ref="D105:H105"/>
    <mergeCell ref="D106:H106"/>
    <mergeCell ref="D107:H107"/>
    <mergeCell ref="D108:H108"/>
    <mergeCell ref="D109:H109"/>
    <mergeCell ref="D60:H60"/>
    <mergeCell ref="D61:H61"/>
    <mergeCell ref="D63:H63"/>
    <mergeCell ref="D76:H76"/>
    <mergeCell ref="D77:H77"/>
    <mergeCell ref="D78:H78"/>
    <mergeCell ref="D79:H79"/>
    <mergeCell ref="D80:H80"/>
    <mergeCell ref="D64:H64"/>
    <mergeCell ref="D65:H65"/>
    <mergeCell ref="D66:H66"/>
    <mergeCell ref="D67:H67"/>
    <mergeCell ref="D74:H74"/>
    <mergeCell ref="D75:H75"/>
    <mergeCell ref="D68:H68"/>
    <mergeCell ref="D69:H69"/>
    <mergeCell ref="D70:H70"/>
    <mergeCell ref="D71:H71"/>
    <mergeCell ref="D72:H72"/>
    <mergeCell ref="D73:H73"/>
    <mergeCell ref="D84:H84"/>
    <mergeCell ref="D87:H87"/>
    <mergeCell ref="N89:N90"/>
    <mergeCell ref="D81:H81"/>
    <mergeCell ref="D82:H82"/>
    <mergeCell ref="D83:H83"/>
    <mergeCell ref="D89:H90"/>
    <mergeCell ref="K89:L90"/>
    <mergeCell ref="D85:H85"/>
    <mergeCell ref="D86:H86"/>
    <mergeCell ref="I89:I90"/>
    <mergeCell ref="M89:M90"/>
    <mergeCell ref="D47:H47"/>
    <mergeCell ref="D48:H48"/>
    <mergeCell ref="D49:H49"/>
    <mergeCell ref="D50:H50"/>
    <mergeCell ref="D51:H51"/>
    <mergeCell ref="D62:H62"/>
    <mergeCell ref="D52:H52"/>
    <mergeCell ref="D53:H53"/>
    <mergeCell ref="D54:H54"/>
    <mergeCell ref="D55:H55"/>
    <mergeCell ref="D56:H56"/>
    <mergeCell ref="D57:H57"/>
    <mergeCell ref="D58:H58"/>
    <mergeCell ref="D59:H59"/>
    <mergeCell ref="D42:H42"/>
    <mergeCell ref="D43:H43"/>
    <mergeCell ref="D44:H44"/>
    <mergeCell ref="D45:H45"/>
    <mergeCell ref="D46:H46"/>
    <mergeCell ref="D35:H35"/>
    <mergeCell ref="D36:H36"/>
    <mergeCell ref="D37:H37"/>
    <mergeCell ref="D38:H38"/>
    <mergeCell ref="D39:H39"/>
    <mergeCell ref="D40:H40"/>
    <mergeCell ref="D41:H41"/>
    <mergeCell ref="C5:E6"/>
    <mergeCell ref="D18:H19"/>
    <mergeCell ref="D20:H20"/>
    <mergeCell ref="G10:H10"/>
    <mergeCell ref="N18:N19"/>
    <mergeCell ref="C18:C19"/>
    <mergeCell ref="K18:M18"/>
    <mergeCell ref="C15:N15"/>
    <mergeCell ref="C16:N16"/>
    <mergeCell ref="I18:I19"/>
    <mergeCell ref="C9:E9"/>
    <mergeCell ref="C7:E7"/>
    <mergeCell ref="J18:J19"/>
    <mergeCell ref="C10:E10"/>
    <mergeCell ref="C11:E11"/>
    <mergeCell ref="C12:E12"/>
    <mergeCell ref="C13:E13"/>
    <mergeCell ref="L9:N9"/>
    <mergeCell ref="D29:H29"/>
    <mergeCell ref="D30:H30"/>
    <mergeCell ref="D31:H31"/>
    <mergeCell ref="D32:H32"/>
    <mergeCell ref="D33:H33"/>
    <mergeCell ref="D34:H34"/>
    <mergeCell ref="D21:H21"/>
    <mergeCell ref="D22:H22"/>
    <mergeCell ref="D23:H23"/>
    <mergeCell ref="D24:H24"/>
    <mergeCell ref="D25:H25"/>
    <mergeCell ref="D26:H26"/>
    <mergeCell ref="D27:H27"/>
    <mergeCell ref="D28:H28"/>
    <mergeCell ref="D110:H110"/>
    <mergeCell ref="D111:H111"/>
    <mergeCell ref="D112:H112"/>
    <mergeCell ref="D113:H113"/>
    <mergeCell ref="D114:H114"/>
    <mergeCell ref="D115:H115"/>
    <mergeCell ref="D116:H116"/>
    <mergeCell ref="D136:H136"/>
    <mergeCell ref="D139:H139"/>
    <mergeCell ref="D117:H117"/>
    <mergeCell ref="D118:H118"/>
    <mergeCell ref="D119:H119"/>
    <mergeCell ref="D120:H120"/>
    <mergeCell ref="D121:H121"/>
    <mergeCell ref="D132:H132"/>
    <mergeCell ref="D133:H133"/>
    <mergeCell ref="D134:H134"/>
    <mergeCell ref="D135:H135"/>
    <mergeCell ref="D122:H122"/>
    <mergeCell ref="D123:H123"/>
    <mergeCell ref="D124:H124"/>
    <mergeCell ref="D125:H125"/>
    <mergeCell ref="D126:H126"/>
    <mergeCell ref="D127:H127"/>
    <mergeCell ref="D152:H152"/>
    <mergeCell ref="D153:H153"/>
    <mergeCell ref="D142:H142"/>
    <mergeCell ref="D143:H143"/>
    <mergeCell ref="D144:H144"/>
    <mergeCell ref="D145:H145"/>
    <mergeCell ref="D154:H154"/>
    <mergeCell ref="D158:H158"/>
    <mergeCell ref="D8:E8"/>
    <mergeCell ref="C14:N14"/>
    <mergeCell ref="D150:H150"/>
    <mergeCell ref="D151:H151"/>
    <mergeCell ref="D146:H146"/>
    <mergeCell ref="D147:H147"/>
    <mergeCell ref="D148:H148"/>
    <mergeCell ref="D149:H149"/>
    <mergeCell ref="D128:H128"/>
    <mergeCell ref="D129:H129"/>
    <mergeCell ref="D140:H140"/>
    <mergeCell ref="D141:H141"/>
    <mergeCell ref="D130:H130"/>
    <mergeCell ref="D131:H131"/>
    <mergeCell ref="D137:H137"/>
    <mergeCell ref="D138:H138"/>
    <mergeCell ref="K92:L92"/>
    <mergeCell ref="K93:L93"/>
    <mergeCell ref="K94:L94"/>
    <mergeCell ref="K95:L95"/>
    <mergeCell ref="K96:L96"/>
    <mergeCell ref="K97:L97"/>
    <mergeCell ref="K98:L98"/>
    <mergeCell ref="K99:L99"/>
    <mergeCell ref="K100:L100"/>
    <mergeCell ref="K101:L101"/>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4:L114"/>
    <mergeCell ref="K115:L115"/>
    <mergeCell ref="K116:L116"/>
    <mergeCell ref="K117:L117"/>
    <mergeCell ref="K118:L118"/>
    <mergeCell ref="K119:L119"/>
    <mergeCell ref="K120:L120"/>
    <mergeCell ref="K121:L121"/>
    <mergeCell ref="K122:L122"/>
    <mergeCell ref="K123:L123"/>
    <mergeCell ref="K124:L124"/>
    <mergeCell ref="K125:L125"/>
    <mergeCell ref="K126:L126"/>
    <mergeCell ref="K127:L127"/>
    <mergeCell ref="K128:L128"/>
    <mergeCell ref="K129:L129"/>
    <mergeCell ref="K130:L130"/>
    <mergeCell ref="K131:L131"/>
    <mergeCell ref="K132:L132"/>
    <mergeCell ref="K133:L133"/>
    <mergeCell ref="K134:L134"/>
    <mergeCell ref="K135:L135"/>
    <mergeCell ref="K136:L136"/>
    <mergeCell ref="K137:L137"/>
    <mergeCell ref="K138:L138"/>
    <mergeCell ref="K139:L139"/>
    <mergeCell ref="K140:L140"/>
    <mergeCell ref="K141:L141"/>
    <mergeCell ref="K142:L142"/>
    <mergeCell ref="K143:L143"/>
    <mergeCell ref="K144:L144"/>
    <mergeCell ref="K145:L145"/>
    <mergeCell ref="K155:L155"/>
    <mergeCell ref="K156:L156"/>
    <mergeCell ref="K157:L157"/>
    <mergeCell ref="K158:L158"/>
    <mergeCell ref="K159:L159"/>
    <mergeCell ref="K160:L160"/>
    <mergeCell ref="K161:L161"/>
    <mergeCell ref="K162:L162"/>
    <mergeCell ref="K146:L146"/>
    <mergeCell ref="K147:L147"/>
    <mergeCell ref="K148:L148"/>
    <mergeCell ref="K149:L149"/>
    <mergeCell ref="K150:L150"/>
    <mergeCell ref="K151:L151"/>
    <mergeCell ref="K152:L152"/>
    <mergeCell ref="K153:L153"/>
    <mergeCell ref="K154:L154"/>
  </mergeCells>
  <phoneticPr fontId="0" type="noConversion"/>
  <dataValidations xWindow="1226" yWindow="846" count="5">
    <dataValidation type="whole" operator="greaterThanOrEqual" allowBlank="1" showInputMessage="1" showErrorMessage="1" errorTitle="Greška" error="Unose se vrijednosti u konvertibilnim markama, bez decimalnih mjesta. Nije dozvoljen unos negativnih brojeva." sqref="K24:L24 N82:N85 K74:L80 K30:L36 N29:N36 M125:N127 N38:N41 N23:N27 M102:N103 M129:N137 K38:L41 K43:L44 N43:N44 K46:L49 N46:N49 M162:N162 M116:N118 M120:N122 K87:L87 M95:N100 K82:L85 M113:N114 K58:L63 K26:L27 M107:N109 N58:N63 N74:N80 K66:L71 K51:L55 N66:N71 N51:N55 N87 M105:N105 M140:N145 M147:N160 N104" xr:uid="{00000000-0002-0000-0200-000000000000}">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N28 K21:L22 K42:N42 N37 K86:L86 M92:N94 N86 N21:N22 M115:N115 M119:N119 K64:L65 M110:N110 M128:N128 K28:L28 M146 M21:M41 K37:L37 K45:L45 N45 K50:L50 N50 M138:N139 N56:N57 N64:N65 M161:N161 M101:N101 K72:L73 M123:N124 M43:M87 N72:N73 K56:L57 K81:L81 N81 M106 N106 M106 N146" xr:uid="{00000000-0002-0000-0200-000001000000}">
      <formula1>0</formula1>
    </dataValidation>
    <dataValidation allowBlank="1" showInputMessage="1" showErrorMessage="1" prompt="Podaci se popunjavaju u kolone 5 i 6, desno." sqref="K92:L162" xr:uid="{F43BEC92-8830-4CF9-9506-DAF316EB13BD}"/>
    <dataValidation operator="greaterThanOrEqual" allowBlank="1" showInputMessage="1" showErrorMessage="1" errorTitle="Greška" error="Unose se vrijednosti u konvertibilnim markama, bez decimalnih mjesta. Nije dozvoljen unos negativnih brojeva." sqref="M111:N112" xr:uid="{B8DB2C91-396C-4C64-AB5C-9C9C783E6186}"/>
    <dataValidation type="whole" operator="greaterThanOrEqual" allowBlank="1" showInputMessage="1" showErrorMessage="1" errorTitle="Greška" error="Unesite broj napomene!" sqref="J21:J87 J92:J162" xr:uid="{5165F739-E566-4578-AF41-D0D7BEDFC4C5}">
      <formula1>0</formula1>
    </dataValidation>
  </dataValidations>
  <pageMargins left="0.39370078740157483" right="0.39370078740157483" top="0.39370078740157483" bottom="0.39370078740157483" header="0.31496062992125984" footer="0.23622047244094491"/>
  <pageSetup paperSize="9" scale="90" fitToHeight="2" orientation="landscape" r:id="rId1"/>
  <headerFooter alignWithMargins="0">
    <oddFooter>&amp;R&amp;"Verdana,Regular"&amp;8Strana &amp;P od &amp;N</oddFooter>
  </headerFooter>
  <rowBreaks count="1" manualBreakCount="1">
    <brk id="88" min="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7308" r:id="rId4" name="Navigacija">
              <controlPr defaultSize="0" print="0" autoFill="0" autoPict="0">
                <anchor moveWithCells="1" sizeWithCells="1">
                  <from>
                    <xdr:col>2</xdr:col>
                    <xdr:colOff>95250</xdr:colOff>
                    <xdr:row>0</xdr:row>
                    <xdr:rowOff>0</xdr:rowOff>
                  </from>
                  <to>
                    <xdr:col>12</xdr:col>
                    <xdr:colOff>152400</xdr:colOff>
                    <xdr:row>3</xdr:row>
                    <xdr:rowOff>107950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2a">
    <tabColor rgb="FFB2B2B2"/>
  </sheetPr>
  <dimension ref="B1:XFC168"/>
  <sheetViews>
    <sheetView showGridLines="0" showRowColHeaders="0" showWhiteSpace="0" zoomScaleNormal="100" zoomScaleSheetLayoutView="100" workbookViewId="0">
      <pane xSplit="2" ySplit="4" topLeftCell="C5" activePane="bottomRight" state="frozen"/>
      <selection activeCell="K31" sqref="K31"/>
      <selection pane="topRight" activeCell="K31" sqref="K31"/>
      <selection pane="bottomLeft" activeCell="K31" sqref="K31"/>
      <selection pane="bottomRight" activeCell="K25" sqref="K25"/>
    </sheetView>
  </sheetViews>
  <sheetFormatPr defaultColWidth="0" defaultRowHeight="13" zeroHeight="1" x14ac:dyDescent="0.3"/>
  <cols>
    <col min="1" max="1" width="4.69921875" style="8" customWidth="1"/>
    <col min="2" max="2" width="7.59765625" style="8" hidden="1" customWidth="1"/>
    <col min="3" max="3" width="18.8984375" style="8" customWidth="1"/>
    <col min="4" max="7" width="17" style="8" customWidth="1"/>
    <col min="8" max="8" width="17.3984375" style="8" customWidth="1"/>
    <col min="9" max="9" width="7.09765625" style="8" customWidth="1"/>
    <col min="10" max="10" width="12.296875" style="8" customWidth="1"/>
    <col min="11" max="11" width="14.3984375" style="8" customWidth="1"/>
    <col min="12" max="12" width="14.59765625" style="8" customWidth="1"/>
    <col min="13" max="13" width="0.296875" style="8" customWidth="1"/>
    <col min="14" max="14" width="8.8984375" style="8" hidden="1" customWidth="1"/>
    <col min="15" max="15" width="11.3984375" style="8" hidden="1" customWidth="1"/>
    <col min="16" max="255" width="9.09765625" style="8" hidden="1" customWidth="1"/>
    <col min="256" max="16383" width="2.8984375" style="8" hidden="1"/>
    <col min="16384" max="16384" width="1.296875" style="8" customWidth="1"/>
  </cols>
  <sheetData>
    <row r="1" spans="3:12" x14ac:dyDescent="0.3">
      <c r="C1" s="18"/>
      <c r="D1" s="18"/>
      <c r="E1" s="18"/>
      <c r="F1" s="18"/>
      <c r="G1" s="18"/>
      <c r="H1" s="18"/>
      <c r="I1" s="18"/>
      <c r="J1" s="18"/>
      <c r="K1" s="18"/>
    </row>
    <row r="2" spans="3:12" x14ac:dyDescent="0.3">
      <c r="C2" s="18"/>
      <c r="D2" s="18"/>
      <c r="E2" s="18"/>
      <c r="F2" s="18"/>
      <c r="G2" s="18"/>
      <c r="H2" s="18"/>
      <c r="I2" s="18"/>
      <c r="J2" s="18"/>
      <c r="K2" s="18"/>
    </row>
    <row r="3" spans="3:12" x14ac:dyDescent="0.3">
      <c r="C3" s="18"/>
      <c r="D3" s="18"/>
      <c r="E3" s="18"/>
      <c r="F3" s="18"/>
      <c r="G3" s="18"/>
      <c r="H3" s="18"/>
      <c r="I3" s="18"/>
      <c r="J3" s="18"/>
      <c r="K3" s="18"/>
    </row>
    <row r="4" spans="3:12" x14ac:dyDescent="0.3">
      <c r="C4" s="138"/>
      <c r="D4" s="138"/>
      <c r="E4" s="138"/>
      <c r="F4" s="138"/>
      <c r="G4" s="138"/>
      <c r="H4" s="138"/>
      <c r="I4" s="138"/>
      <c r="J4" s="138"/>
      <c r="K4" s="138"/>
    </row>
    <row r="5" spans="3:12" x14ac:dyDescent="0.3">
      <c r="C5" s="637" t="s">
        <v>2772</v>
      </c>
      <c r="D5" s="637"/>
      <c r="E5" s="637"/>
      <c r="L5" s="574" t="str">
        <f>Podatak_MB</f>
        <v>01040103</v>
      </c>
    </row>
    <row r="6" spans="3:12" x14ac:dyDescent="0.3">
      <c r="C6" s="637"/>
      <c r="D6" s="637"/>
      <c r="E6" s="637"/>
      <c r="F6" s="9"/>
      <c r="L6" s="421" t="s">
        <v>2747</v>
      </c>
    </row>
    <row r="7" spans="3:12" ht="14.65" customHeight="1" x14ac:dyDescent="0.3">
      <c r="C7" s="657" t="str">
        <f>Podatak_Naziv_preduzeca</f>
        <v>Čistoća AD Banja Luka</v>
      </c>
      <c r="D7" s="657"/>
      <c r="E7" s="657"/>
      <c r="F7" s="17"/>
      <c r="K7" s="9"/>
      <c r="L7" s="574" t="str">
        <f>Podatak_Sifra_djelatnosti</f>
        <v>38.11</v>
      </c>
    </row>
    <row r="8" spans="3:12" ht="12.75" customHeight="1" x14ac:dyDescent="0.3">
      <c r="C8" s="125" t="str">
        <f>Zaglavlje_Sjediste</f>
        <v>Sjedište:</v>
      </c>
      <c r="D8" s="614" t="str">
        <f>Podatak_Sjediste</f>
        <v>Braće Podgornika 2 Banja Luka</v>
      </c>
      <c r="E8" s="614"/>
      <c r="F8" s="17"/>
      <c r="K8" s="9"/>
      <c r="L8" s="421" t="str">
        <f>Zaglavlje_Sifra_djelatnosti</f>
        <v>Šifra djelatnosti</v>
      </c>
    </row>
    <row r="9" spans="3:12" ht="12.75" customHeight="1" x14ac:dyDescent="0.3">
      <c r="C9" s="656" t="str">
        <f>Zaglavlje_Ziro_racun</f>
        <v>Račun kod ovlašćene organizacije za platni promet:</v>
      </c>
      <c r="D9" s="656"/>
      <c r="E9" s="656"/>
      <c r="F9" s="244"/>
      <c r="K9" s="9"/>
      <c r="L9" s="574" t="str">
        <f>Podatak_JIB</f>
        <v>4400849160004</v>
      </c>
    </row>
    <row r="10" spans="3:12" ht="12.75" customHeight="1" x14ac:dyDescent="0.3">
      <c r="C10" s="660" t="str">
        <f>Podatak_Ziro_racun_1</f>
        <v>555-007-00011375-82</v>
      </c>
      <c r="D10" s="660"/>
      <c r="E10" s="660"/>
      <c r="F10" s="14"/>
      <c r="G10" s="13"/>
      <c r="H10" s="13"/>
      <c r="I10" s="13"/>
      <c r="J10" s="13"/>
      <c r="K10" s="682" t="str">
        <f>Zaglavlje_JIB</f>
        <v>JIB</v>
      </c>
      <c r="L10" s="682"/>
    </row>
    <row r="11" spans="3:12" ht="12.75" customHeight="1" x14ac:dyDescent="0.3">
      <c r="C11" s="660" t="str">
        <f>Podatak_Ziro_racun_2</f>
        <v>194-106-28988001-34</v>
      </c>
      <c r="D11" s="660"/>
      <c r="E11" s="660"/>
      <c r="F11" s="14"/>
      <c r="J11" s="245"/>
      <c r="K11" s="245"/>
    </row>
    <row r="12" spans="3:12" ht="12.75" customHeight="1" x14ac:dyDescent="0.3">
      <c r="C12" s="722" t="str">
        <f>Podatak_Ziro_racun_3</f>
        <v>562-100-80000948-45</v>
      </c>
      <c r="D12" s="722"/>
      <c r="E12" s="722"/>
      <c r="F12" s="14"/>
      <c r="J12" s="245"/>
      <c r="K12" s="245"/>
    </row>
    <row r="13" spans="3:12" ht="12.75" customHeight="1" x14ac:dyDescent="0.3">
      <c r="C13" s="722" t="str">
        <f>Podatak_Ziro_racun_4</f>
        <v>551-790-22198545-77</v>
      </c>
      <c r="D13" s="722"/>
      <c r="E13" s="722"/>
      <c r="F13" s="18"/>
      <c r="G13" s="18"/>
      <c r="H13" s="18"/>
      <c r="I13" s="18"/>
      <c r="J13"/>
      <c r="K13"/>
    </row>
    <row r="14" spans="3:12" ht="12.75" customHeight="1" x14ac:dyDescent="0.3">
      <c r="C14" s="615" t="str">
        <f>IF( Id_Konsolidovani, Nazivi_bilansa_Konsolidovani_naziv &amp; LOWER( Nazivi_bilansa_BUa), Nazivi_bilansa_BUa)</f>
        <v>Bilans uspjeha</v>
      </c>
      <c r="D14" s="615"/>
      <c r="E14" s="615"/>
      <c r="F14" s="615"/>
      <c r="G14" s="615"/>
      <c r="H14" s="615"/>
      <c r="I14" s="615"/>
      <c r="J14" s="615"/>
      <c r="K14" s="615"/>
      <c r="L14" s="615"/>
    </row>
    <row r="15" spans="3:12" ht="12.75" customHeight="1" x14ac:dyDescent="0.3">
      <c r="C15" s="653" t="str">
        <f>Nazivi_bilansa_BUa1</f>
        <v>(Izvještaj o ukupnom rezultatu u periodu)</v>
      </c>
      <c r="D15" s="653"/>
      <c r="E15" s="653"/>
      <c r="F15" s="653"/>
      <c r="G15" s="653"/>
      <c r="H15" s="653"/>
      <c r="I15" s="653"/>
      <c r="J15" s="653"/>
      <c r="K15" s="653"/>
      <c r="L15" s="653"/>
    </row>
    <row r="16" spans="3:12" ht="12.75" customHeight="1" x14ac:dyDescent="0.3">
      <c r="C16" s="653" t="str">
        <f>Datumi_Datum_BU</f>
        <v>za period od 01.01. do 30.06.2026. godine</v>
      </c>
      <c r="D16" s="653"/>
      <c r="E16" s="653"/>
      <c r="F16" s="653"/>
      <c r="G16" s="653"/>
      <c r="H16" s="653"/>
      <c r="I16" s="653"/>
      <c r="J16" s="653"/>
      <c r="K16" s="653"/>
      <c r="L16" s="653"/>
    </row>
    <row r="17" spans="2:16" ht="12.75" customHeight="1" x14ac:dyDescent="0.3">
      <c r="C17" s="41"/>
      <c r="D17" s="41"/>
      <c r="E17" s="41"/>
      <c r="F17" s="41"/>
      <c r="G17" s="41"/>
      <c r="H17" s="41"/>
      <c r="I17" s="41"/>
      <c r="J17" s="41"/>
      <c r="L17" s="449" t="str">
        <f>Tabele_zaglavlje_Valuta</f>
        <v>- u konvertibilnim markama -</v>
      </c>
    </row>
    <row r="18" spans="2:16" ht="12.75" customHeight="1" x14ac:dyDescent="0.3">
      <c r="C18" s="689" t="str">
        <f>Tabele_zaglavlje_Grupa_racuna</f>
        <v>Grupa računa, račun</v>
      </c>
      <c r="D18" s="691" t="str">
        <f>Tabele_zaglavlje_Pozicija</f>
        <v>POZICIJA</v>
      </c>
      <c r="E18" s="692"/>
      <c r="F18" s="692"/>
      <c r="G18" s="692"/>
      <c r="H18" s="693"/>
      <c r="I18" s="718" t="str">
        <f>Tabele_zaglavlje_Oznaka_aop</f>
        <v>Oznaka za AOP</v>
      </c>
      <c r="J18" s="718" t="str">
        <f>Tabele_zaglavlje_Napomena_aop</f>
        <v>Napomena</v>
      </c>
      <c r="K18" s="720" t="str">
        <f>Tabele_zaglavlje_Iznos</f>
        <v>Iznos</v>
      </c>
      <c r="L18" s="721"/>
    </row>
    <row r="19" spans="2:16" ht="20.25" customHeight="1" x14ac:dyDescent="0.3">
      <c r="C19" s="690"/>
      <c r="D19" s="694"/>
      <c r="E19" s="695"/>
      <c r="F19" s="695"/>
      <c r="G19" s="695"/>
      <c r="H19" s="696"/>
      <c r="I19" s="719"/>
      <c r="J19" s="719"/>
      <c r="K19" s="42" t="str">
        <f>Tabele_zaglavlje_Tekuca_godina</f>
        <v>Tekuća godina</v>
      </c>
      <c r="L19" s="43" t="str">
        <f>Tabele_zaglavlje_Prethodna_godina</f>
        <v>Prethodna godina</v>
      </c>
      <c r="P19" s="134" t="s">
        <v>490</v>
      </c>
    </row>
    <row r="20" spans="2:16" ht="12.75" customHeight="1" x14ac:dyDescent="0.3">
      <c r="B20" s="44" t="s">
        <v>123</v>
      </c>
      <c r="C20" s="447">
        <v>1</v>
      </c>
      <c r="D20" s="697">
        <v>2</v>
      </c>
      <c r="E20" s="698"/>
      <c r="F20" s="698"/>
      <c r="G20" s="698"/>
      <c r="H20" s="699"/>
      <c r="I20" s="408">
        <v>3</v>
      </c>
      <c r="J20" s="408">
        <v>4</v>
      </c>
      <c r="K20" s="408">
        <v>5</v>
      </c>
      <c r="L20" s="409">
        <v>6</v>
      </c>
    </row>
    <row r="21" spans="2:16" ht="25.5" customHeight="1" x14ac:dyDescent="0.3">
      <c r="B21" s="15">
        <v>139</v>
      </c>
      <c r="C21" s="453">
        <f>VLOOKUP( $B21, T_Aop[], 5, 1)</f>
        <v>0</v>
      </c>
      <c r="D21" s="700" t="str">
        <f>VLOOKUP( $B21, T_Aop[], 6, 1)</f>
        <v xml:space="preserve">  A. POSLOVNI PRIHODI I RASHODI
I POSLOVNI PRIHODI 
(202 + 206 + 210 + 214 – 215 + 216 – 217 + 218)</v>
      </c>
      <c r="E21" s="701"/>
      <c r="F21" s="701"/>
      <c r="G21" s="701"/>
      <c r="H21" s="702"/>
      <c r="I21" s="503">
        <f>VLOOKUP( $B21, T_Aop[], 4, 1)</f>
        <v>201</v>
      </c>
      <c r="J21" s="498">
        <v>14</v>
      </c>
      <c r="K21" s="406">
        <f>IF(AND([0]!Godina=2026,MID(Osnovni_podaci!D20,3,1)="s",Osnovni_podaci!L24=6,Osnovni_podaci!G24=0,MID(Osnovni_podaci!D20,3,1)="s",MID(Osnovni_podaci!D20,8,1)=" "),SUBTOTAL(9,K22:K33,K34,K36,K38)-SUBTOTAL(9,K35,K37),A1)</f>
        <v>9857362</v>
      </c>
      <c r="L21" s="407">
        <f>IF(AND([0]!Godina=2026,MID(Osnovni_podaci!D20,3,1)="s",Osnovni_podaci!L24=6,Osnovni_podaci!G24=0,MID(Osnovni_podaci!D20,3,1)="s",MID(Osnovni_podaci!D20,8,1)=" "),SUBTOTAL(9,L22:L33,L34,L36,L38)-SUBTOTAL(9,L35,L37),A1)</f>
        <v>8392299</v>
      </c>
      <c r="N21" s="44"/>
      <c r="P21" s="183"/>
    </row>
    <row r="22" spans="2:16" ht="13.9" customHeight="1" x14ac:dyDescent="0.3">
      <c r="B22" s="15">
        <v>140</v>
      </c>
      <c r="C22" s="58">
        <f>VLOOKUP( $B22, T_Aop[], 5, 1)</f>
        <v>60</v>
      </c>
      <c r="D22" s="683" t="str">
        <f>VLOOKUP( $B22, T_Aop[], 6, 1)</f>
        <v xml:space="preserve">    1. Prihodi od prodaje robe (203 do 205)</v>
      </c>
      <c r="E22" s="684"/>
      <c r="F22" s="684"/>
      <c r="G22" s="684"/>
      <c r="H22" s="685"/>
      <c r="I22" s="59">
        <f>VLOOKUP( $B22, T_Aop[], 4, 1)</f>
        <v>202</v>
      </c>
      <c r="J22" s="456"/>
      <c r="K22" s="458">
        <f>IF(AND([0]!Godina=2026,MID(Osnovni_podaci!D20,3,1)="s",Osnovni_podaci!L24=6,Osnovni_podaci!G24=0,MID(Osnovni_podaci!D20,3,1)="s",MID(Osnovni_podaci!D20,8,1)=" "),SUBTOTAL( 9, K23:K25),A1)</f>
        <v>114212</v>
      </c>
      <c r="L22" s="459">
        <f>IF(AND([0]!Godina=2026,MID(Osnovni_podaci!D20,3,1)="s",Osnovni_podaci!L24=6,Osnovni_podaci!G24=0,MID(Osnovni_podaci!D20,3,1)="s",MID(Osnovni_podaci!D20,8,1)=" "),SUBTOTAL( 9, L23:L25),A1)</f>
        <v>144724</v>
      </c>
      <c r="N22" s="44"/>
      <c r="P22" s="183"/>
    </row>
    <row r="23" spans="2:16" ht="13.9" customHeight="1" x14ac:dyDescent="0.3">
      <c r="B23" s="15">
        <v>141</v>
      </c>
      <c r="C23" s="62" t="str">
        <f>VLOOKUP( $B23, T_Aop[], 5, 1)</f>
        <v>600, dio 605</v>
      </c>
      <c r="D23" s="686" t="str">
        <f>VLOOKUP( $B23, T_Aop[], 6, 1)</f>
        <v xml:space="preserve">      a) Prihodi od prodaje robe povezanim pravnim licima</v>
      </c>
      <c r="E23" s="687"/>
      <c r="F23" s="687"/>
      <c r="G23" s="687"/>
      <c r="H23" s="688"/>
      <c r="I23" s="63">
        <f>VLOOKUP( $B23, T_Aop[], 4, 1)</f>
        <v>203</v>
      </c>
      <c r="J23" s="454"/>
      <c r="K23" s="454"/>
      <c r="L23" s="455">
        <v>15000</v>
      </c>
      <c r="N23" s="44"/>
      <c r="P23" s="183"/>
    </row>
    <row r="24" spans="2:16" ht="22.9" customHeight="1" x14ac:dyDescent="0.3">
      <c r="B24" s="15">
        <v>142</v>
      </c>
      <c r="C24" s="58" t="str">
        <f>VLOOKUP( $B24, T_Aop[], 5, 1)</f>
        <v>601, 602, 603,dio 605</v>
      </c>
      <c r="D24" s="683" t="str">
        <f>VLOOKUP( $B24, T_Aop[], 6, 1)</f>
        <v xml:space="preserve">      b) Prihodi od prodaje robe na domaćem tržištu</v>
      </c>
      <c r="E24" s="684"/>
      <c r="F24" s="684"/>
      <c r="G24" s="684"/>
      <c r="H24" s="685"/>
      <c r="I24" s="59">
        <f>VLOOKUP( $B24, T_Aop[], 4, 1)</f>
        <v>204</v>
      </c>
      <c r="J24" s="456"/>
      <c r="K24" s="456">
        <v>114212</v>
      </c>
      <c r="L24" s="457">
        <v>129724</v>
      </c>
      <c r="N24" s="44"/>
      <c r="P24" s="183"/>
    </row>
    <row r="25" spans="2:16" ht="13.9" customHeight="1" x14ac:dyDescent="0.3">
      <c r="B25" s="15">
        <v>143</v>
      </c>
      <c r="C25" s="62" t="str">
        <f>VLOOKUP( $B25, T_Aop[], 5, 1)</f>
        <v>604, dio 605</v>
      </c>
      <c r="D25" s="686" t="str">
        <f>VLOOKUP( $B25, T_Aop[], 6, 1)</f>
        <v xml:space="preserve">      c) Prihodi od prodaje robe na inostranom tržištu</v>
      </c>
      <c r="E25" s="687"/>
      <c r="F25" s="687"/>
      <c r="G25" s="687"/>
      <c r="H25" s="688"/>
      <c r="I25" s="63">
        <f>VLOOKUP( $B25, T_Aop[], 4, 1)</f>
        <v>205</v>
      </c>
      <c r="J25" s="454"/>
      <c r="K25" s="454"/>
      <c r="L25" s="455"/>
      <c r="N25" s="44"/>
      <c r="P25" s="183"/>
    </row>
    <row r="26" spans="2:16" ht="13.9" customHeight="1" x14ac:dyDescent="0.3">
      <c r="B26" s="15">
        <v>144</v>
      </c>
      <c r="C26" s="58" t="str">
        <f>VLOOKUP( $B26, T_Aop[], 5, 1)</f>
        <v>61</v>
      </c>
      <c r="D26" s="683" t="str">
        <f>VLOOKUP( $B26, T_Aop[], 6, 1)</f>
        <v xml:space="preserve">    2. Prihodi od prodaje proizvoda (207 do 209)</v>
      </c>
      <c r="E26" s="684"/>
      <c r="F26" s="684"/>
      <c r="G26" s="684"/>
      <c r="H26" s="685"/>
      <c r="I26" s="59">
        <f>VLOOKUP( $B26, T_Aop[], 4, 1)</f>
        <v>206</v>
      </c>
      <c r="J26" s="456"/>
      <c r="K26" s="458">
        <f>IF(AND([0]!Godina=2026,MID(Osnovni_podaci!D20,3,1)="s",Osnovni_podaci!L24=6,Osnovni_podaci!G24=0,MID(Osnovni_podaci!D20,3,1)="s",MID(Osnovni_podaci!D20,8,1)=" "),SUBTOTAL( 9, K27:K29),A1)</f>
        <v>0</v>
      </c>
      <c r="L26" s="459">
        <f>IF(AND([0]!Godina=2026,MID(Osnovni_podaci!D20,3,1)="s",Osnovni_podaci!L24=6,Osnovni_podaci!G24=0,MID(Osnovni_podaci!D20,3,1)="s",MID(Osnovni_podaci!D20,8,1)=" "),SUBTOTAL( 9, L27:L29),A1)</f>
        <v>0</v>
      </c>
      <c r="N26" s="44"/>
      <c r="P26" s="183"/>
    </row>
    <row r="27" spans="2:16" ht="13.9" customHeight="1" x14ac:dyDescent="0.3">
      <c r="B27" s="15">
        <v>145</v>
      </c>
      <c r="C27" s="62" t="str">
        <f>VLOOKUP( $B27, T_Aop[], 5, 1)</f>
        <v>610, dio 615</v>
      </c>
      <c r="D27" s="686" t="str">
        <f>VLOOKUP( $B27, T_Aop[], 6, 1)</f>
        <v xml:space="preserve">      a) Prihodi od prodaje proizvoda povezanim pravnim licima</v>
      </c>
      <c r="E27" s="687"/>
      <c r="F27" s="687"/>
      <c r="G27" s="687"/>
      <c r="H27" s="688"/>
      <c r="I27" s="63">
        <f>VLOOKUP( $B27, T_Aop[], 4, 1)</f>
        <v>207</v>
      </c>
      <c r="J27" s="454"/>
      <c r="K27" s="454"/>
      <c r="L27" s="455"/>
      <c r="N27" s="44"/>
      <c r="P27" s="183"/>
    </row>
    <row r="28" spans="2:16" ht="22.9" customHeight="1" x14ac:dyDescent="0.3">
      <c r="B28" s="15">
        <v>146</v>
      </c>
      <c r="C28" s="58" t="str">
        <f>VLOOKUP( $B28, T_Aop[], 5, 1)</f>
        <v>611, 612, 613, dio 615</v>
      </c>
      <c r="D28" s="683" t="str">
        <f>VLOOKUP( $B28, T_Aop[], 6, 1)</f>
        <v xml:space="preserve">      b) Prihodi od prodaje proizvoda na domaćem tržištu</v>
      </c>
      <c r="E28" s="684"/>
      <c r="F28" s="684"/>
      <c r="G28" s="684"/>
      <c r="H28" s="685"/>
      <c r="I28" s="59">
        <f>VLOOKUP( $B28, T_Aop[], 4, 1)</f>
        <v>208</v>
      </c>
      <c r="J28" s="456"/>
      <c r="K28" s="456"/>
      <c r="L28" s="457"/>
      <c r="N28" s="44"/>
      <c r="P28" s="183"/>
    </row>
    <row r="29" spans="2:16" ht="13.9" customHeight="1" x14ac:dyDescent="0.3">
      <c r="B29" s="15">
        <v>147</v>
      </c>
      <c r="C29" s="62" t="str">
        <f>VLOOKUP( $B29, T_Aop[], 5, 1)</f>
        <v>614, dio 615</v>
      </c>
      <c r="D29" s="686" t="str">
        <f>VLOOKUP( $B29, T_Aop[], 6, 1)</f>
        <v xml:space="preserve">      c) Prihodi od prodaje proizvoda na inostranom tržištu</v>
      </c>
      <c r="E29" s="687"/>
      <c r="F29" s="687"/>
      <c r="G29" s="687"/>
      <c r="H29" s="688"/>
      <c r="I29" s="63">
        <f>VLOOKUP( $B29, T_Aop[], 4, 1)</f>
        <v>209</v>
      </c>
      <c r="J29" s="454"/>
      <c r="K29" s="454"/>
      <c r="L29" s="455"/>
      <c r="N29" s="44"/>
      <c r="P29" s="183"/>
    </row>
    <row r="30" spans="2:16" ht="13.9" customHeight="1" x14ac:dyDescent="0.3">
      <c r="B30" s="15">
        <v>148</v>
      </c>
      <c r="C30" s="58" t="str">
        <f>VLOOKUP( $B30, T_Aop[], 5, 1)</f>
        <v>62</v>
      </c>
      <c r="D30" s="683" t="str">
        <f>VLOOKUP( $B30, T_Aop[], 6, 1)</f>
        <v xml:space="preserve">     3. Prihodi od pruženih usluga (211 do 213)</v>
      </c>
      <c r="E30" s="684"/>
      <c r="F30" s="684"/>
      <c r="G30" s="684"/>
      <c r="H30" s="685"/>
      <c r="I30" s="59">
        <f>VLOOKUP( $B30, T_Aop[], 4, 1)</f>
        <v>210</v>
      </c>
      <c r="J30" s="456"/>
      <c r="K30" s="153">
        <f>IF(AND([0]!Godina=2026,MID(Osnovni_podaci!D20,3,1)="s",Osnovni_podaci!L24=6,Osnovni_podaci!G24=0,MID(Osnovni_podaci!D20,3,1)="s",MID(Osnovni_podaci!D20,8,1)=" "),SUBTOTAL( 9, K31:K33),A1)</f>
        <v>9672221</v>
      </c>
      <c r="L30" s="481">
        <f>IF(AND([0]!Godina=2026,MID(Osnovni_podaci!D20,3,1)="s",Osnovni_podaci!L24=6,Osnovni_podaci!G24=0,MID(Osnovni_podaci!D20,3,1)="s",MID(Osnovni_podaci!D20,8,1)=" "),SUBTOTAL( 9, L31:L33),A1)</f>
        <v>8175657</v>
      </c>
      <c r="N30" s="44"/>
      <c r="P30" s="183"/>
    </row>
    <row r="31" spans="2:16" ht="13.9" customHeight="1" x14ac:dyDescent="0.3">
      <c r="B31" s="15">
        <v>149</v>
      </c>
      <c r="C31" s="62" t="str">
        <f>VLOOKUP( $B31, T_Aop[], 5, 1)</f>
        <v>620, dio 625</v>
      </c>
      <c r="D31" s="686" t="str">
        <f>VLOOKUP( $B31, T_Aop[], 6, 1)</f>
        <v xml:space="preserve">      a) Prihodi od pruženih usluga povezanim licima</v>
      </c>
      <c r="E31" s="687"/>
      <c r="F31" s="687"/>
      <c r="G31" s="687"/>
      <c r="H31" s="688"/>
      <c r="I31" s="63">
        <f>VLOOKUP( $B31, T_Aop[], 4, 1)</f>
        <v>211</v>
      </c>
      <c r="J31" s="454"/>
      <c r="K31" s="454">
        <v>2344462</v>
      </c>
      <c r="L31" s="455">
        <v>1641499</v>
      </c>
      <c r="N31" s="44"/>
      <c r="P31" s="183"/>
    </row>
    <row r="32" spans="2:16" ht="22.9" customHeight="1" x14ac:dyDescent="0.3">
      <c r="B32" s="15">
        <v>150</v>
      </c>
      <c r="C32" s="58" t="str">
        <f>VLOOKUP( $B32, T_Aop[], 5, 1)</f>
        <v>621, 622, 623, dio 625</v>
      </c>
      <c r="D32" s="683" t="str">
        <f>VLOOKUP( $B32, T_Aop[], 6, 1)</f>
        <v xml:space="preserve">      b) Prihodi od pruženih usluga na domaćem tržištu</v>
      </c>
      <c r="E32" s="684"/>
      <c r="F32" s="684"/>
      <c r="G32" s="684"/>
      <c r="H32" s="685"/>
      <c r="I32" s="59">
        <f>VLOOKUP( $B32, T_Aop[], 4, 1)</f>
        <v>212</v>
      </c>
      <c r="J32" s="456"/>
      <c r="K32" s="456">
        <v>7327759</v>
      </c>
      <c r="L32" s="457">
        <v>6534158</v>
      </c>
      <c r="N32" s="44"/>
      <c r="P32" s="183"/>
    </row>
    <row r="33" spans="2:16" ht="13.9" customHeight="1" x14ac:dyDescent="0.3">
      <c r="B33" s="15">
        <v>151</v>
      </c>
      <c r="C33" s="62" t="str">
        <f>VLOOKUP( $B33, T_Aop[], 5, 1)</f>
        <v>624, dio 625</v>
      </c>
      <c r="D33" s="686" t="str">
        <f>VLOOKUP( $B33, T_Aop[], 6, 1)</f>
        <v xml:space="preserve">      c) Prihodi od pruženih usluga na inostranom tržištu</v>
      </c>
      <c r="E33" s="687"/>
      <c r="F33" s="687"/>
      <c r="G33" s="687"/>
      <c r="H33" s="688"/>
      <c r="I33" s="63">
        <f>VLOOKUP( $B33, T_Aop[], 4, 1)</f>
        <v>213</v>
      </c>
      <c r="J33" s="454"/>
      <c r="K33" s="454"/>
      <c r="L33" s="455"/>
      <c r="N33" s="44"/>
      <c r="P33" s="183"/>
    </row>
    <row r="34" spans="2:16" ht="13.9" customHeight="1" x14ac:dyDescent="0.3">
      <c r="B34" s="15">
        <v>152</v>
      </c>
      <c r="C34" s="58" t="str">
        <f>VLOOKUP( $B34, T_Aop[], 5, 1)</f>
        <v>630</v>
      </c>
      <c r="D34" s="683" t="str">
        <f>VLOOKUP( $B34, T_Aop[], 6, 1)</f>
        <v xml:space="preserve">    4. Povećanje vrijednosti zaliha učinaka</v>
      </c>
      <c r="E34" s="684"/>
      <c r="F34" s="684"/>
      <c r="G34" s="684"/>
      <c r="H34" s="685"/>
      <c r="I34" s="59">
        <f>VLOOKUP( $B34, T_Aop[], 4, 1)</f>
        <v>214</v>
      </c>
      <c r="J34" s="456"/>
      <c r="K34" s="456"/>
      <c r="L34" s="457"/>
      <c r="N34" s="44"/>
      <c r="P34" s="183"/>
    </row>
    <row r="35" spans="2:16" ht="13.9" customHeight="1" x14ac:dyDescent="0.3">
      <c r="B35" s="15">
        <v>153</v>
      </c>
      <c r="C35" s="62" t="str">
        <f>VLOOKUP( $B35, T_Aop[], 5, 1)</f>
        <v>631</v>
      </c>
      <c r="D35" s="686" t="str">
        <f>VLOOKUP( $B35, T_Aop[], 6, 1)</f>
        <v xml:space="preserve">    5. Smanjenje vrijednosti zaliha učinaka</v>
      </c>
      <c r="E35" s="687"/>
      <c r="F35" s="687"/>
      <c r="G35" s="687"/>
      <c r="H35" s="688"/>
      <c r="I35" s="63">
        <f>VLOOKUP( $B35, T_Aop[], 4, 1)</f>
        <v>215</v>
      </c>
      <c r="J35" s="454"/>
      <c r="K35" s="454"/>
      <c r="L35" s="455"/>
      <c r="N35" s="44"/>
      <c r="P35" s="183"/>
    </row>
    <row r="36" spans="2:16" ht="22.9" customHeight="1" x14ac:dyDescent="0.3">
      <c r="B36" s="15">
        <v>154</v>
      </c>
      <c r="C36" s="58" t="str">
        <f>VLOOKUP( $B36, T_Aop[], 5, 1)</f>
        <v>640 i 641</v>
      </c>
      <c r="D36" s="683" t="str">
        <f>VLOOKUP( $B36, T_Aop[], 6, 1)</f>
        <v xml:space="preserve">    6. Povećanje vrijednosti investicionih nekretnina i bioloških sredstava koja se ne amortizuju</v>
      </c>
      <c r="E36" s="684"/>
      <c r="F36" s="684"/>
      <c r="G36" s="684"/>
      <c r="H36" s="685"/>
      <c r="I36" s="59">
        <f>VLOOKUP( $B36, T_Aop[], 4, 1)</f>
        <v>216</v>
      </c>
      <c r="J36" s="456"/>
      <c r="K36" s="456"/>
      <c r="L36" s="457"/>
      <c r="N36" s="44"/>
      <c r="P36" s="183"/>
    </row>
    <row r="37" spans="2:16" ht="22.9" customHeight="1" x14ac:dyDescent="0.3">
      <c r="B37" s="15">
        <v>155</v>
      </c>
      <c r="C37" s="62" t="str">
        <f>VLOOKUP( $B37, T_Aop[], 5, 1)</f>
        <v>642 i 643</v>
      </c>
      <c r="D37" s="686" t="str">
        <f>VLOOKUP( $B37, T_Aop[], 6, 1)</f>
        <v xml:space="preserve">    7.  Smanjenje vrijednosti investicionih nekretnina i bioloških sredstava koja se ne amortizuju</v>
      </c>
      <c r="E37" s="687"/>
      <c r="F37" s="687"/>
      <c r="G37" s="687"/>
      <c r="H37" s="688"/>
      <c r="I37" s="63">
        <f>VLOOKUP( $B37, T_Aop[], 4, 1)</f>
        <v>217</v>
      </c>
      <c r="J37" s="454"/>
      <c r="K37" s="454"/>
      <c r="L37" s="455"/>
      <c r="N37" s="44"/>
      <c r="P37" s="183"/>
    </row>
    <row r="38" spans="2:16" ht="11.25" customHeight="1" x14ac:dyDescent="0.3">
      <c r="B38" s="15">
        <v>156</v>
      </c>
      <c r="C38" s="58" t="str">
        <f>VLOOKUP( $B38, T_Aop[], 5, 1)</f>
        <v>650 do 659</v>
      </c>
      <c r="D38" s="683" t="str">
        <f>VLOOKUP( $B38, T_Aop[], 6, 1)</f>
        <v xml:space="preserve">    8. Ostali poslovni prihodi</v>
      </c>
      <c r="E38" s="684"/>
      <c r="F38" s="684"/>
      <c r="G38" s="684"/>
      <c r="H38" s="685"/>
      <c r="I38" s="59">
        <f>VLOOKUP( $B38, T_Aop[], 4, 1)</f>
        <v>218</v>
      </c>
      <c r="J38" s="456">
        <v>15</v>
      </c>
      <c r="K38" s="456">
        <v>70929</v>
      </c>
      <c r="L38" s="457">
        <v>71918</v>
      </c>
      <c r="N38" s="44"/>
      <c r="P38" s="183"/>
    </row>
    <row r="39" spans="2:16" ht="12.75" customHeight="1" x14ac:dyDescent="0.3">
      <c r="B39" s="15">
        <v>157</v>
      </c>
      <c r="C39" s="62">
        <f>VLOOKUP( $B39, T_Aop[], 5, 1)</f>
        <v>0</v>
      </c>
      <c r="D39" s="703" t="str">
        <f>VLOOKUP( $B39, T_Aop[], 6, 1)</f>
        <v xml:space="preserve">  II  POSLOVNI RASHODI  (220 + 221 + 222 + 223 + 226 + 227 + 234 + 235 + 236)</v>
      </c>
      <c r="E39" s="704"/>
      <c r="F39" s="704"/>
      <c r="G39" s="704"/>
      <c r="H39" s="705"/>
      <c r="I39" s="179">
        <f>VLOOKUP( $B39, T_Aop[], 4, 1)</f>
        <v>219</v>
      </c>
      <c r="J39" s="454">
        <v>16</v>
      </c>
      <c r="K39" s="67">
        <f>IF(AND([0]!Godina=2026,MID(Osnovni_podaci!D20,3,1)="s",Osnovni_podaci!L24=6,Osnovni_podaci!G24=0,MID(Osnovni_podaci!D20,3,1)="s",MID(Osnovni_podaci!D20,8,1)=" "),SUBTOTAL( 9, K40:K56),A1)</f>
        <v>8004001</v>
      </c>
      <c r="L39" s="68">
        <f>IF(AND([0]!Godina=2026,MID(Osnovni_podaci!D20,3,1)="s",Osnovni_podaci!L24=6,Osnovni_podaci!G24=0,MID(Osnovni_podaci!D20,3,1)="s",MID(Osnovni_podaci!D20,8,1)=" "),SUBTOTAL( 9, L40:L56),A1)</f>
        <v>7453465</v>
      </c>
      <c r="N39" s="44"/>
      <c r="P39" s="183"/>
    </row>
    <row r="40" spans="2:16" ht="14.65" customHeight="1" x14ac:dyDescent="0.3">
      <c r="B40" s="15">
        <v>158</v>
      </c>
      <c r="C40" s="58" t="str">
        <f>VLOOKUP( $B40, T_Aop[], 5, 1)</f>
        <v>500 do 502</v>
      </c>
      <c r="D40" s="683" t="str">
        <f>VLOOKUP( $B40, T_Aop[], 6, 1)</f>
        <v xml:space="preserve">    1. Nabavna vrijednost prodate robe</v>
      </c>
      <c r="E40" s="684"/>
      <c r="F40" s="684"/>
      <c r="G40" s="684"/>
      <c r="H40" s="685"/>
      <c r="I40" s="59">
        <f>VLOOKUP( $B40, T_Aop[], 4, 1)</f>
        <v>220</v>
      </c>
      <c r="J40" s="456">
        <v>16</v>
      </c>
      <c r="K40" s="456">
        <v>94338</v>
      </c>
      <c r="L40" s="457">
        <v>107603</v>
      </c>
      <c r="N40" s="44"/>
      <c r="P40" s="183"/>
    </row>
    <row r="41" spans="2:16" ht="14.65" customHeight="1" x14ac:dyDescent="0.3">
      <c r="B41" s="15">
        <v>159</v>
      </c>
      <c r="C41" s="62" t="str">
        <f>VLOOKUP( $B41, T_Aop[], 5, 1)</f>
        <v>510 do 512</v>
      </c>
      <c r="D41" s="686" t="str">
        <f>VLOOKUP( $B41, T_Aop[], 6, 1)</f>
        <v xml:space="preserve">    2. Troškovi materijala</v>
      </c>
      <c r="E41" s="687"/>
      <c r="F41" s="687"/>
      <c r="G41" s="687"/>
      <c r="H41" s="688"/>
      <c r="I41" s="63">
        <f>VLOOKUP( $B41, T_Aop[], 4, 1)</f>
        <v>221</v>
      </c>
      <c r="J41" s="454">
        <v>16</v>
      </c>
      <c r="K41" s="454">
        <v>381884</v>
      </c>
      <c r="L41" s="455">
        <v>393820</v>
      </c>
      <c r="N41" s="44"/>
      <c r="P41" s="183"/>
    </row>
    <row r="42" spans="2:16" ht="14.65" customHeight="1" x14ac:dyDescent="0.3">
      <c r="B42" s="15">
        <v>160</v>
      </c>
      <c r="C42" s="58" t="str">
        <f>VLOOKUP( $B42, T_Aop[], 5, 1)</f>
        <v>513</v>
      </c>
      <c r="D42" s="683" t="str">
        <f>VLOOKUP( $B42, T_Aop[], 6, 1)</f>
        <v xml:space="preserve">    3. Troškovi goriva i energije</v>
      </c>
      <c r="E42" s="684"/>
      <c r="F42" s="684"/>
      <c r="G42" s="684"/>
      <c r="H42" s="685"/>
      <c r="I42" s="59">
        <f>VLOOKUP( $B42, T_Aop[], 4, 1)</f>
        <v>222</v>
      </c>
      <c r="J42" s="456">
        <v>16</v>
      </c>
      <c r="K42" s="456">
        <v>674443</v>
      </c>
      <c r="L42" s="457">
        <v>545093</v>
      </c>
      <c r="N42" s="44"/>
      <c r="P42" s="183"/>
    </row>
    <row r="43" spans="2:16" ht="22.9" customHeight="1" x14ac:dyDescent="0.3">
      <c r="B43" s="15">
        <v>161</v>
      </c>
      <c r="C43" s="62" t="str">
        <f>VLOOKUP( $B43, T_Aop[], 5, 1)</f>
        <v>52</v>
      </c>
      <c r="D43" s="686" t="str">
        <f>VLOOKUP( $B43, T_Aop[], 6, 1)</f>
        <v xml:space="preserve">    4. Troškovi plata, naknada plata i ostalih ličnih primanja (224 + 225)</v>
      </c>
      <c r="E43" s="687"/>
      <c r="F43" s="687"/>
      <c r="G43" s="687"/>
      <c r="H43" s="688"/>
      <c r="I43" s="63">
        <f>VLOOKUP( $B43, T_Aop[], 4, 1)</f>
        <v>223</v>
      </c>
      <c r="J43" s="454">
        <v>17</v>
      </c>
      <c r="K43" s="460">
        <f>IF(AND([0]!Godina=2026,MID(Osnovni_podaci!D20,3,1)="s",Osnovni_podaci!L24=6,Osnovni_podaci!G24=0,MID(Osnovni_podaci!D20,3,1)="s",MID(Osnovni_podaci!D20,8,1)=" "),SUBTOTAL( 9, K44:K45),A1)</f>
        <v>3170777</v>
      </c>
      <c r="L43" s="461">
        <f>IF(AND([0]!Godina=2026,MID(Osnovni_podaci!D20,3,1)="s",Osnovni_podaci!L24=6,Osnovni_podaci!G24=0,MID(Osnovni_podaci!D20,3,1)="s",MID(Osnovni_podaci!D20,8,1)=" "),SUBTOTAL( 9, L44:L45),A1)</f>
        <v>2961774</v>
      </c>
      <c r="N43" s="44"/>
      <c r="P43" s="183"/>
    </row>
    <row r="44" spans="2:16" ht="14.65" customHeight="1" x14ac:dyDescent="0.3">
      <c r="B44" s="15">
        <v>162</v>
      </c>
      <c r="C44" s="58" t="str">
        <f>VLOOKUP( $B44, T_Aop[], 5, 1)</f>
        <v>520 i 523</v>
      </c>
      <c r="D44" s="683" t="str">
        <f>VLOOKUP( $B44, T_Aop[], 6, 1)</f>
        <v xml:space="preserve">      a) Troškovi bruto plata i bruto naknada plata</v>
      </c>
      <c r="E44" s="684"/>
      <c r="F44" s="684"/>
      <c r="G44" s="684"/>
      <c r="H44" s="685"/>
      <c r="I44" s="59">
        <f>VLOOKUP( $B44, T_Aop[], 4, 1)</f>
        <v>224</v>
      </c>
      <c r="J44" s="456">
        <v>17</v>
      </c>
      <c r="K44" s="456">
        <v>2707144</v>
      </c>
      <c r="L44" s="457">
        <v>2536365</v>
      </c>
      <c r="N44" s="44"/>
      <c r="P44" s="183"/>
    </row>
    <row r="45" spans="2:16" ht="14.65" customHeight="1" x14ac:dyDescent="0.3">
      <c r="B45" s="15">
        <v>163</v>
      </c>
      <c r="C45" s="62" t="str">
        <f>VLOOKUP( $B45, T_Aop[], 5, 1)</f>
        <v>524 do 529</v>
      </c>
      <c r="D45" s="686" t="str">
        <f>VLOOKUP( $B45, T_Aop[], 6, 1)</f>
        <v xml:space="preserve">      b) Troškovi ostalih ličnih primanja</v>
      </c>
      <c r="E45" s="687"/>
      <c r="F45" s="687"/>
      <c r="G45" s="687"/>
      <c r="H45" s="688"/>
      <c r="I45" s="63">
        <f>VLOOKUP( $B45, T_Aop[], 4, 1)</f>
        <v>225</v>
      </c>
      <c r="J45" s="454">
        <v>18</v>
      </c>
      <c r="K45" s="454">
        <v>463633</v>
      </c>
      <c r="L45" s="455">
        <v>425409</v>
      </c>
      <c r="N45" s="44"/>
      <c r="P45" s="183"/>
    </row>
    <row r="46" spans="2:16" ht="14.65" customHeight="1" x14ac:dyDescent="0.3">
      <c r="B46" s="15">
        <v>164</v>
      </c>
      <c r="C46" s="58" t="str">
        <f>VLOOKUP( $B46, T_Aop[], 5, 1)</f>
        <v>530 do 539</v>
      </c>
      <c r="D46" s="683" t="str">
        <f>VLOOKUP( $B46, T_Aop[], 6, 1)</f>
        <v xml:space="preserve">    5. Troškovi proizvodnih usluga</v>
      </c>
      <c r="E46" s="684"/>
      <c r="F46" s="684"/>
      <c r="G46" s="684"/>
      <c r="H46" s="685"/>
      <c r="I46" s="59">
        <f>VLOOKUP( $B46, T_Aop[], 4, 1)</f>
        <v>226</v>
      </c>
      <c r="J46" s="456">
        <v>19</v>
      </c>
      <c r="K46" s="456">
        <v>2606047</v>
      </c>
      <c r="L46" s="457">
        <v>2495790</v>
      </c>
      <c r="N46" s="44"/>
      <c r="P46" s="183"/>
    </row>
    <row r="47" spans="2:16" ht="14.65" customHeight="1" x14ac:dyDescent="0.3">
      <c r="B47" s="15">
        <v>165</v>
      </c>
      <c r="C47" s="62" t="str">
        <f>VLOOKUP( $B47, T_Aop[], 5, 1)</f>
        <v>54</v>
      </c>
      <c r="D47" s="686" t="str">
        <f>VLOOKUP( $B47, T_Aop[], 6, 1)</f>
        <v xml:space="preserve">    6. Troškovi amortizacije i rezervisanja (228 + 233)</v>
      </c>
      <c r="E47" s="687"/>
      <c r="F47" s="687"/>
      <c r="G47" s="687"/>
      <c r="H47" s="688"/>
      <c r="I47" s="63">
        <f>VLOOKUP( $B47, T_Aop[], 4, 1)</f>
        <v>227</v>
      </c>
      <c r="J47" s="454">
        <v>20</v>
      </c>
      <c r="K47" s="460">
        <f>IF(AND([0]!Godina=2026,MID(Osnovni_podaci!D20,3,1)="s",Osnovni_podaci!L24=6,Osnovni_podaci!G24=0,MID(Osnovni_podaci!D20,3,1)="s",MID(Osnovni_podaci!D20,8,1)=" "),SUBTOTAL( 9, K48:K53),A1)</f>
        <v>727250</v>
      </c>
      <c r="L47" s="461">
        <f>IF(AND([0]!Godina=2026,MID(Osnovni_podaci!D20,3,1)="s",Osnovni_podaci!L24=6,Osnovni_podaci!G24=0,MID(Osnovni_podaci!D20,3,1)="s",MID(Osnovni_podaci!D20,8,1)=" "),SUBTOTAL( 9, L48:L53),A1)</f>
        <v>619488</v>
      </c>
      <c r="N47" s="44"/>
      <c r="P47" s="183"/>
    </row>
    <row r="48" spans="2:16" ht="14.65" customHeight="1" x14ac:dyDescent="0.3">
      <c r="B48" s="15">
        <v>166</v>
      </c>
      <c r="C48" s="58" t="str">
        <f>VLOOKUP( $B48, T_Aop[], 5, 1)</f>
        <v>540</v>
      </c>
      <c r="D48" s="683" t="str">
        <f>VLOOKUP( $B48, T_Aop[], 6, 1)</f>
        <v xml:space="preserve">      6.1 Troškovi amortizacije (229 do 232)</v>
      </c>
      <c r="E48" s="684"/>
      <c r="F48" s="684"/>
      <c r="G48" s="684"/>
      <c r="H48" s="685"/>
      <c r="I48" s="59">
        <f>VLOOKUP( $B48, T_Aop[], 4, 1)</f>
        <v>228</v>
      </c>
      <c r="J48" s="456">
        <v>20</v>
      </c>
      <c r="K48" s="458">
        <f>IF(AND([0]!Godina=2026,MID(Osnovni_podaci!D20,3,1)="s",Osnovni_podaci!L24=6,Osnovni_podaci!G24=0,MID(Osnovni_podaci!D20,3,1)="s",MID(Osnovni_podaci!D20,8,1)=" "),SUBTOTAL( 9, K49:K52),A1)</f>
        <v>727250</v>
      </c>
      <c r="L48" s="459">
        <f>IF(AND([0]!Godina=2026,MID(Osnovni_podaci!D20,3,1)="s",Osnovni_podaci!L24=6,Osnovni_podaci!G24=0,MID(Osnovni_podaci!D20,3,1)="s",MID(Osnovni_podaci!D20,8,1)=" "),SUBTOTAL( 9, L49:L52),A1)</f>
        <v>619488</v>
      </c>
      <c r="N48" s="44"/>
      <c r="P48" s="183"/>
    </row>
    <row r="49" spans="2:16" ht="14.65" customHeight="1" x14ac:dyDescent="0.3">
      <c r="B49" s="15">
        <v>167</v>
      </c>
      <c r="C49" s="62" t="str">
        <f>VLOOKUP( $B49, T_Aop[], 5, 1)</f>
        <v>dio 540</v>
      </c>
      <c r="D49" s="686" t="str">
        <f>VLOOKUP( $B49, T_Aop[], 6, 1)</f>
        <v xml:space="preserve">        a) Amortizacija nekretnina, postrojenja i opreme</v>
      </c>
      <c r="E49" s="687"/>
      <c r="F49" s="687"/>
      <c r="G49" s="687"/>
      <c r="H49" s="688"/>
      <c r="I49" s="63">
        <f>VLOOKUP( $B49, T_Aop[], 4, 1)</f>
        <v>229</v>
      </c>
      <c r="J49" s="454"/>
      <c r="K49" s="454">
        <v>727250</v>
      </c>
      <c r="L49" s="455">
        <v>619488</v>
      </c>
      <c r="N49" s="44"/>
      <c r="P49" s="183"/>
    </row>
    <row r="50" spans="2:16" ht="14.65" customHeight="1" x14ac:dyDescent="0.3">
      <c r="B50" s="15">
        <v>168</v>
      </c>
      <c r="C50" s="58" t="str">
        <f>IF(AND([0]!Godina=2026,MID(Osnovni_podaci!D20,3,1)="s",Osnovni_podaci!L24=6,Osnovni_podaci!G24=0,MID(Osnovni_podaci!D20,3,1)="s",MID(Osnovni_podaci!D20,8,1)=" "),VLOOKUP( $B50, T_Aop[], 5, 1),A1)</f>
        <v>dio 540</v>
      </c>
      <c r="D50" s="683" t="str">
        <f>VLOOKUP( $B50, T_Aop[], 6, 1)</f>
        <v xml:space="preserve">        b) Amortizacija investicionih nekretnina</v>
      </c>
      <c r="E50" s="684"/>
      <c r="F50" s="684"/>
      <c r="G50" s="684"/>
      <c r="H50" s="685"/>
      <c r="I50" s="59">
        <f>VLOOKUP( $B50, T_Aop[], 4, 1)</f>
        <v>230</v>
      </c>
      <c r="J50" s="456"/>
      <c r="K50" s="456"/>
      <c r="L50" s="457"/>
      <c r="N50" s="44"/>
      <c r="P50" s="183"/>
    </row>
    <row r="51" spans="2:16" ht="14.65" customHeight="1" x14ac:dyDescent="0.3">
      <c r="B51" s="15">
        <v>169</v>
      </c>
      <c r="C51" s="62" t="str">
        <f>IF(AND([0]!Godina=2026,MID(Osnovni_podaci!D20,3,1)="s",Osnovni_podaci!L24=6,Osnovni_podaci!G24=0,MID(Osnovni_podaci!D20,3,1)="s",MID(Osnovni_podaci!D20,8,1)=" "),VLOOKUP( $B51, T_Aop[], 5, 1),A1)</f>
        <v>dio 540</v>
      </c>
      <c r="D51" s="686" t="str">
        <f>VLOOKUP( $B51, T_Aop[], 6, 1)</f>
        <v xml:space="preserve">        c) Amortizacija sredstava uzetih u zakup</v>
      </c>
      <c r="E51" s="687"/>
      <c r="F51" s="687"/>
      <c r="G51" s="687"/>
      <c r="H51" s="688"/>
      <c r="I51" s="63">
        <f>VLOOKUP( $B51, T_Aop[], 4, 1)</f>
        <v>231</v>
      </c>
      <c r="J51" s="454"/>
      <c r="K51" s="454"/>
      <c r="L51" s="455"/>
      <c r="N51" s="44"/>
      <c r="P51" s="183"/>
    </row>
    <row r="52" spans="2:16" ht="14.65" customHeight="1" x14ac:dyDescent="0.3">
      <c r="B52" s="15">
        <v>170</v>
      </c>
      <c r="C52" s="58" t="str">
        <f>IF(AND([0]!Godina=2026,MID(Osnovni_podaci!D20,3,1)="s",Osnovni_podaci!L24=6,Osnovni_podaci!G24=0,MID(Osnovni_podaci!D20,3,1)="s",MID(Osnovni_podaci!D20,8,1)=" "),VLOOKUP( $B52, T_Aop[], 5, 1),A1)</f>
        <v>dio 540</v>
      </c>
      <c r="D52" s="683" t="str">
        <f>VLOOKUP( $B52, T_Aop[], 6, 1)</f>
        <v xml:space="preserve">        d) Amortizacija ostalih sredstava</v>
      </c>
      <c r="E52" s="684"/>
      <c r="F52" s="684"/>
      <c r="G52" s="684"/>
      <c r="H52" s="685"/>
      <c r="I52" s="59">
        <f>VLOOKUP( $B52, T_Aop[], 4, 1)</f>
        <v>232</v>
      </c>
      <c r="J52" s="456"/>
      <c r="K52" s="456"/>
      <c r="L52" s="457"/>
      <c r="N52" s="44"/>
      <c r="P52" s="183"/>
    </row>
    <row r="53" spans="2:16" ht="14.65" customHeight="1" x14ac:dyDescent="0.3">
      <c r="B53" s="15">
        <v>171</v>
      </c>
      <c r="C53" s="62" t="str">
        <f>IF(AND([0]!Godina=2026,MID(Osnovni_podaci!D20,3,1)="s",Osnovni_podaci!L24=6,Osnovni_podaci!G24=0,MID(Osnovni_podaci!D20,3,1)="s",MID(Osnovni_podaci!D20,8,1)=" "),VLOOKUP( $B53, T_Aop[], 5, 1),A1)</f>
        <v>541</v>
      </c>
      <c r="D53" s="686" t="str">
        <f>VLOOKUP( $B53, T_Aop[], 6, 1)</f>
        <v xml:space="preserve">      6.2 Troškovi rezervisanja</v>
      </c>
      <c r="E53" s="687"/>
      <c r="F53" s="687"/>
      <c r="G53" s="687"/>
      <c r="H53" s="688"/>
      <c r="I53" s="63">
        <f>VLOOKUP( $B53, T_Aop[], 4, 1)</f>
        <v>233</v>
      </c>
      <c r="J53" s="454"/>
      <c r="K53" s="454"/>
      <c r="L53" s="455"/>
      <c r="N53" s="44"/>
      <c r="P53" s="183"/>
    </row>
    <row r="54" spans="2:16" ht="14.65" customHeight="1" x14ac:dyDescent="0.3">
      <c r="B54" s="15">
        <v>172</v>
      </c>
      <c r="C54" s="58" t="str">
        <f>IF(AND([0]!Godina=2026,MID(Osnovni_podaci!D20,3,1)="s",Osnovni_podaci!L24=6,Osnovni_podaci!G24=0,MID(Osnovni_podaci!D20,3,1)="s",MID(Osnovni_podaci!D20,8,1)=" "),VLOOKUP( $B54, T_Aop[], 5, 1),A1)</f>
        <v>55 osim 555 i 556</v>
      </c>
      <c r="D54" s="683" t="str">
        <f>VLOOKUP( $B54, T_Aop[], 6, 1)</f>
        <v xml:space="preserve">    7. Nematerijalni troškovi (bez poreza i doprinosa)</v>
      </c>
      <c r="E54" s="684"/>
      <c r="F54" s="684"/>
      <c r="G54" s="684"/>
      <c r="H54" s="685"/>
      <c r="I54" s="59">
        <f>VLOOKUP( $B54, T_Aop[], 4, 1)</f>
        <v>234</v>
      </c>
      <c r="J54" s="456">
        <v>21</v>
      </c>
      <c r="K54" s="456">
        <v>307345</v>
      </c>
      <c r="L54" s="457">
        <v>292987</v>
      </c>
      <c r="N54" s="44"/>
      <c r="P54" s="183"/>
    </row>
    <row r="55" spans="2:16" ht="14.65" customHeight="1" x14ac:dyDescent="0.3">
      <c r="B55" s="15">
        <v>173</v>
      </c>
      <c r="C55" s="62" t="str">
        <f>IF(AND([0]!Godina=2026,MID(Osnovni_podaci!D20,3,1)="s",Osnovni_podaci!L24=6,Osnovni_podaci!G24=0,MID(Osnovni_podaci!D20,3,1)="s",MID(Osnovni_podaci!D20,8,1)=" "),VLOOKUP( $B55, T_Aop[], 5, 1),A1)</f>
        <v>555</v>
      </c>
      <c r="D55" s="686" t="str">
        <f>VLOOKUP( $B55, T_Aop[], 6, 1)</f>
        <v xml:space="preserve">    8. Troškovi poreza</v>
      </c>
      <c r="E55" s="687"/>
      <c r="F55" s="687"/>
      <c r="G55" s="687"/>
      <c r="H55" s="688"/>
      <c r="I55" s="63">
        <f>VLOOKUP( $B55, T_Aop[], 4, 1)</f>
        <v>235</v>
      </c>
      <c r="J55" s="454">
        <v>22</v>
      </c>
      <c r="K55" s="454">
        <v>37446</v>
      </c>
      <c r="L55" s="455">
        <v>31924</v>
      </c>
      <c r="N55" s="44"/>
      <c r="P55" s="183"/>
    </row>
    <row r="56" spans="2:16" ht="14.65" customHeight="1" x14ac:dyDescent="0.3">
      <c r="B56" s="15">
        <v>174</v>
      </c>
      <c r="C56" s="58" t="str">
        <f>IF(AND([0]!Godina=2026,MID(Osnovni_podaci!D20,3,1)="s",Osnovni_podaci!L24=6,Osnovni_podaci!G24=0,MID(Osnovni_podaci!D20,3,1)="s",MID(Osnovni_podaci!D20,8,1)=" "),VLOOKUP( $B56, T_Aop[], 5, 1),A1)</f>
        <v>556</v>
      </c>
      <c r="D56" s="683" t="str">
        <f>VLOOKUP( $B56, T_Aop[], 6, 1)</f>
        <v xml:space="preserve">    9. Troškovi doprinosa</v>
      </c>
      <c r="E56" s="684"/>
      <c r="F56" s="684"/>
      <c r="G56" s="684"/>
      <c r="H56" s="685"/>
      <c r="I56" s="59">
        <f>VLOOKUP( $B56, T_Aop[], 4, 1)</f>
        <v>236</v>
      </c>
      <c r="J56" s="456">
        <v>23</v>
      </c>
      <c r="K56" s="456">
        <v>4471</v>
      </c>
      <c r="L56" s="457">
        <v>4986</v>
      </c>
      <c r="N56" s="44"/>
      <c r="P56" s="183"/>
    </row>
    <row r="57" spans="2:16" ht="12.75" customHeight="1" x14ac:dyDescent="0.3">
      <c r="B57" s="15">
        <v>175</v>
      </c>
      <c r="C57" s="62">
        <f>IF(AND([0]!Godina=2026,MID(Osnovni_podaci!D20,3,1)="s",Osnovni_podaci!L24=6,Osnovni_podaci!G24=0,MID(Osnovni_podaci!D20,3,1)="s",MID(Osnovni_podaci!D20,8,1)=" "),VLOOKUP( $B57, T_Aop[], 5, 1),A1)</f>
        <v>0</v>
      </c>
      <c r="D57" s="703" t="str">
        <f>VLOOKUP( $B57, T_Aop[], 6, 1)</f>
        <v xml:space="preserve">  B.  POSLOVNI DOBITAK (201 – 219)</v>
      </c>
      <c r="E57" s="704"/>
      <c r="F57" s="704"/>
      <c r="G57" s="704"/>
      <c r="H57" s="705"/>
      <c r="I57" s="179">
        <f>VLOOKUP( $B57, T_Aop[], 4, 1)</f>
        <v>237</v>
      </c>
      <c r="J57" s="454"/>
      <c r="K57" s="67">
        <f>IF(AND([0]!Godina=2026,MID(Osnovni_podaci!D20,3,1)="s",Osnovni_podaci!L24=6,Osnovni_podaci!G24=0,MID(Osnovni_podaci!D20,3,1)="s",MID(Osnovni_podaci!D20,8,1)=" "),IF( SUBTOTAL( 9, K21:K34,K36,K38) - SUBTOTAL( 9, K35, K37, K39:K56)  &lt;= 0, 0, ABS( SUBTOTAL( 9, K21:K34,K36,K38) - SUBTOTAL( 9, K35, K37, K39:K56))),A1)</f>
        <v>1853361</v>
      </c>
      <c r="L57" s="68">
        <f>IF(AND([0]!Godina=2026,MID(Osnovni_podaci!D20,3,1)="s",Osnovni_podaci!L24=6,Osnovni_podaci!G24=0,MID(Osnovni_podaci!D20,3,1)="s",MID(Osnovni_podaci!D20,8,1)=" "),IF( SUBTOTAL( 9, L21:L34,L36,L38) - SUBTOTAL( 9, L35, L37, L39:L56)  &lt;= 0, 0, ABS( SUBTOTAL( 9, L21:L34,L36,L38) - SUBTOTAL( 9, L35, L37, L39:L56))),A1)</f>
        <v>938834</v>
      </c>
      <c r="N57" s="44"/>
      <c r="P57" s="183"/>
    </row>
    <row r="58" spans="2:16" ht="12.75" customHeight="1" x14ac:dyDescent="0.3">
      <c r="B58" s="15">
        <v>176</v>
      </c>
      <c r="C58" s="58">
        <f>IF(AND([0]!Godina=2026,MID(Osnovni_podaci!D20,3,1)="s",Osnovni_podaci!L24=6,Osnovni_podaci!G24=0,MID(Osnovni_podaci!D20,3,1)="s",MID(Osnovni_podaci!D20,8,1)=" "),VLOOKUP( $B58, T_Aop[], 5, 1),A1)</f>
        <v>0</v>
      </c>
      <c r="D58" s="706" t="str">
        <f>VLOOKUP( $B58, T_Aop[], 6, 1)</f>
        <v xml:space="preserve">  V.  POSLOVNI GUBITAK (219 – 201)</v>
      </c>
      <c r="E58" s="707"/>
      <c r="F58" s="707"/>
      <c r="G58" s="707"/>
      <c r="H58" s="708"/>
      <c r="I58" s="178">
        <f>VLOOKUP( $B58, T_Aop[], 4, 1)</f>
        <v>238</v>
      </c>
      <c r="J58" s="456"/>
      <c r="K58" s="254">
        <f>IF(AND([0]!Godina=2026,MID(Osnovni_podaci!D20,3,1)="s",Osnovni_podaci!L24=6,Osnovni_podaci!G24=0,MID(Osnovni_podaci!D20,3,1)="s",MID(Osnovni_podaci!D20,8,1)=" "),IF( SUBTOTAL( 9, K21:K34,K36,K38) - SUBTOTAL( 9, K35, K37, K39:K56)  &gt;= 0, 0, ABS( SUBTOTAL( 9, K21:K34,K36,K38) - SUBTOTAL( 9, K35, K37, K39:K56))),A1)</f>
        <v>0</v>
      </c>
      <c r="L58" s="403">
        <f>IF(AND([0]!Godina=2026,MID(Osnovni_podaci!D20,3,1)="s",Osnovni_podaci!L24=6,Osnovni_podaci!G24=0,MID(Osnovni_podaci!D20,3,1)="s",MID(Osnovni_podaci!D20,8,1)=" "),IF( SUBTOTAL( 9, L21:L34,L36,L38) - SUBTOTAL( 9, L35, L37, L39:L56)  &gt;= 0, 0, ABS( SUBTOTAL( 9, L21:L34,L36,L38) - SUBTOTAL( 9, L35, L37, L39:L56))),A1)</f>
        <v>0</v>
      </c>
      <c r="N58" s="44"/>
      <c r="P58" s="183"/>
    </row>
    <row r="59" spans="2:16" ht="22.9" customHeight="1" x14ac:dyDescent="0.3">
      <c r="B59" s="15">
        <v>177</v>
      </c>
      <c r="C59" s="62" t="str">
        <f>IF(AND([0]!Godina=2026,MID(Osnovni_podaci!D20,3,1)="s",Osnovni_podaci!L24=6,Osnovni_podaci!G24=0,MID(Osnovni_podaci!D20,3,1)="s",MID(Osnovni_podaci!D20,8,1)=" "),VLOOKUP( $B59, T_Aop[], 5, 1),A1)</f>
        <v>66</v>
      </c>
      <c r="D59" s="703" t="str">
        <f>VLOOKUP( $B59, T_Aop[], 6, 1)</f>
        <v xml:space="preserve">  G. FINANSIJSKI PRIHODI I RASHODI _x000D_
I  FINANSIJSKI PRIHODI (240 do 243)</v>
      </c>
      <c r="E59" s="704"/>
      <c r="F59" s="704"/>
      <c r="G59" s="704"/>
      <c r="H59" s="705"/>
      <c r="I59" s="179">
        <f>VLOOKUP( $B59, T_Aop[], 4, 1)</f>
        <v>239</v>
      </c>
      <c r="J59" s="454">
        <v>24</v>
      </c>
      <c r="K59" s="67">
        <f>IF(AND([0]!Godina=2026,MID(Osnovni_podaci!D20,3,1)="s",Osnovni_podaci!L24=6,Osnovni_podaci!G24=0,MID(Osnovni_podaci!D20,3,1)="s",MID(Osnovni_podaci!D20,8,1)=" "),SUBTOTAL( 9, K60:K63),A1)</f>
        <v>3623</v>
      </c>
      <c r="L59" s="68">
        <f>IF(AND([0]!Godina=2026,MID(Osnovni_podaci!D20,3,1)="s",Osnovni_podaci!L24=6,Osnovni_podaci!G24=0,MID(Osnovni_podaci!D20,3,1)="s",MID(Osnovni_podaci!D20,8,1)=" "),SUBTOTAL( 9, L60:L63),A1)</f>
        <v>383526</v>
      </c>
      <c r="N59" s="44"/>
      <c r="P59" s="183"/>
    </row>
    <row r="60" spans="2:16" ht="13.9" customHeight="1" x14ac:dyDescent="0.3">
      <c r="B60" s="15">
        <v>178</v>
      </c>
      <c r="C60" s="58" t="str">
        <f>IF(AND([0]!Godina=2026,MID(Osnovni_podaci!D20,3,1)="s",Osnovni_podaci!L24=6,Osnovni_podaci!G24=0,MID(Osnovni_podaci!D20,3,1)="s",MID(Osnovni_podaci!D20,8,1)=" "),VLOOKUP( $B60, T_Aop[], 5, 1),A1)</f>
        <v>660, 661</v>
      </c>
      <c r="D60" s="683" t="str">
        <f>VLOOKUP( $B60, T_Aop[], 6, 1)</f>
        <v xml:space="preserve">    1.   Prihodi od kamata</v>
      </c>
      <c r="E60" s="684"/>
      <c r="F60" s="684"/>
      <c r="G60" s="684"/>
      <c r="H60" s="685"/>
      <c r="I60" s="59">
        <f>VLOOKUP( $B60, T_Aop[], 4, 1)</f>
        <v>240</v>
      </c>
      <c r="J60" s="456"/>
      <c r="K60" s="456">
        <v>3623</v>
      </c>
      <c r="L60" s="457">
        <v>383526</v>
      </c>
      <c r="N60" s="44"/>
      <c r="P60" s="183"/>
    </row>
    <row r="61" spans="2:16" ht="13.9" customHeight="1" x14ac:dyDescent="0.3">
      <c r="B61" s="15">
        <v>179</v>
      </c>
      <c r="C61" s="62" t="str">
        <f>IF(AND([0]!Godina=2026,MID(Osnovni_podaci!D20,3,1)="s",Osnovni_podaci!L24=6,Osnovni_podaci!G24=0,MID(Osnovni_podaci!D20,3,1)="s",MID(Osnovni_podaci!D20,8,1)=" "),VLOOKUP( $B61, T_Aop[], 5, 1),A1)</f>
        <v>662</v>
      </c>
      <c r="D61" s="686" t="str">
        <f>VLOOKUP( $B61, T_Aop[], 6, 1)</f>
        <v xml:space="preserve">    2.   Pozitivne kursne razlike</v>
      </c>
      <c r="E61" s="687"/>
      <c r="F61" s="687"/>
      <c r="G61" s="687"/>
      <c r="H61" s="688"/>
      <c r="I61" s="63">
        <f>VLOOKUP( $B61, T_Aop[], 4, 1)</f>
        <v>241</v>
      </c>
      <c r="J61" s="454"/>
      <c r="K61" s="454"/>
      <c r="L61" s="455"/>
      <c r="N61" s="44"/>
      <c r="P61" s="183"/>
    </row>
    <row r="62" spans="2:16" ht="13.9" customHeight="1" x14ac:dyDescent="0.3">
      <c r="B62" s="15">
        <v>180</v>
      </c>
      <c r="C62" s="58" t="str">
        <f>IF(AND([0]!Godina=2026,MID(Osnovni_podaci!D20,3,1)="s",Osnovni_podaci!L24=6,Osnovni_podaci!G24=0,MID(Osnovni_podaci!D20,3,1)="s",MID(Osnovni_podaci!D20,8,1)=" "),VLOOKUP( $B62, T_Aop[], 5, 1),A1)</f>
        <v>663</v>
      </c>
      <c r="D62" s="683" t="str">
        <f>VLOOKUP( $B62, T_Aop[], 6, 1)</f>
        <v xml:space="preserve">    3.   Prihodi od efekata valutne klauzule</v>
      </c>
      <c r="E62" s="684"/>
      <c r="F62" s="684"/>
      <c r="G62" s="684"/>
      <c r="H62" s="685"/>
      <c r="I62" s="59">
        <f>VLOOKUP( $B62, T_Aop[], 4, 1)</f>
        <v>242</v>
      </c>
      <c r="J62" s="456"/>
      <c r="K62" s="456"/>
      <c r="L62" s="457"/>
      <c r="N62" s="44"/>
      <c r="P62" s="183"/>
    </row>
    <row r="63" spans="2:16" ht="13.9" customHeight="1" x14ac:dyDescent="0.3">
      <c r="B63" s="15">
        <v>181</v>
      </c>
      <c r="C63" s="62" t="str">
        <f>IF(AND([0]!Godina=2026,MID(Osnovni_podaci!D20,3,1)="s",Osnovni_podaci!L24=6,Osnovni_podaci!G24=0,MID(Osnovni_podaci!D20,3,1)="s",MID(Osnovni_podaci!D20,8,1)=" "),VLOOKUP( $B63, T_Aop[], 5, 1),A1)</f>
        <v>669</v>
      </c>
      <c r="D63" s="686" t="str">
        <f>VLOOKUP( $B63, T_Aop[], 6, 1)</f>
        <v xml:space="preserve">    4.   Ostali finansijski prihodi</v>
      </c>
      <c r="E63" s="687"/>
      <c r="F63" s="687"/>
      <c r="G63" s="687"/>
      <c r="H63" s="688"/>
      <c r="I63" s="63">
        <f>VLOOKUP( $B63, T_Aop[], 4, 1)</f>
        <v>243</v>
      </c>
      <c r="J63" s="454"/>
      <c r="K63" s="454"/>
      <c r="L63" s="455"/>
      <c r="N63" s="44"/>
      <c r="P63" s="183"/>
    </row>
    <row r="64" spans="2:16" ht="15.25" customHeight="1" x14ac:dyDescent="0.3">
      <c r="B64" s="15">
        <v>182</v>
      </c>
      <c r="C64" s="58" t="str">
        <f>IF(AND([0]!Godina=2026,MID(Osnovni_podaci!D20,3,1)="s",Osnovni_podaci!L24=6,Osnovni_podaci!G24=0,MID(Osnovni_podaci!D20,3,1)="s",MID(Osnovni_podaci!D20,8,1)=" "),VLOOKUP( $B64, T_Aop[], 5, 1),A1)</f>
        <v>56</v>
      </c>
      <c r="D64" s="706" t="str">
        <f>VLOOKUP( $B64, T_Aop[], 6, 1)</f>
        <v xml:space="preserve">  II  FINANSIJSKI RASHODI (245 do 248)</v>
      </c>
      <c r="E64" s="707"/>
      <c r="F64" s="707"/>
      <c r="G64" s="707"/>
      <c r="H64" s="708"/>
      <c r="I64" s="178">
        <f>VLOOKUP( $B64, T_Aop[], 4, 1)</f>
        <v>244</v>
      </c>
      <c r="J64" s="456">
        <v>25</v>
      </c>
      <c r="K64" s="60">
        <f>IF(AND([0]!Godina=2026,MID(Osnovni_podaci!D20,3,1)="s",Osnovni_podaci!L24=6,Osnovni_podaci!G24=0,MID(Osnovni_podaci!D20,3,1)="s",MID(Osnovni_podaci!D20,8,1)=" "),SUBTOTAL( 9, K65:K68),A1)</f>
        <v>21511</v>
      </c>
      <c r="L64" s="61">
        <f>IF(AND([0]!Godina=2026,MID(Osnovni_podaci!D20,3,1)="s",Osnovni_podaci!L24=6,Osnovni_podaci!G24=0,MID(Osnovni_podaci!D20,3,1)="s",MID(Osnovni_podaci!D20,8,1)=" "),SUBTOTAL( 9, L65:L68),A1)</f>
        <v>24227</v>
      </c>
      <c r="N64" s="44"/>
      <c r="P64" s="183"/>
    </row>
    <row r="65" spans="2:16" ht="13.9" customHeight="1" x14ac:dyDescent="0.3">
      <c r="B65" s="15">
        <v>183</v>
      </c>
      <c r="C65" s="62" t="str">
        <f>IF(AND([0]!Godina=2026,MID(Osnovni_podaci!D20,3,1)="s",Osnovni_podaci!L24=6,Osnovni_podaci!G24=0,MID(Osnovni_podaci!D20,3,1)="s",MID(Osnovni_podaci!D20,8,1)=" "),VLOOKUP( $B65, T_Aop[], 5, 1),A1)</f>
        <v>560, 561</v>
      </c>
      <c r="D65" s="686" t="str">
        <f>VLOOKUP( $B65, T_Aop[], 6, 1)</f>
        <v xml:space="preserve">    1. Rashodi kamata</v>
      </c>
      <c r="E65" s="687"/>
      <c r="F65" s="687"/>
      <c r="G65" s="687"/>
      <c r="H65" s="688"/>
      <c r="I65" s="63">
        <f>VLOOKUP( $B65, T_Aop[], 4, 1)</f>
        <v>245</v>
      </c>
      <c r="J65" s="454"/>
      <c r="K65" s="454">
        <v>21511</v>
      </c>
      <c r="L65" s="455">
        <v>24227</v>
      </c>
      <c r="N65" s="44"/>
      <c r="P65" s="183"/>
    </row>
    <row r="66" spans="2:16" ht="13.9" customHeight="1" x14ac:dyDescent="0.3">
      <c r="B66" s="15">
        <v>184</v>
      </c>
      <c r="C66" s="58" t="str">
        <f>IF(AND([0]!Godina=2026,MID(Osnovni_podaci!D20,3,1)="s",Osnovni_podaci!L24=6,Osnovni_podaci!G24=0,MID(Osnovni_podaci!D20,3,1)="s",MID(Osnovni_podaci!D20,8,1)=" "),VLOOKUP( $B66, T_Aop[], 5, 1),A1)</f>
        <v>562</v>
      </c>
      <c r="D66" s="683" t="str">
        <f>VLOOKUP( $B66, T_Aop[], 6, 1)</f>
        <v xml:space="preserve">    2. Negativne kursne razlike</v>
      </c>
      <c r="E66" s="684"/>
      <c r="F66" s="684"/>
      <c r="G66" s="684"/>
      <c r="H66" s="685"/>
      <c r="I66" s="59">
        <f>VLOOKUP( $B66, T_Aop[], 4, 1)</f>
        <v>246</v>
      </c>
      <c r="J66" s="456"/>
      <c r="K66" s="456"/>
      <c r="L66" s="457"/>
      <c r="N66" s="44"/>
      <c r="P66" s="183"/>
    </row>
    <row r="67" spans="2:16" ht="13.9" customHeight="1" x14ac:dyDescent="0.3">
      <c r="B67" s="15">
        <v>185</v>
      </c>
      <c r="C67" s="62" t="str">
        <f>IF(AND([0]!Godina=2026,MID(Osnovni_podaci!D20,3,1)="s",Osnovni_podaci!L24=6,Osnovni_podaci!G24=0,MID(Osnovni_podaci!D20,3,1)="s",MID(Osnovni_podaci!D20,8,1)=" "),VLOOKUP( $B67, T_Aop[], 5, 1),A1)</f>
        <v>563</v>
      </c>
      <c r="D67" s="686" t="str">
        <f>VLOOKUP( $B67, T_Aop[], 6, 1)</f>
        <v xml:space="preserve">    3. Rashodi po osnovu valutne klauzule</v>
      </c>
      <c r="E67" s="687"/>
      <c r="F67" s="687"/>
      <c r="G67" s="687"/>
      <c r="H67" s="688"/>
      <c r="I67" s="63">
        <f>VLOOKUP( $B67, T_Aop[], 4, 1)</f>
        <v>247</v>
      </c>
      <c r="J67" s="454"/>
      <c r="K67" s="454"/>
      <c r="L67" s="455"/>
      <c r="N67" s="44"/>
      <c r="P67" s="183"/>
    </row>
    <row r="68" spans="2:16" ht="13.9" customHeight="1" x14ac:dyDescent="0.3">
      <c r="B68" s="15">
        <v>186</v>
      </c>
      <c r="C68" s="58" t="str">
        <f>IF(AND([0]!Godina=2026,MID(Osnovni_podaci!D20,3,1)="s",Osnovni_podaci!L24=6,Osnovni_podaci!G24=0,MID(Osnovni_podaci!D20,3,1)="s",MID(Osnovni_podaci!D20,8,1)=" "),VLOOKUP( $B68, T_Aop[], 5, 1),A1)</f>
        <v>569</v>
      </c>
      <c r="D68" s="683" t="str">
        <f>VLOOKUP( $B68, T_Aop[], 6, 1)</f>
        <v xml:space="preserve">    4. Ostali finansijski rashodi</v>
      </c>
      <c r="E68" s="684"/>
      <c r="F68" s="684"/>
      <c r="G68" s="684"/>
      <c r="H68" s="685"/>
      <c r="I68" s="59">
        <f>VLOOKUP( $B68, T_Aop[], 4, 1)</f>
        <v>248</v>
      </c>
      <c r="J68" s="456"/>
      <c r="K68" s="456"/>
      <c r="L68" s="457"/>
      <c r="N68" s="44"/>
      <c r="P68" s="183"/>
    </row>
    <row r="69" spans="2:16" ht="21" customHeight="1" x14ac:dyDescent="0.3">
      <c r="B69" s="15">
        <v>187</v>
      </c>
      <c r="C69" s="188">
        <f>IF(AND([0]!Godina=2026,MID(Osnovni_podaci!D20,3,1)="s",Osnovni_podaci!L24=6,Osnovni_podaci!G24=0,MID(Osnovni_podaci!D20,3,1)="s",MID(Osnovni_podaci!D20,8,1)=" "),VLOOKUP( $B69, T_Aop[], 5, 1),A1)</f>
        <v>0</v>
      </c>
      <c r="D69" s="703" t="str">
        <f>VLOOKUP( $B69, T_Aop[], 6, 1)</f>
        <v xml:space="preserve">  D. DOBITAK REDOVNE AKTIVNOSTI  (237 + 239 – 244) ili (239-244-238)     </v>
      </c>
      <c r="E69" s="704"/>
      <c r="F69" s="704"/>
      <c r="G69" s="704"/>
      <c r="H69" s="705"/>
      <c r="I69" s="179">
        <f>VLOOKUP( $B69, T_Aop[], 4, 1)</f>
        <v>249</v>
      </c>
      <c r="J69" s="454"/>
      <c r="K69" s="67">
        <f>IF(AND([0]!Godina=2026,MID(Osnovni_podaci!D20,3,1)="s",Osnovni_podaci!L24=6,Osnovni_podaci!G24=0,MID(Osnovni_podaci!D20,3,1)="s",MID(Osnovni_podaci!D20,8,1)=" "),IF( SUBTOTAL( 9, K21:K34,K36, K38,K59:K63) - SUBTOTAL( 9, K35, K37, K39:K56, K64:K68) &lt;= 0, 0, ABS( SUBTOTAL( 9, K21:K34,K36,K38, K59:K63) - SUBTOTAL( 9, K35, K37, K39:K56, K64:K68))),A1)</f>
        <v>1835473</v>
      </c>
      <c r="L69" s="68">
        <f>IF(AND([0]!Godina=2026,MID(Osnovni_podaci!D20,3,1)="s",Osnovni_podaci!L24=6,Osnovni_podaci!G24=0,MID(Osnovni_podaci!D20,3,1)="s",MID(Osnovni_podaci!D20,8,1)=" "),IF( SUBTOTAL( 9, L21:L34,L36, L38,L59:L63) - SUBTOTAL( 9, L35, L37, L39:L56, L64:L68) &lt;= 0, 0, ABS( SUBTOTAL( 9, L21:L34,L36,L38, L59:L63) - SUBTOTAL( 9, L35, L37, L39:L56, L64:L68))),A1)</f>
        <v>1298133</v>
      </c>
      <c r="N69" s="44"/>
      <c r="P69" s="183"/>
    </row>
    <row r="70" spans="2:16" ht="21" customHeight="1" x14ac:dyDescent="0.3">
      <c r="B70" s="15">
        <v>188</v>
      </c>
      <c r="C70" s="58">
        <f>IF(AND([0]!Godina=2026,MID(Osnovni_podaci!D20,3,1)="s",Osnovni_podaci!L24=6,Osnovni_podaci!G24=0,MID(Osnovni_podaci!D20,3,1)="s",MID(Osnovni_podaci!D20,8,1)=" "),VLOOKUP( $B70, T_Aop[], 5, 1),A1)</f>
        <v>0</v>
      </c>
      <c r="D70" s="706" t="str">
        <f>VLOOKUP( $B70, T_Aop[], 6, 1)</f>
        <v xml:space="preserve">  Đ. GUBITAK REDOVNE AKTIVNOSTI (238 + 244 -239) ili (244-239-237)</v>
      </c>
      <c r="E70" s="707"/>
      <c r="F70" s="707"/>
      <c r="G70" s="707"/>
      <c r="H70" s="708"/>
      <c r="I70" s="178">
        <f>VLOOKUP( $B70, T_Aop[], 4, 1)</f>
        <v>250</v>
      </c>
      <c r="J70" s="456"/>
      <c r="K70" s="254">
        <f>IF(AND([0]!Godina=2026,MID(Osnovni_podaci!D20,3,1)="s",Osnovni_podaci!L24=6,Osnovni_podaci!G24=0,MID(Osnovni_podaci!D20,3,1)="s",MID(Osnovni_podaci!D20,8,1)=" "),IF( SUBTOTAL( 9, K21:K34,K36,K38,K59:K63) - SUBTOTAL( 9, K35, K37, K39:K56,K64:K68)  &gt;= 0, 0, ABS( SUBTOTAL( 9, K21:K34,K36,K38,K59:K63) - SUBTOTAL( 9, K35, K37, K39:K56,K64:K68))),A1)</f>
        <v>0</v>
      </c>
      <c r="L70" s="403">
        <f>IF(AND([0]!Godina=2026,MID(Osnovni_podaci!D20,3,1)="s",Osnovni_podaci!L24=6,Osnovni_podaci!G24=0,MID(Osnovni_podaci!D20,3,1)="s",MID(Osnovni_podaci!D20,8,1)=" "),IF( SUBTOTAL( 9, L21:L34,L36,L38,L59:L63) - SUBTOTAL( 9, L35, L37, L39:L56,L64:L68)  &gt;= 0, 0, ABS( SUBTOTAL( 9, L21:L34,L36,L38,L59:L63) - SUBTOTAL( 9, L35, L37, L39:L56,L64:L68))),A1)</f>
        <v>0</v>
      </c>
      <c r="N70" s="44"/>
      <c r="P70" s="183"/>
    </row>
    <row r="71" spans="2:16" ht="23.65" customHeight="1" x14ac:dyDescent="0.3">
      <c r="B71" s="15">
        <v>189</v>
      </c>
      <c r="C71" s="62" t="str">
        <f>IF(AND([0]!Godina=2026,MID(Osnovni_podaci!D20,3,1)="s",Osnovni_podaci!L24=6,Osnovni_podaci!G24=0,MID(Osnovni_podaci!D20,3,1)="s",MID(Osnovni_podaci!D20,8,1)=" "),VLOOKUP( $B71, T_Aop[], 5, 1),A1)</f>
        <v>67</v>
      </c>
      <c r="D71" s="703" t="str">
        <f>VLOOKUP( $B71, T_Aop[], 6, 1)</f>
        <v xml:space="preserve">  E. OSTALI DOBICI I GUBICI 
I OSTALI PRIHODI I DOBICI (252 do 260)</v>
      </c>
      <c r="E71" s="704"/>
      <c r="F71" s="704"/>
      <c r="G71" s="704"/>
      <c r="H71" s="705"/>
      <c r="I71" s="179">
        <f>VLOOKUP( $B71, T_Aop[], 4, 1)</f>
        <v>251</v>
      </c>
      <c r="J71" s="454">
        <v>26</v>
      </c>
      <c r="K71" s="64">
        <f>IF(AND([0]!Godina=2026,MID(Osnovni_podaci!D20,3,1)="s",Osnovni_podaci!L24=6,Osnovni_podaci!G24=0,MID(Osnovni_podaci!D20,3,1)="s",MID(Osnovni_podaci!D20,8,1)=" "),SUBTOTAL( 9, K72:K80),A1)</f>
        <v>548568</v>
      </c>
      <c r="L71" s="65">
        <f>IF(AND([0]!Godina=2026,MID(Osnovni_podaci!D20,3,1)="s",Osnovni_podaci!L24=6,Osnovni_podaci!G24=0,MID(Osnovni_podaci!D20,3,1)="s",MID(Osnovni_podaci!D20,8,1)=" "),SUBTOTAL( 9, L72:L80),A1)</f>
        <v>1900420</v>
      </c>
      <c r="N71" s="44"/>
      <c r="P71" s="183"/>
    </row>
    <row r="72" spans="2:16" ht="23.65" customHeight="1" x14ac:dyDescent="0.3">
      <c r="B72" s="15">
        <v>190</v>
      </c>
      <c r="C72" s="58" t="str">
        <f>IF(AND([0]!Godina=2026,MID(Osnovni_podaci!D20,3,1)="s",Osnovni_podaci!L24=6,Osnovni_podaci!G24=0,MID(Osnovni_podaci!D20,3,1)="s",MID(Osnovni_podaci!D20,8,1)=" "),VLOOKUP( $B72, T_Aop[], 5, 1),A1)</f>
        <v>670, 570 neto prikaz</v>
      </c>
      <c r="D72" s="683" t="str">
        <f>VLOOKUP( $B72, T_Aop[], 6, 1)</f>
        <v xml:space="preserve">    1. Neto dobici po osnovu prodaje nematerijalnih sredstava, nekretnina, postrojenja i opreme</v>
      </c>
      <c r="E72" s="684"/>
      <c r="F72" s="684"/>
      <c r="G72" s="684"/>
      <c r="H72" s="685"/>
      <c r="I72" s="59">
        <f>VLOOKUP( $B72, T_Aop[], 4, 1)</f>
        <v>252</v>
      </c>
      <c r="J72" s="456"/>
      <c r="K72" s="456">
        <v>313</v>
      </c>
      <c r="L72" s="457"/>
      <c r="N72" s="44"/>
      <c r="P72" s="183"/>
    </row>
    <row r="73" spans="2:16" ht="23.65" customHeight="1" x14ac:dyDescent="0.3">
      <c r="B73" s="15">
        <v>191</v>
      </c>
      <c r="C73" s="62" t="str">
        <f>IF(AND([0]!Godina=2026,MID(Osnovni_podaci!D20,3,1)="s",Osnovni_podaci!L24=6,Osnovni_podaci!G24=0,MID(Osnovni_podaci!D20,3,1)="s",MID(Osnovni_podaci!D20,8,1)=" "),VLOOKUP( $B73, T_Aop[], 5, 1),A1)</f>
        <v>671, 571 neto prikaz</v>
      </c>
      <c r="D73" s="686" t="str">
        <f>VLOOKUP( $B73, T_Aop[], 6, 1)</f>
        <v xml:space="preserve">    2. Neto dobici po osnovu prodaje investicionih nekretnina</v>
      </c>
      <c r="E73" s="687"/>
      <c r="F73" s="687"/>
      <c r="G73" s="687"/>
      <c r="H73" s="688"/>
      <c r="I73" s="63">
        <f>VLOOKUP( $B73, T_Aop[], 4, 1)</f>
        <v>253</v>
      </c>
      <c r="J73" s="454"/>
      <c r="K73" s="454"/>
      <c r="L73" s="455"/>
      <c r="N73" s="44"/>
      <c r="P73" s="183"/>
    </row>
    <row r="74" spans="2:16" ht="23.65" customHeight="1" x14ac:dyDescent="0.3">
      <c r="B74" s="15">
        <v>192</v>
      </c>
      <c r="C74" s="58" t="str">
        <f>IF(AND([0]!Godina=2026,MID(Osnovni_podaci!D20,3,1)="s",Osnovni_podaci!L24=6,Osnovni_podaci!G24=0,MID(Osnovni_podaci!D20,3,1)="s",MID(Osnovni_podaci!D20,8,1)=" "),VLOOKUP( $B74, T_Aop[], 5, 1),A1)</f>
        <v>672, 572 neto prikaz</v>
      </c>
      <c r="D74" s="683" t="str">
        <f>VLOOKUP( $B74, T_Aop[], 6, 1)</f>
        <v xml:space="preserve">    3. Neto dobici po osnovu prodaje bioloških sredstava</v>
      </c>
      <c r="E74" s="684"/>
      <c r="F74" s="684"/>
      <c r="G74" s="684"/>
      <c r="H74" s="685"/>
      <c r="I74" s="59">
        <f>VLOOKUP( $B74, T_Aop[], 4, 1)</f>
        <v>254</v>
      </c>
      <c r="J74" s="456"/>
      <c r="K74" s="456"/>
      <c r="L74" s="457"/>
      <c r="N74" s="44"/>
      <c r="P74" s="183"/>
    </row>
    <row r="75" spans="2:16" ht="23.65" customHeight="1" x14ac:dyDescent="0.3">
      <c r="B75" s="15">
        <v>193</v>
      </c>
      <c r="C75" s="62" t="str">
        <f>IF(AND([0]!Godina=2026,MID(Osnovni_podaci!D20,3,1)="s",Osnovni_podaci!L24=6,Osnovni_podaci!G24=0,MID(Osnovni_podaci!D20,3,1)="s",MID(Osnovni_podaci!D20,8,1)=" "),VLOOKUP( $B75, T_Aop[], 5, 1),A1)</f>
        <v>673, 573, neto prikaz</v>
      </c>
      <c r="D75" s="686" t="str">
        <f>VLOOKUP( $B75, T_Aop[], 6, 1)</f>
        <v xml:space="preserve">    4. Neto dobici po osnovu prodaje stalnih sredstava namijenjenih prodaji i sredstava poslovanja koje se obustavlja</v>
      </c>
      <c r="E75" s="687"/>
      <c r="F75" s="687"/>
      <c r="G75" s="687"/>
      <c r="H75" s="688"/>
      <c r="I75" s="63">
        <f>VLOOKUP( $B75, T_Aop[], 4, 1)</f>
        <v>255</v>
      </c>
      <c r="J75" s="454"/>
      <c r="K75" s="454"/>
      <c r="L75" s="455"/>
      <c r="N75" s="44"/>
      <c r="P75" s="183"/>
    </row>
    <row r="76" spans="2:16" ht="23.65" customHeight="1" x14ac:dyDescent="0.3">
      <c r="B76" s="15">
        <v>194</v>
      </c>
      <c r="C76" s="58" t="str">
        <f>IF(AND([0]!Godina=2026,MID(Osnovni_podaci!D20,3,1)="s",Osnovni_podaci!L24=6,Osnovni_podaci!G24=0,MID(Osnovni_podaci!D20,3,1)="s",MID(Osnovni_podaci!D20,8,1)=" "),VLOOKUP( $B76, T_Aop[], 5, 1),A1)</f>
        <v>674, 574 neto prikaz</v>
      </c>
      <c r="D76" s="683" t="str">
        <f>VLOOKUP( $B76, T_Aop[], 6, 1)</f>
        <v xml:space="preserve">    5. Neto dobici po osnovu prodaje finansijskih sredstava i ulaganja u povezana lica</v>
      </c>
      <c r="E76" s="684"/>
      <c r="F76" s="684"/>
      <c r="G76" s="684"/>
      <c r="H76" s="685"/>
      <c r="I76" s="59">
        <f>VLOOKUP( $B76, T_Aop[], 4, 1)</f>
        <v>256</v>
      </c>
      <c r="J76" s="456"/>
      <c r="K76" s="456"/>
      <c r="L76" s="457"/>
      <c r="N76" s="44"/>
      <c r="P76" s="183"/>
    </row>
    <row r="77" spans="2:16" ht="23.65" customHeight="1" x14ac:dyDescent="0.3">
      <c r="B77" s="15">
        <v>195</v>
      </c>
      <c r="C77" s="62" t="str">
        <f>IF(AND([0]!Godina=2026,MID(Osnovni_podaci!D20,3,1)="s",Osnovni_podaci!L24=6,Osnovni_podaci!G24=0,MID(Osnovni_podaci!D20,3,1)="s",MID(Osnovni_podaci!D20,8,1)=" "),VLOOKUP( $B77, T_Aop[], 5, 1),A1)</f>
        <v>675, 575 neto prikaz</v>
      </c>
      <c r="D77" s="686" t="str">
        <f>VLOOKUP( $B77, T_Aop[], 6, 1)</f>
        <v xml:space="preserve">    6. Neto dobici po osnovu prodaje materijala</v>
      </c>
      <c r="E77" s="687"/>
      <c r="F77" s="687"/>
      <c r="G77" s="687"/>
      <c r="H77" s="688"/>
      <c r="I77" s="63">
        <f>VLOOKUP( $B77, T_Aop[], 4, 1)</f>
        <v>257</v>
      </c>
      <c r="J77" s="454"/>
      <c r="K77" s="454"/>
      <c r="L77" s="455"/>
      <c r="N77" s="44"/>
      <c r="P77" s="183"/>
    </row>
    <row r="78" spans="2:16" ht="13.9" customHeight="1" x14ac:dyDescent="0.3">
      <c r="B78" s="15">
        <v>196</v>
      </c>
      <c r="C78" s="58" t="str">
        <f>IF(AND([0]!Godina=2026,MID(Osnovni_podaci!D20,3,1)="s",Osnovni_podaci!L24=6,Osnovni_podaci!G24=0,MID(Osnovni_podaci!D20,3,1)="s",MID(Osnovni_podaci!D20,8,1)=" "),VLOOKUP( $B78, T_Aop[], 5, 1),A1)</f>
        <v>676</v>
      </c>
      <c r="D78" s="683" t="str">
        <f>VLOOKUP( $B78, T_Aop[], 6, 1)</f>
        <v xml:space="preserve">    7. Viškovi</v>
      </c>
      <c r="E78" s="684"/>
      <c r="F78" s="684"/>
      <c r="G78" s="684"/>
      <c r="H78" s="685"/>
      <c r="I78" s="59">
        <f>VLOOKUP( $B78, T_Aop[], 4, 1)</f>
        <v>258</v>
      </c>
      <c r="J78" s="456"/>
      <c r="K78" s="456"/>
      <c r="L78" s="457"/>
      <c r="N78" s="44"/>
      <c r="P78" s="184" t="s">
        <v>313</v>
      </c>
    </row>
    <row r="79" spans="2:16" ht="13.9" customHeight="1" x14ac:dyDescent="0.3">
      <c r="B79" s="15">
        <v>197</v>
      </c>
      <c r="C79" s="62" t="str">
        <f>IF(AND([0]!Godina=2026,MID(Osnovni_podaci!D20,3,1)="s",Osnovni_podaci!L24=6,Osnovni_podaci!G24=0,MID(Osnovni_podaci!D20,3,1)="s",MID(Osnovni_podaci!D20,8,1)=" "),VLOOKUP( $B79, T_Aop[], 5, 1),A1)</f>
        <v>677, 679</v>
      </c>
      <c r="D79" s="686" t="str">
        <f>VLOOKUP( $B79, T_Aop[], 6, 1)</f>
        <v xml:space="preserve">    8. Ostali prihodi i dobici </v>
      </c>
      <c r="E79" s="687"/>
      <c r="F79" s="687"/>
      <c r="G79" s="687"/>
      <c r="H79" s="688"/>
      <c r="I79" s="63">
        <f>VLOOKUP( $B79, T_Aop[], 4, 1)</f>
        <v>259</v>
      </c>
      <c r="J79" s="454"/>
      <c r="K79" s="454">
        <v>548255</v>
      </c>
      <c r="L79" s="455">
        <v>1900420</v>
      </c>
      <c r="N79" s="44"/>
      <c r="P79" s="184" t="s">
        <v>313</v>
      </c>
    </row>
    <row r="80" spans="2:16" ht="13.9" customHeight="1" x14ac:dyDescent="0.3">
      <c r="B80" s="15">
        <v>198</v>
      </c>
      <c r="C80" s="58" t="str">
        <f>IF(AND([0]!Godina=2026,MID(Osnovni_podaci!D20,3,1)="s",Osnovni_podaci!L24=6,Osnovni_podaci!G24=0,MID(Osnovni_podaci!D20,3,1)="s",MID(Osnovni_podaci!D20,8,1)=" "),VLOOKUP( $B80, T_Aop[], 5, 1),A1)</f>
        <v>678, 577</v>
      </c>
      <c r="D80" s="683" t="str">
        <f>VLOOKUP( $B80, T_Aop[], 6, 1)</f>
        <v xml:space="preserve">    9.  Neto dobici od derivatnih finansijskih instrumenata </v>
      </c>
      <c r="E80" s="684"/>
      <c r="F80" s="684"/>
      <c r="G80" s="684"/>
      <c r="H80" s="685"/>
      <c r="I80" s="59">
        <f>VLOOKUP( $B80, T_Aop[], 4, 1)</f>
        <v>260</v>
      </c>
      <c r="J80" s="456"/>
      <c r="K80" s="456"/>
      <c r="L80" s="457"/>
      <c r="N80" s="44"/>
      <c r="P80" s="183"/>
    </row>
    <row r="81" spans="2:16" ht="15.75" customHeight="1" x14ac:dyDescent="0.3">
      <c r="B81" s="15">
        <v>199</v>
      </c>
      <c r="C81" s="62" t="str">
        <f>IF(AND([0]!Godina=2026,MID(Osnovni_podaci!D20,3,1)="s",Osnovni_podaci!L24=6,Osnovni_podaci!G24=0,MID(Osnovni_podaci!D20,3,1)="s",MID(Osnovni_podaci!D20,8,1)=" "),VLOOKUP( $B81, T_Aop[], 5, 1),A1)</f>
        <v>57</v>
      </c>
      <c r="D81" s="703" t="str">
        <f>VLOOKUP( $B81, T_Aop[], 6, 1)</f>
        <v xml:space="preserve">  II  OSTALI RASHODI I GUBICI (262 do 270)</v>
      </c>
      <c r="E81" s="704"/>
      <c r="F81" s="704"/>
      <c r="G81" s="704"/>
      <c r="H81" s="705"/>
      <c r="I81" s="179">
        <f>VLOOKUP( $B81, T_Aop[], 4, 1)</f>
        <v>261</v>
      </c>
      <c r="J81" s="454">
        <v>27</v>
      </c>
      <c r="K81" s="64">
        <f>IF(AND([0]!Godina=2026,MID(Osnovni_podaci!D20,3,1)="s",Osnovni_podaci!L24=6,Osnovni_podaci!G24=0,MID(Osnovni_podaci!D20,3,1)="s",MID(Osnovni_podaci!D20,8,1)=" "),SUBTOTAL( 9, K82:K90),A1)</f>
        <v>229129</v>
      </c>
      <c r="L81" s="65">
        <f>IF(AND([0]!Godina=2026,MID(Osnovni_podaci!D20,3,1)="s",Osnovni_podaci!L24=6,Osnovni_podaci!G24=0,MID(Osnovni_podaci!D20,3,1)="s",MID(Osnovni_podaci!D20,8,1)=" "),SUBTOTAL( 9, L82:L90),A1)</f>
        <v>200237</v>
      </c>
      <c r="N81" s="44"/>
      <c r="P81" s="183"/>
    </row>
    <row r="82" spans="2:16" ht="22.9" customHeight="1" x14ac:dyDescent="0.3">
      <c r="B82" s="15">
        <v>200</v>
      </c>
      <c r="C82" s="58" t="str">
        <f>IF(AND([0]!Godina=2026,MID(Osnovni_podaci!D20,3,1)="s",Osnovni_podaci!L24=6,Osnovni_podaci!G24=0,MID(Osnovni_podaci!D20,3,1)="s",MID(Osnovni_podaci!D20,8,1)=" "),VLOOKUP( $B82, T_Aop[], 5, 1),A1)</f>
        <v>570, 670 neto prikaz</v>
      </c>
      <c r="D82" s="683" t="str">
        <f>VLOOKUP( $B82, T_Aop[], 6, 1)</f>
        <v xml:space="preserve">    1. Neto gubici po osnovu otuđenja nematerijalnih sredstava, nekretnina, postrojenja i opreme</v>
      </c>
      <c r="E82" s="684"/>
      <c r="F82" s="684"/>
      <c r="G82" s="684"/>
      <c r="H82" s="685"/>
      <c r="I82" s="59">
        <f>VLOOKUP( $B82, T_Aop[], 4, 1)</f>
        <v>262</v>
      </c>
      <c r="J82" s="456"/>
      <c r="K82" s="456"/>
      <c r="L82" s="457"/>
      <c r="N82" s="44"/>
      <c r="P82" s="183"/>
    </row>
    <row r="83" spans="2:16" ht="22.9" customHeight="1" x14ac:dyDescent="0.3">
      <c r="B83" s="15">
        <v>201</v>
      </c>
      <c r="C83" s="62" t="str">
        <f>IF(AND([0]!Godina=2026,MID(Osnovni_podaci!D20,3,1)="s",Osnovni_podaci!L24=6,Osnovni_podaci!G24=0,MID(Osnovni_podaci!D20,3,1)="s",MID(Osnovni_podaci!D20,8,1)=" "),VLOOKUP( $B83, T_Aop[], 5, 1),A1)</f>
        <v>571, 671 neto prikaz</v>
      </c>
      <c r="D83" s="686" t="str">
        <f>VLOOKUP( $B83, T_Aop[], 6, 1)</f>
        <v xml:space="preserve">    2. Neto gubici po osnovu otuđenja investicionih nekretnina</v>
      </c>
      <c r="E83" s="687"/>
      <c r="F83" s="687"/>
      <c r="G83" s="687"/>
      <c r="H83" s="688"/>
      <c r="I83" s="63">
        <f>VLOOKUP( $B83, T_Aop[], 4, 1)</f>
        <v>263</v>
      </c>
      <c r="J83" s="454"/>
      <c r="K83" s="454"/>
      <c r="L83" s="455"/>
      <c r="N83" s="44"/>
      <c r="P83" s="183"/>
    </row>
    <row r="84" spans="2:16" ht="22.9" customHeight="1" x14ac:dyDescent="0.3">
      <c r="B84" s="15">
        <v>202</v>
      </c>
      <c r="C84" s="58" t="str">
        <f>IF(AND([0]!Godina=2026,MID(Osnovni_podaci!D20,3,1)="s",Osnovni_podaci!L24=6,Osnovni_podaci!G24=0,MID(Osnovni_podaci!D20,3,1)="s",MID(Osnovni_podaci!D20,8,1)=" "),VLOOKUP( $B84, T_Aop[], 5, 1),A1)</f>
        <v>572, 672 neto prikaz</v>
      </c>
      <c r="D84" s="683" t="str">
        <f>VLOOKUP( $B84, T_Aop[], 6, 1)</f>
        <v xml:space="preserve">    3. Neto gubici po osnovu otuđenja bioloških sredstava</v>
      </c>
      <c r="E84" s="684"/>
      <c r="F84" s="684"/>
      <c r="G84" s="684"/>
      <c r="H84" s="685"/>
      <c r="I84" s="59">
        <f>VLOOKUP( $B84, T_Aop[], 4, 1)</f>
        <v>264</v>
      </c>
      <c r="J84" s="456"/>
      <c r="K84" s="456"/>
      <c r="L84" s="457"/>
      <c r="N84" s="44"/>
      <c r="P84" s="183"/>
    </row>
    <row r="85" spans="2:16" ht="22.9" customHeight="1" x14ac:dyDescent="0.3">
      <c r="B85" s="15">
        <v>203</v>
      </c>
      <c r="C85" s="62" t="str">
        <f>IF(AND([0]!Godina=2026,MID(Osnovni_podaci!D20,3,1)="s",Osnovni_podaci!L24=6,Osnovni_podaci!G24=0,MID(Osnovni_podaci!D20,3,1)="s",MID(Osnovni_podaci!D20,8,1)=" "),VLOOKUP( $B85, T_Aop[], 5, 1),A1)</f>
        <v>573, 673, neto prikaz</v>
      </c>
      <c r="D85" s="686" t="str">
        <f>VLOOKUP( $B85, T_Aop[], 6, 1)</f>
        <v xml:space="preserve">    4. Neto gubici po osnovu otuđenja stalnih sredstava namijenjenih prodaji i sredstava poslovanja koje se obustavlja</v>
      </c>
      <c r="E85" s="687"/>
      <c r="F85" s="687"/>
      <c r="G85" s="687"/>
      <c r="H85" s="688"/>
      <c r="I85" s="63">
        <f>VLOOKUP( $B85, T_Aop[], 4, 1)</f>
        <v>265</v>
      </c>
      <c r="J85" s="454"/>
      <c r="K85" s="454"/>
      <c r="L85" s="455"/>
      <c r="N85" s="44"/>
      <c r="P85" s="183"/>
    </row>
    <row r="86" spans="2:16" ht="22.9" customHeight="1" x14ac:dyDescent="0.3">
      <c r="B86" s="15">
        <v>204</v>
      </c>
      <c r="C86" s="58" t="str">
        <f>IF(AND([0]!Godina=2026,MID(Osnovni_podaci!D20,3,1)="s",Osnovni_podaci!L24=6,Osnovni_podaci!G24=0,MID(Osnovni_podaci!D20,3,1)="s",MID(Osnovni_podaci!D20,8,1)=" "),VLOOKUP( $B86, T_Aop[], 5, 1),A1)</f>
        <v>574, 674 neto prikaz</v>
      </c>
      <c r="D86" s="683" t="str">
        <f>VLOOKUP( $B86, T_Aop[], 6, 1)</f>
        <v xml:space="preserve">    5. Neto gubici od otuđenja finansijskih sredstava i ulaganja u povezana lica</v>
      </c>
      <c r="E86" s="684"/>
      <c r="F86" s="684"/>
      <c r="G86" s="684"/>
      <c r="H86" s="685"/>
      <c r="I86" s="59">
        <f>VLOOKUP( $B86, T_Aop[], 4, 1)</f>
        <v>266</v>
      </c>
      <c r="J86" s="456"/>
      <c r="K86" s="456"/>
      <c r="L86" s="457"/>
      <c r="N86" s="44"/>
      <c r="P86" s="183"/>
    </row>
    <row r="87" spans="2:16" ht="22.9" customHeight="1" x14ac:dyDescent="0.3">
      <c r="B87" s="15">
        <v>205</v>
      </c>
      <c r="C87" s="62" t="str">
        <f>IF(AND([0]!Godina=2026,MID(Osnovni_podaci!D20,3,1)="s",Osnovni_podaci!L24=6,Osnovni_podaci!G24=0,MID(Osnovni_podaci!D20,3,1)="s",MID(Osnovni_podaci!D20,8,1)=" "),VLOOKUP( $B87, T_Aop[], 5, 1),A1)</f>
        <v xml:space="preserve">575, 675 neto prikaz </v>
      </c>
      <c r="D87" s="686" t="str">
        <f>VLOOKUP( $B87, T_Aop[], 6, 1)</f>
        <v xml:space="preserve">    6. Neto gubici po osnovu prodaje materijala</v>
      </c>
      <c r="E87" s="687"/>
      <c r="F87" s="687"/>
      <c r="G87" s="687"/>
      <c r="H87" s="688"/>
      <c r="I87" s="63">
        <f>VLOOKUP( $B87, T_Aop[], 4, 1)</f>
        <v>267</v>
      </c>
      <c r="J87" s="454"/>
      <c r="K87" s="454"/>
      <c r="L87" s="455"/>
      <c r="N87" s="44"/>
      <c r="P87" s="183"/>
    </row>
    <row r="88" spans="2:16" ht="14.65" customHeight="1" x14ac:dyDescent="0.3">
      <c r="B88" s="15">
        <v>206</v>
      </c>
      <c r="C88" s="58" t="str">
        <f>IF(AND([0]!Godina=2026,MID(Osnovni_podaci!D20,3,1)="s",Osnovni_podaci!L24=6,Osnovni_podaci!G24=0,MID(Osnovni_podaci!D20,3,1)="s",MID(Osnovni_podaci!D20,8,1)=" "),VLOOKUP( $B88, T_Aop[], 5, 1),A1)</f>
        <v>576</v>
      </c>
      <c r="D88" s="683" t="str">
        <f>VLOOKUP( $B88, T_Aop[], 6, 1)</f>
        <v xml:space="preserve">    7.  Manjkovi</v>
      </c>
      <c r="E88" s="684"/>
      <c r="F88" s="684"/>
      <c r="G88" s="684"/>
      <c r="H88" s="685"/>
      <c r="I88" s="59">
        <f>VLOOKUP( $B88, T_Aop[], 4, 1)</f>
        <v>268</v>
      </c>
      <c r="J88" s="456"/>
      <c r="K88" s="456"/>
      <c r="L88" s="457"/>
      <c r="N88" s="44"/>
      <c r="P88" s="184" t="s">
        <v>313</v>
      </c>
    </row>
    <row r="89" spans="2:16" ht="22.9" customHeight="1" x14ac:dyDescent="0.3">
      <c r="B89" s="15">
        <v>207</v>
      </c>
      <c r="C89" s="62" t="str">
        <f>IF(AND([0]!Godina=2026,MID(Osnovni_podaci!D20,3,1)="s",Osnovni_podaci!L24=6,Osnovni_podaci!G24=0,MID(Osnovni_podaci!D20,3,1)="s",MID(Osnovni_podaci!D20,8,1)=" "),VLOOKUP( $B89, T_Aop[], 5, 1),A1)</f>
        <v>577, 678 neto prikaz</v>
      </c>
      <c r="D89" s="686" t="str">
        <f>IF(AND([0]!Godina=2026,MID(Osnovni_podaci!D20,3,1)="s",Osnovni_podaci!L24=6,Osnovni_podaci!G24=0,MID(Osnovni_podaci!D20,3,1)="s",MID(Osnovni_podaci!D20,8,1)=" "),VLOOKUP( $B89, T_Aop[], 6, 1),A1)</f>
        <v xml:space="preserve">    8. Neto gubici od derivatnih finansijskih instrumenata</v>
      </c>
      <c r="E89" s="687"/>
      <c r="F89" s="687"/>
      <c r="G89" s="687"/>
      <c r="H89" s="688"/>
      <c r="I89" s="63">
        <f>VLOOKUP( $B89, T_Aop[], 4, 1)</f>
        <v>269</v>
      </c>
      <c r="J89" s="454"/>
      <c r="K89" s="454"/>
      <c r="L89" s="455"/>
      <c r="N89" s="44"/>
      <c r="P89" s="183"/>
    </row>
    <row r="90" spans="2:16" ht="14.65" customHeight="1" x14ac:dyDescent="0.3">
      <c r="B90" s="15">
        <v>208</v>
      </c>
      <c r="C90" s="58" t="str">
        <f>IF(AND([0]!Godina=2026,MID(Osnovni_podaci!D20,3,1)="s",Osnovni_podaci!L24=6,Osnovni_podaci!G24=0,MID(Osnovni_podaci!D20,3,1)="s",MID(Osnovni_podaci!D20,8,1)=" "),VLOOKUP( $B90, T_Aop[], 5, 1),A1)</f>
        <v>578, 579</v>
      </c>
      <c r="D90" s="683" t="str">
        <f>IF(AND([0]!Godina=2026,MID(Osnovni_podaci!D20,3,1)="s",Osnovni_podaci!L24=6,Osnovni_podaci!G24=0,MID(Osnovni_podaci!D20,3,1)="s",MID(Osnovni_podaci!D20,8,1)=" "),VLOOKUP( $B90, T_Aop[], 6, 1),A1)</f>
        <v xml:space="preserve">    9. Ostali rashodi i gubici</v>
      </c>
      <c r="E90" s="684"/>
      <c r="F90" s="684"/>
      <c r="G90" s="684"/>
      <c r="H90" s="685"/>
      <c r="I90" s="59">
        <f>VLOOKUP( $B90, T_Aop[], 4, 1)</f>
        <v>270</v>
      </c>
      <c r="J90" s="456"/>
      <c r="K90" s="456">
        <v>229129</v>
      </c>
      <c r="L90" s="457">
        <v>200237</v>
      </c>
      <c r="N90" s="44"/>
      <c r="P90" s="183"/>
    </row>
    <row r="91" spans="2:16" ht="12.75" customHeight="1" x14ac:dyDescent="0.3">
      <c r="B91" s="15">
        <v>209</v>
      </c>
      <c r="C91" s="188">
        <f>IF(AND([0]!Godina=2026,MID(Osnovni_podaci!D20,3,1)="s",Osnovni_podaci!L24=6,Osnovni_podaci!G24=0,MID(Osnovni_podaci!D20,3,1)="s",MID(Osnovni_podaci!D20,8,1)=" "),VLOOKUP( $B91, T_Aop[], 5, 1),A1)</f>
        <v>0</v>
      </c>
      <c r="D91" s="703" t="str">
        <f>IF(AND([0]!Godina=2026,MID(Osnovni_podaci!D20,3,1)="s",Osnovni_podaci!L24=6,Osnovni_podaci!G24=0,MID(Osnovni_podaci!D20,3,1)="s",MID(Osnovni_podaci!D20,8,1)=" "),VLOOKUP( $B91, T_Aop[], 6, 1),A1)</f>
        <v xml:space="preserve">  Ž. DOBITAK PO OSNOVU OSTALIH PRIHODA I RASHODA (251 – 261)</v>
      </c>
      <c r="E91" s="704"/>
      <c r="F91" s="704"/>
      <c r="G91" s="704"/>
      <c r="H91" s="705"/>
      <c r="I91" s="179">
        <f>VLOOKUP( $B91, T_Aop[], 4, 1)</f>
        <v>271</v>
      </c>
      <c r="J91" s="454"/>
      <c r="K91" s="67">
        <f>IF(AND([0]!Godina=2026,MID(Osnovni_podaci!D20,3,1)="s",Osnovni_podaci!L24=6,Osnovni_podaci!G24=0,MID(Osnovni_podaci!D20,3,1)="s",MID(Osnovni_podaci!D20,8,1)=" "),IF( SUBTOTAL( 9, K71:K80) - SUBTOTAL( 9, K81:K90) &lt;= 0, 0, ABS( SUBTOTAL( 9, K71:K80) - SUBTOTAL( 9, K81:K90)) ),A1)</f>
        <v>319439</v>
      </c>
      <c r="L91" s="479">
        <f>IF(AND([0]!Godina=2026,MID(Osnovni_podaci!D20,3,1)="s",Osnovni_podaci!L24=6,Osnovni_podaci!G24=0,MID(Osnovni_podaci!D20,3,1)="s",MID(Osnovni_podaci!D20,8,1)=" "),IF( SUBTOTAL( 9, L71:L80) - SUBTOTAL( 9, L81:L90) &lt;= 0, 0, ABS( SUBTOTAL( 9, L71:L80) - SUBTOTAL( 9, L81:L90)) ),A1)</f>
        <v>1700183</v>
      </c>
      <c r="N91" s="44"/>
      <c r="P91" s="183"/>
    </row>
    <row r="92" spans="2:16" x14ac:dyDescent="0.3">
      <c r="B92" s="15">
        <v>210</v>
      </c>
      <c r="C92" s="187">
        <f>IF(AND([0]!Godina=2026,MID(Osnovni_podaci!D20,3,1)="s",Osnovni_podaci!L24=6,Osnovni_podaci!G24=0,MID(Osnovni_podaci!D20,3,1)="s",MID(Osnovni_podaci!D20,8,1)=" "),VLOOKUP( $B92, T_Aop[], 5, 1),A1)</f>
        <v>0</v>
      </c>
      <c r="D92" s="706" t="str">
        <f>IF(AND([0]!Godina=2026,MID(Osnovni_podaci!D20,3,1)="s",Osnovni_podaci!L24=6,Osnovni_podaci!G24=0,MID(Osnovni_podaci!D20,3,1)="s",MID(Osnovni_podaci!D20,8,1)=" "),VLOOKUP( $B92, T_Aop[], 6, 1),A1)</f>
        <v xml:space="preserve">  Z. GUBITAK PO OSNOVU OSTALIH PRIHODA I RASHODA (261 – 251)</v>
      </c>
      <c r="E92" s="707"/>
      <c r="F92" s="707"/>
      <c r="G92" s="707"/>
      <c r="H92" s="708"/>
      <c r="I92" s="178">
        <f>VLOOKUP( $B92, T_Aop[], 4, 1)</f>
        <v>272</v>
      </c>
      <c r="J92" s="456"/>
      <c r="K92" s="254">
        <f>IF(AND([0]!Godina=2026,MID(Osnovni_podaci!D20,3,1)="s",Osnovni_podaci!L24=6,Osnovni_podaci!G24=0,MID(Osnovni_podaci!D20,3,1)="s",MID(Osnovni_podaci!D20,8,1)=" "),IF( SUBTOTAL( 9, K71:K80) - SUBTOTAL( 9, K81:K90) &gt;= 0, 0, ABS( SUBTOTAL( 9, K71:K80) - SUBTOTAL( 9, K81:K90)) ),A1)</f>
        <v>0</v>
      </c>
      <c r="L92" s="480">
        <f>IF(AND([0]!Godina=2026,MID(Osnovni_podaci!D20,3,1)="s",Osnovni_podaci!L24=6,Osnovni_podaci!G24=0,MID(Osnovni_podaci!D20,3,1)="s",MID(Osnovni_podaci!D20,8,1)=" "),IF( SUBTOTAL( 9, L71:L80) - SUBTOTAL( 9, L81:L90) &gt;= 0, 0, ABS( SUBTOTAL( 9, L71:L80) - SUBTOTAL( 9, L81:L90)) ),A1)</f>
        <v>0</v>
      </c>
      <c r="N92" s="44"/>
      <c r="P92" s="183"/>
    </row>
    <row r="93" spans="2:16" ht="23.65" customHeight="1" x14ac:dyDescent="0.3">
      <c r="B93" s="15">
        <v>211</v>
      </c>
      <c r="C93" s="188" t="str">
        <f>IF(AND([0]!Godina=2026,MID(Osnovni_podaci!D20,3,1)="s",Osnovni_podaci!L24=6,Osnovni_podaci!G24=0,MID(Osnovni_podaci!D20,3,1)="s",MID(Osnovni_podaci!D20,8,1)=" "),VLOOKUP( $B93, T_Aop[], 5, 1),A1)</f>
        <v>68</v>
      </c>
      <c r="D93" s="703" t="str">
        <f>IF(AND([0]!Godina=2026,MID(Osnovni_podaci!D20,3,1)="s",Osnovni_podaci!L24=6,Osnovni_podaci!G24=0,MID(Osnovni_podaci!D20,3,1)="s",MID(Osnovni_podaci!D20,8,1)=" "),VLOOKUP( $B93, T_Aop[], 6, 1),A1)</f>
        <v xml:space="preserve">  I. PRIHODI I RASHODI OD USKLAĐIVANJA VRIJEDNOSTI IMOVINE 
I   PRIHODI OD USKLAĐIVANJA VRIJEDNOSTI IMOVINE (274 + 281)</v>
      </c>
      <c r="E93" s="704"/>
      <c r="F93" s="704"/>
      <c r="G93" s="704"/>
      <c r="H93" s="705"/>
      <c r="I93" s="179">
        <f>VLOOKUP( $B93, T_Aop[], 4, 1)</f>
        <v>273</v>
      </c>
      <c r="J93" s="454"/>
      <c r="K93" s="67">
        <f>IF(AND([0]!Godina=2026,MID(Osnovni_podaci!D20,3,1)="s",Osnovni_podaci!L24=6,Osnovni_podaci!G24=0,MID(Osnovni_podaci!D20,3,1)="s",MID(Osnovni_podaci!D20,8,1)=" "),SUBTOTAL( 9, K94:K105),A1)</f>
        <v>0</v>
      </c>
      <c r="L93" s="479">
        <f>IF(AND([0]!Godina=2026,MID(Osnovni_podaci!D20,3,1)="s",Osnovni_podaci!L24=6,Osnovni_podaci!G24=0,MID(Osnovni_podaci!D20,3,1)="s",MID(Osnovni_podaci!D20,8,1)=" "),SUBTOTAL( 9, L94:L105),A1)</f>
        <v>0</v>
      </c>
      <c r="N93" s="44"/>
      <c r="P93" s="183"/>
    </row>
    <row r="94" spans="2:16" ht="13.9" customHeight="1" x14ac:dyDescent="0.3">
      <c r="B94" s="15">
        <v>212</v>
      </c>
      <c r="C94" s="58" t="str">
        <f>IF(AND([0]!Godina=2026,MID(Osnovni_podaci!D20,3,1)="s",Osnovni_podaci!L24=6,Osnovni_podaci!G24=0,MID(Osnovni_podaci!D20,3,1)="s",MID(Osnovni_podaci!D20,8,1)=" "),VLOOKUP( $B94, T_Aop[], 5, 1),A1)</f>
        <v>dio 68</v>
      </c>
      <c r="D94" s="683" t="str">
        <f>IF(AND([0]!Godina=2026,MID(Osnovni_podaci!D20,3,1)="s",Osnovni_podaci!L24=6,Osnovni_podaci!G24=0,MID(Osnovni_podaci!D20,3,1)="s",MID(Osnovni_podaci!D20,8,1)=" "),VLOOKUP( $B94, T_Aop[], 6, 1),A1)</f>
        <v xml:space="preserve">    1. Neto dobici od usklađivanja imovine (osim finansijske)  (275 do 280)</v>
      </c>
      <c r="E94" s="684"/>
      <c r="F94" s="684"/>
      <c r="G94" s="684"/>
      <c r="H94" s="685"/>
      <c r="I94" s="59">
        <f>VLOOKUP( $B94, T_Aop[], 4, 1)</f>
        <v>274</v>
      </c>
      <c r="J94" s="456"/>
      <c r="K94" s="153">
        <f>IF(AND([0]!Godina=2026,MID(Osnovni_podaci!D20,3,1)="s",Osnovni_podaci!L24=6,Osnovni_podaci!G24=0,MID(Osnovni_podaci!D20,3,1)="s",MID(Osnovni_podaci!D20,8,1)=" "),SUBTOTAL( 9, K95:K100),A1)</f>
        <v>0</v>
      </c>
      <c r="L94" s="491">
        <f>IF(AND([0]!Godina=2026,MID(Osnovni_podaci!D20,3,1)="s",Osnovni_podaci!L24=6,Osnovni_podaci!G24=0,MID(Osnovni_podaci!D20,3,1)="s",MID(Osnovni_podaci!D20,8,1)=" "),SUBTOTAL( 9, L95:L100),A1)</f>
        <v>0</v>
      </c>
      <c r="N94" s="44"/>
      <c r="P94" s="183"/>
    </row>
    <row r="95" spans="2:16" s="441" customFormat="1" ht="22.9" customHeight="1" x14ac:dyDescent="0.3">
      <c r="B95" s="440">
        <v>213</v>
      </c>
      <c r="C95" s="62" t="str">
        <f>IF(AND([0]!Godina=2026,MID(Osnovni_podaci!D20,3,1)="s",Osnovni_podaci!L24=6,Osnovni_podaci!G24=0,MID(Osnovni_podaci!D20,3,1)="s",MID(Osnovni_podaci!D20,8,1)=" "),VLOOKUP( $B95, T_Aop[], 5, 1),A1)</f>
        <v>680, 580 neto prikaz</v>
      </c>
      <c r="D95" s="686" t="str">
        <f>IF(AND([0]!Godina=2026,MID(Osnovni_podaci!D20,3,1)="s",Osnovni_podaci!L24=6,Osnovni_podaci!G24=0,MID(Osnovni_podaci!D20,3,1)="s",MID(Osnovni_podaci!D20,8,1)=" "),VLOOKUP( $B95, T_Aop[], 6, 1),A1)</f>
        <v xml:space="preserve">      1.1. Neto dobici od umanjenja ranije priznatih gubitaka usljed obezvređenja nematerijalnih sredstava</v>
      </c>
      <c r="E95" s="687"/>
      <c r="F95" s="687"/>
      <c r="G95" s="687"/>
      <c r="H95" s="688"/>
      <c r="I95" s="63">
        <f>VLOOKUP( $B95, T_Aop[], 4, 1)</f>
        <v>275</v>
      </c>
      <c r="J95" s="454"/>
      <c r="K95" s="454"/>
      <c r="L95" s="455"/>
      <c r="N95" s="442"/>
      <c r="P95" s="443"/>
    </row>
    <row r="96" spans="2:16" s="441" customFormat="1" ht="22.9" customHeight="1" x14ac:dyDescent="0.3">
      <c r="B96" s="440">
        <v>214</v>
      </c>
      <c r="C96" s="58" t="str">
        <f>IF(AND([0]!Godina=2026,MID(Osnovni_podaci!D20,3,1)="s",Osnovni_podaci!L24=6,Osnovni_podaci!G24=0,MID(Osnovni_podaci!D20,3,1)="s",MID(Osnovni_podaci!D20,8,1)=" "),VLOOKUP( $B96, T_Aop[], 5, 1),A1)</f>
        <v>681, 581 neto prikaz</v>
      </c>
      <c r="D96" s="683" t="str">
        <f>IF(AND([0]!Godina=2026,MID(Osnovni_podaci!D20,3,1)="s",Osnovni_podaci!L24=6,Osnovni_podaci!G24=0,MID(Osnovni_podaci!D20,3,1)="s",MID(Osnovni_podaci!D20,8,1)=" "),VLOOKUP( $B96, T_Aop[], 6, 1),A1)</f>
        <v xml:space="preserve">      1.2. Neto dobici od umanjenja ranije priznatih gubitaka usljed obezvređenja nekretnina, postrojenja i opreme</v>
      </c>
      <c r="E96" s="684"/>
      <c r="F96" s="684"/>
      <c r="G96" s="684"/>
      <c r="H96" s="685"/>
      <c r="I96" s="59">
        <f>VLOOKUP( $B96, T_Aop[], 4, 1)</f>
        <v>276</v>
      </c>
      <c r="J96" s="456"/>
      <c r="K96" s="456"/>
      <c r="L96" s="457"/>
      <c r="N96" s="442"/>
      <c r="P96" s="443"/>
    </row>
    <row r="97" spans="2:16" s="441" customFormat="1" ht="22.9" customHeight="1" x14ac:dyDescent="0.3">
      <c r="B97" s="440">
        <v>215</v>
      </c>
      <c r="C97" s="62" t="str">
        <f>IF(AND([0]!Godina=2026,MID(Osnovni_podaci!D20,3,1)="s",Osnovni_podaci!L24=6,Osnovni_podaci!G24=0,MID(Osnovni_podaci!D20,3,1)="s",MID(Osnovni_podaci!D20,8,1)=" "),VLOOKUP( $B97, T_Aop[], 5, 1),A1)</f>
        <v>682, 582 neto prikaz</v>
      </c>
      <c r="D97" s="686" t="str">
        <f>IF(AND([0]!Godina=2026,MID(Osnovni_podaci!D20,3,1)="s",Osnovni_podaci!L24=6,Osnovni_podaci!G24=0,MID(Osnovni_podaci!D20,3,1)="s",MID(Osnovni_podaci!D20,8,1)=" "),VLOOKUP( $B97, T_Aop[], 6, 1),A1)</f>
        <v xml:space="preserve">      1.3.  Neto dobici od umanjenja ranije priznatih gubitaka usljed obezvređenja investicionih nekretnina koje se vrednuju po nabavnoj vrijednosti</v>
      </c>
      <c r="E97" s="687"/>
      <c r="F97" s="687"/>
      <c r="G97" s="687"/>
      <c r="H97" s="688"/>
      <c r="I97" s="63">
        <f>VLOOKUP( $B97, T_Aop[], 4, 1)</f>
        <v>277</v>
      </c>
      <c r="J97" s="454"/>
      <c r="K97" s="454"/>
      <c r="L97" s="455"/>
      <c r="N97" s="442"/>
      <c r="P97" s="443"/>
    </row>
    <row r="98" spans="2:16" ht="22.9" customHeight="1" x14ac:dyDescent="0.3">
      <c r="B98" s="15">
        <v>216</v>
      </c>
      <c r="C98" s="58" t="str">
        <f>IF(AND([0]!Godina=2026,MID(Osnovni_podaci!D20,3,1)="s",Osnovni_podaci!L24=6,Osnovni_podaci!G24=0,MID(Osnovni_podaci!D20,3,1)="s",MID(Osnovni_podaci!D20,8,1)=" "),VLOOKUP( $B98, T_Aop[], 5, 1),A1)</f>
        <v>683, 583 neto prikaz</v>
      </c>
      <c r="D98" s="683" t="str">
        <f>IF(AND([0]!Godina=2026,MID(Osnovni_podaci!D20,3,1)="s",Osnovni_podaci!L24=6,Osnovni_podaci!G24=0,MID(Osnovni_podaci!D20,3,1)="s",MID(Osnovni_podaci!D20,8,1)=" "),VLOOKUP( $B98, T_Aop[], 6, 1),A1)</f>
        <v xml:space="preserve">      1.4.  Neto dobici od umanjenja ranije priznatih gubitaka usljed obezvređenja bioloških sredstva koja se vrednuju po nabavnoj vrijednosti</v>
      </c>
      <c r="E98" s="684"/>
      <c r="F98" s="684"/>
      <c r="G98" s="684"/>
      <c r="H98" s="685"/>
      <c r="I98" s="59">
        <f>VLOOKUP( $B98, T_Aop[], 4, 1)</f>
        <v>278</v>
      </c>
      <c r="J98" s="456"/>
      <c r="K98" s="456"/>
      <c r="L98" s="457"/>
      <c r="N98" s="44"/>
      <c r="P98" s="183"/>
    </row>
    <row r="99" spans="2:16" ht="22.9" customHeight="1" x14ac:dyDescent="0.3">
      <c r="B99" s="15">
        <v>217</v>
      </c>
      <c r="C99" s="62" t="str">
        <f>IF(AND([0]!Godina=2026,MID(Osnovni_podaci!D20,3,1)="s",Osnovni_podaci!L24=6,Osnovni_podaci!G24=0,MID(Osnovni_podaci!D20,3,1)="s",MID(Osnovni_podaci!D20,8,1)=" "),VLOOKUP( $B99, T_Aop[], 5, 1),A1)</f>
        <v>685, 585 neto prikaz</v>
      </c>
      <c r="D99" s="686" t="str">
        <f>IF(AND([0]!Godina=2026,MID(Osnovni_podaci!D20,3,1)="s",Osnovni_podaci!L24=6,Osnovni_podaci!G24=0,MID(Osnovni_podaci!D20,3,1)="s",MID(Osnovni_podaci!D20,8,1)=" "),VLOOKUP( $B99, T_Aop[], 6, 1),A1)</f>
        <v xml:space="preserve">      1.5.  Neto dobici od usklađivanja vrijednosti zaliha materijala i robe </v>
      </c>
      <c r="E99" s="687"/>
      <c r="F99" s="687"/>
      <c r="G99" s="687"/>
      <c r="H99" s="688"/>
      <c r="I99" s="63">
        <f>VLOOKUP( $B99, T_Aop[], 4, 1)</f>
        <v>279</v>
      </c>
      <c r="J99" s="454"/>
      <c r="K99" s="454"/>
      <c r="L99" s="455"/>
      <c r="N99" s="44"/>
      <c r="P99" s="184" t="s">
        <v>313</v>
      </c>
    </row>
    <row r="100" spans="2:16" ht="22.9" customHeight="1" x14ac:dyDescent="0.3">
      <c r="B100" s="15">
        <v>218</v>
      </c>
      <c r="C100" s="58" t="str">
        <f>IF(AND([0]!Godina=2026,MID(Osnovni_podaci!D20,3,1)="s",Osnovni_podaci!L24=6,Osnovni_podaci!G24=0,MID(Osnovni_podaci!D20,3,1)="s",MID(Osnovni_podaci!D20,8,1)=" "),VLOOKUP( $B100, T_Aop[], 5, 1),A1)</f>
        <v>688, dio 689, 588, dio 589neto prikaz</v>
      </c>
      <c r="D100" s="683" t="str">
        <f>IF(AND([0]!Godina=2026,MID(Osnovni_podaci!D20,3,1)="s",Osnovni_podaci!L24=6,Osnovni_podaci!G24=0,MID(Osnovni_podaci!D20,3,1)="s",MID(Osnovni_podaci!D20,8,1)=" "),VLOOKUP( $B100, T_Aop[], 6, 1),A1)</f>
        <v xml:space="preserve">      1.6.  Neto dobici od usklađivanja vrijednost stalnih sredstava namijenjenih prodaji, sredstava poslovanja koje se obustavlja i ostalih nefinansijskih sredstava</v>
      </c>
      <c r="E100" s="684"/>
      <c r="F100" s="684"/>
      <c r="G100" s="684"/>
      <c r="H100" s="685"/>
      <c r="I100" s="59">
        <f>VLOOKUP( $B100, T_Aop[], 4, 1)</f>
        <v>280</v>
      </c>
      <c r="J100" s="456"/>
      <c r="K100" s="456"/>
      <c r="L100" s="457"/>
      <c r="N100" s="44"/>
      <c r="P100" s="183"/>
    </row>
    <row r="101" spans="2:16" ht="13.9" customHeight="1" x14ac:dyDescent="0.3">
      <c r="B101" s="15">
        <v>219</v>
      </c>
      <c r="C101" s="62" t="str">
        <f>IF(AND([0]!Godina=2026,MID(Osnovni_podaci!D20,3,1)="s",Osnovni_podaci!L24=6,Osnovni_podaci!G24=0,MID(Osnovni_podaci!D20,3,1)="s",MID(Osnovni_podaci!D20,8,1)=" "),VLOOKUP( $B101, T_Aop[], 5, 1),A1)</f>
        <v>dio 68</v>
      </c>
      <c r="D101" s="686" t="str">
        <f>IF(AND([0]!Godina=2026,MID(Osnovni_podaci!D20,3,1)="s",Osnovni_podaci!L24=6,Osnovni_podaci!G24=0,MID(Osnovni_podaci!D20,3,1)="s",MID(Osnovni_podaci!D20,8,1)=" "),VLOOKUP( $B101, T_Aop[], 6, 1),A1)</f>
        <v xml:space="preserve">    2. Neto dobici od usklađivanja vrijednosti finansijskih sredstava (282 do 285)</v>
      </c>
      <c r="E101" s="687"/>
      <c r="F101" s="687"/>
      <c r="G101" s="687"/>
      <c r="H101" s="688"/>
      <c r="I101" s="63">
        <f>VLOOKUP( $B101, T_Aop[], 4, 1)</f>
        <v>281</v>
      </c>
      <c r="J101" s="454"/>
      <c r="K101" s="460">
        <f>IF(AND([0]!Godina=2026,MID(Osnovni_podaci!D20,3,1)="s",Osnovni_podaci!L24=6,Osnovni_podaci!G24=0,MID(Osnovni_podaci!D20,3,1)="s",MID(Osnovni_podaci!D20,8,1)=" "),SUBTOTAL( 9, K102:K105),A1)</f>
        <v>0</v>
      </c>
      <c r="L101" s="492">
        <f>IF(AND([0]!Godina=2026,MID(Osnovni_podaci!D20,3,1)="s",Osnovni_podaci!L24=6,Osnovni_podaci!G24=0,MID(Osnovni_podaci!D20,3,1)="s",MID(Osnovni_podaci!D20,8,1)=" "),SUBTOTAL( 9, L102:L105),A1)</f>
        <v>0</v>
      </c>
      <c r="N101" s="44"/>
      <c r="P101" s="183"/>
    </row>
    <row r="102" spans="2:16" ht="22.9" customHeight="1" x14ac:dyDescent="0.3">
      <c r="B102" s="15">
        <v>220</v>
      </c>
      <c r="C102" s="58" t="str">
        <f>IF(AND([0]!Godina=2026,MID(Osnovni_podaci!D20,3,1)="s",Osnovni_podaci!L24=6,Osnovni_podaci!G24=0,MID(Osnovni_podaci!D20,3,1)="s",MID(Osnovni_podaci!D20,8,1)=" "),VLOOKUP( $B102, T_Aop[], 5, 1),A1)</f>
        <v>684, 584 neto prikaz</v>
      </c>
      <c r="D102" s="683" t="str">
        <f>IF(AND([0]!Godina=2026,MID(Osnovni_podaci!D20,3,1)="s",Osnovni_podaci!L24=6,Osnovni_podaci!G24=0,MID(Osnovni_podaci!D20,3,1)="s",MID(Osnovni_podaci!D20,8,1)=" "),VLOOKUP( $B102, T_Aop[], 6, 1),A1)</f>
        <v xml:space="preserve">      2.1  Neto dobici od usklađivanja vrijednosti dugoročnih finansijskih sredstava </v>
      </c>
      <c r="E102" s="684"/>
      <c r="F102" s="684"/>
      <c r="G102" s="684"/>
      <c r="H102" s="685"/>
      <c r="I102" s="59">
        <f>VLOOKUP( $B102, T_Aop[], 4, 1)</f>
        <v>282</v>
      </c>
      <c r="J102" s="456"/>
      <c r="K102" s="456"/>
      <c r="L102" s="457"/>
      <c r="N102" s="44"/>
      <c r="P102" s="183"/>
    </row>
    <row r="103" spans="2:16" ht="22.9" customHeight="1" x14ac:dyDescent="0.3">
      <c r="B103" s="15">
        <v>221</v>
      </c>
      <c r="C103" s="62" t="str">
        <f>IF(AND([0]!Godina=2026,MID(Osnovni_podaci!D20,3,1)="s",Osnovni_podaci!L24=6,Osnovni_podaci!G24=0,MID(Osnovni_podaci!D20,3,1)="s",MID(Osnovni_podaci!D20,8,1)=" "),VLOOKUP( $B103, T_Aop[], 5, 1),A1)</f>
        <v>686, 585 neto prikaz</v>
      </c>
      <c r="D103" s="686" t="str">
        <f>IF(AND([0]!Godina=2026,MID(Osnovni_podaci!D20,3,1)="s",Osnovni_podaci!L24=6,Osnovni_podaci!G24=0,MID(Osnovni_podaci!D20,3,1)="s",MID(Osnovni_podaci!D20,8,1)=" "),VLOOKUP( $B103, T_Aop[], 6, 1),A1)</f>
        <v xml:space="preserve">      2.2  Neto dobici od usklađivanja vrijednosti kratkoročnih finansijskih sredstava (osim potraživanja od kupaca)</v>
      </c>
      <c r="E103" s="687"/>
      <c r="F103" s="687"/>
      <c r="G103" s="687"/>
      <c r="H103" s="688"/>
      <c r="I103" s="63">
        <f>VLOOKUP( $B103, T_Aop[], 4, 1)</f>
        <v>283</v>
      </c>
      <c r="J103" s="454"/>
      <c r="K103" s="454"/>
      <c r="L103" s="455"/>
      <c r="N103" s="44"/>
      <c r="P103" s="183"/>
    </row>
    <row r="104" spans="2:16" ht="22.9" customHeight="1" x14ac:dyDescent="0.3">
      <c r="B104" s="15">
        <v>222</v>
      </c>
      <c r="C104" s="58" t="str">
        <f>IF(AND([0]!Godina=2026,MID(Osnovni_podaci!D20,3,1)="s",Osnovni_podaci!L24=6,Osnovni_podaci!G24=0,MID(Osnovni_podaci!D20,3,1)="s",MID(Osnovni_podaci!D20,8,1)=" "),VLOOKUP( $B104, T_Aop[], 5, 1),A1)</f>
        <v>687, 587 neto prikaz</v>
      </c>
      <c r="D104" s="683" t="str">
        <f>IF(AND([0]!Godina=2026,MID(Osnovni_podaci!D20,3,1)="s",Osnovni_podaci!L24=6,Osnovni_podaci!G24=0,MID(Osnovni_podaci!D20,3,1)="s",MID(Osnovni_podaci!D20,8,1)=" "),VLOOKUP( $B104, T_Aop[], 6, 1),A1)</f>
        <v xml:space="preserve">      2.3  Neto dobici od umanjenja ranije priznatih kreditnih gubitaka usljed obezvređenja potraživanja od kupaca </v>
      </c>
      <c r="E104" s="684"/>
      <c r="F104" s="684"/>
      <c r="G104" s="684"/>
      <c r="H104" s="685"/>
      <c r="I104" s="59">
        <f>VLOOKUP( $B104, T_Aop[], 4, 1)</f>
        <v>284</v>
      </c>
      <c r="J104" s="456"/>
      <c r="K104" s="456"/>
      <c r="L104" s="457"/>
      <c r="N104" s="44"/>
      <c r="P104" s="183"/>
    </row>
    <row r="105" spans="2:16" ht="27.75" customHeight="1" x14ac:dyDescent="0.3">
      <c r="B105" s="15">
        <v>223</v>
      </c>
      <c r="C105" s="62" t="str">
        <f>IF(AND([0]!Godina=2026,MID(Osnovni_podaci!D20,3,1)="s",Osnovni_podaci!L24=6,Osnovni_podaci!G24=0,MID(Osnovni_podaci!D20,3,1)="s",MID(Osnovni_podaci!D20,8,1)=" "),VLOOKUP( $B105, T_Aop[], 5, 1),A1)</f>
        <v>dio 689, dio 589 neto prikaz</v>
      </c>
      <c r="D105" s="686" t="str">
        <f>IF(AND([0]!Godina=2026,MID(Osnovni_podaci!D20,3,1)="s",Osnovni_podaci!L24=6,Osnovni_podaci!G24=0,MID(Osnovni_podaci!D20,3,1)="s",MID(Osnovni_podaci!D20,8,1)=" "),VLOOKUP( $B105, T_Aop[], 6, 1),A1)</f>
        <v xml:space="preserve">      2.4  Neto dobici od usklađivanja vrijednosti ostalih finansijskih sredstava</v>
      </c>
      <c r="E105" s="687"/>
      <c r="F105" s="687"/>
      <c r="G105" s="687"/>
      <c r="H105" s="688"/>
      <c r="I105" s="63">
        <f>VLOOKUP( $B105, T_Aop[], 4, 1)</f>
        <v>285</v>
      </c>
      <c r="J105" s="454"/>
      <c r="K105" s="454"/>
      <c r="L105" s="455"/>
      <c r="N105" s="44"/>
      <c r="P105" s="183"/>
    </row>
    <row r="106" spans="2:16" ht="15.25" customHeight="1" x14ac:dyDescent="0.3">
      <c r="B106" s="15">
        <v>224</v>
      </c>
      <c r="C106" s="187" t="str">
        <f>IF(AND([0]!Godina=2026,MID(Osnovni_podaci!D20,3,1)="s",Osnovni_podaci!L24=6,Osnovni_podaci!G24=0,MID(Osnovni_podaci!D20,3,1)="s",MID(Osnovni_podaci!D20,8,1)=" "),VLOOKUP( $B106, T_Aop[], 5, 1),A1)</f>
        <v>58</v>
      </c>
      <c r="D106" s="706" t="str">
        <f>IF(AND([0]!Godina=2026,MID(Osnovni_podaci!D20,3,1)="s",Osnovni_podaci!L24=6,Osnovni_podaci!G24=0,MID(Osnovni_podaci!D20,3,1)="s",MID(Osnovni_podaci!D20,8,1)=" "),VLOOKUP( $B106, T_Aop[], 6, 1),A1)</f>
        <v xml:space="preserve">  II  RASHODI OD USKLAĐIVANJA VRIJEDNOSTI IMOVINE (287 + 294)</v>
      </c>
      <c r="E106" s="707"/>
      <c r="F106" s="707"/>
      <c r="G106" s="707"/>
      <c r="H106" s="708"/>
      <c r="I106" s="178">
        <f>VLOOKUP( $B106, T_Aop[], 4, 1)</f>
        <v>286</v>
      </c>
      <c r="J106" s="456"/>
      <c r="K106" s="60">
        <f>IF(AND([0]!Godina=2026,MID(Osnovni_podaci!D20,3,1)="s",Osnovni_podaci!L24=6,Osnovni_podaci!G24=0,MID(Osnovni_podaci!D20,3,1)="s",MID(Osnovni_podaci!D20,8,1)=" "),SUBTOTAL( 9, K107:K118),A1)</f>
        <v>907596</v>
      </c>
      <c r="L106" s="61">
        <f>IF(AND([0]!Godina=2026,MID(Osnovni_podaci!D20,3,1)="s",Osnovni_podaci!L24=6,Osnovni_podaci!G24=0,MID(Osnovni_podaci!D20,3,1)="s",MID(Osnovni_podaci!D20,8,1)=" "),SUBTOTAL( 9, L107:L118),A1)</f>
        <v>570286</v>
      </c>
      <c r="N106" s="44"/>
      <c r="P106" s="183"/>
    </row>
    <row r="107" spans="2:16" ht="13.9" customHeight="1" x14ac:dyDescent="0.3">
      <c r="B107" s="15">
        <v>225</v>
      </c>
      <c r="C107" s="62">
        <f>IF(AND([0]!Godina=2026,MID(Osnovni_podaci!D20,3,1)="s",Osnovni_podaci!L24=6,Osnovni_podaci!G24=0,MID(Osnovni_podaci!D20,3,1)="s",MID(Osnovni_podaci!D20,8,1)=" "),VLOOKUP( $B107, T_Aop[], 5, 1),A1)</f>
        <v>0</v>
      </c>
      <c r="D107" s="686" t="str">
        <f>IF(AND([0]!Godina=2026,MID(Osnovni_podaci!D20,3,1)="s",Osnovni_podaci!L24=6,Osnovni_podaci!G24=0,MID(Osnovni_podaci!D20,3,1)="s",MID(Osnovni_podaci!D20,8,1)=" "),VLOOKUP( $B107, T_Aop[], 6, 1),A1)</f>
        <v xml:space="preserve">    1.  Rashodi od usklađivanja vrijednosti imovine (osim finansijske) (288 do 293)</v>
      </c>
      <c r="E107" s="687"/>
      <c r="F107" s="687"/>
      <c r="G107" s="687"/>
      <c r="H107" s="688"/>
      <c r="I107" s="63">
        <f>VLOOKUP( $B107, T_Aop[], 4, 1)</f>
        <v>287</v>
      </c>
      <c r="J107" s="454"/>
      <c r="K107" s="460">
        <f>IF(AND([0]!Godina=2026,MID(Osnovni_podaci!D20,3,1)="s",Osnovni_podaci!L24=6,Osnovni_podaci!G24=0,MID(Osnovni_podaci!D20,3,1)="s",MID(Osnovni_podaci!D20,8,1)=" "),SUBTOTAL( 9, K108:K113),A1)</f>
        <v>0</v>
      </c>
      <c r="L107" s="461">
        <f>IF(AND([0]!Godina=2026,MID(Osnovni_podaci!D20,3,1)="s",Osnovni_podaci!L24=6,Osnovni_podaci!G24=0,MID(Osnovni_podaci!D20,3,1)="s",MID(Osnovni_podaci!D20,8,1)=" "),SUBTOTAL( 9, L108:L113),A1)</f>
        <v>0</v>
      </c>
      <c r="N107" s="44"/>
      <c r="P107" s="183"/>
    </row>
    <row r="108" spans="2:16" ht="22.9" customHeight="1" x14ac:dyDescent="0.3">
      <c r="B108" s="15">
        <v>226</v>
      </c>
      <c r="C108" s="58" t="str">
        <f>IF(AND([0]!Godina=2026,MID(Osnovni_podaci!D20,3,1)="s",Osnovni_podaci!L24=6,Osnovni_podaci!G24=0,MID(Osnovni_podaci!D20,3,1)="s",MID(Osnovni_podaci!D20,8,1)=" "),VLOOKUP( $B108, T_Aop[], 5, 1),A1)</f>
        <v>580, 680 neto prikaz</v>
      </c>
      <c r="D108" s="683" t="str">
        <f>IF(AND([0]!Godina=2026,MID(Osnovni_podaci!D20,3,1)="s",Osnovni_podaci!L24=6,Osnovni_podaci!G24=0,MID(Osnovni_podaci!D20,3,1)="s",MID(Osnovni_podaci!D20,8,1)=" "),VLOOKUP( $B108, T_Aop[], 6, 1),A1)</f>
        <v xml:space="preserve">      1.1. Neto gubici po osnovu obezvređenja nematerijalnih sredstava</v>
      </c>
      <c r="E108" s="684"/>
      <c r="F108" s="684"/>
      <c r="G108" s="684"/>
      <c r="H108" s="685"/>
      <c r="I108" s="59">
        <f>VLOOKUP( $B108, T_Aop[], 4, 1)</f>
        <v>288</v>
      </c>
      <c r="J108" s="456"/>
      <c r="K108" s="456"/>
      <c r="L108" s="457"/>
      <c r="N108" s="44"/>
      <c r="P108" s="183"/>
    </row>
    <row r="109" spans="2:16" ht="22.9" customHeight="1" x14ac:dyDescent="0.3">
      <c r="B109" s="15">
        <v>227</v>
      </c>
      <c r="C109" s="62" t="str">
        <f>IF(AND([0]!Godina=2026,MID(Osnovni_podaci!D20,3,1)="s",Osnovni_podaci!L24=6,Osnovni_podaci!G24=0,MID(Osnovni_podaci!D20,3,1)="s",MID(Osnovni_podaci!D20,8,1)=" "),VLOOKUP( $B109, T_Aop[], 5, 1),A1)</f>
        <v>581, 681 neto prikaz</v>
      </c>
      <c r="D109" s="686" t="str">
        <f>IF(AND([0]!Godina=2026,MID(Osnovni_podaci!D20,3,1)="s",Osnovni_podaci!L24=6,Osnovni_podaci!G24=0,MID(Osnovni_podaci!D20,3,1)="s",MID(Osnovni_podaci!D20,8,1)=" "),VLOOKUP( $B109, T_Aop[], 6, 1),A1)</f>
        <v xml:space="preserve">      1.2. Neto gubici po osnovu obezvređenja nekretnina, postrojenja i opreme</v>
      </c>
      <c r="E109" s="687"/>
      <c r="F109" s="687"/>
      <c r="G109" s="687"/>
      <c r="H109" s="688"/>
      <c r="I109" s="63">
        <f>VLOOKUP( $B109, T_Aop[], 4, 1)</f>
        <v>289</v>
      </c>
      <c r="J109" s="454"/>
      <c r="K109" s="454"/>
      <c r="L109" s="455"/>
      <c r="N109" s="44"/>
      <c r="P109" s="183"/>
    </row>
    <row r="110" spans="2:16" ht="22.9" customHeight="1" x14ac:dyDescent="0.3">
      <c r="B110" s="15">
        <v>228</v>
      </c>
      <c r="C110" s="58" t="str">
        <f>IF(AND([0]!Godina=2026,MID(Osnovni_podaci!D20,3,1)="s",Osnovni_podaci!L24=6,Osnovni_podaci!G24=0,MID(Osnovni_podaci!D20,3,1)="s",MID(Osnovni_podaci!D20,8,1)=" "),VLOOKUP( $B110, T_Aop[], 5, 1),A1)</f>
        <v>582, 682 neto prikaz</v>
      </c>
      <c r="D110" s="683" t="str">
        <f>IF(AND([0]!Godina=2026,MID(Osnovni_podaci!D20,3,1)="s",Osnovni_podaci!L24=6,Osnovni_podaci!G24=0,MID(Osnovni_podaci!D20,3,1)="s",MID(Osnovni_podaci!D20,8,1)=" "),VLOOKUP( $B110, T_Aop[], 6, 1),A1)</f>
        <v xml:space="preserve">      1.3. Neto gubici po osnovu obezvređenja investicionih nekretnina koje se vrednuju po nabavnoj vrijednosti</v>
      </c>
      <c r="E110" s="684"/>
      <c r="F110" s="684"/>
      <c r="G110" s="684"/>
      <c r="H110" s="685"/>
      <c r="I110" s="59">
        <f>VLOOKUP( $B110, T_Aop[], 4, 1)</f>
        <v>290</v>
      </c>
      <c r="J110" s="456"/>
      <c r="K110" s="456"/>
      <c r="L110" s="457"/>
      <c r="N110" s="44"/>
      <c r="P110" s="183"/>
    </row>
    <row r="111" spans="2:16" ht="22.9" customHeight="1" x14ac:dyDescent="0.3">
      <c r="B111" s="15">
        <v>229</v>
      </c>
      <c r="C111" s="62" t="str">
        <f>IF(AND([0]!Godina=2026,MID(Osnovni_podaci!D20,3,1)="s",Osnovni_podaci!L24=6,Osnovni_podaci!G24=0,MID(Osnovni_podaci!D20,3,1)="s",MID(Osnovni_podaci!D20,8,1)=" "),VLOOKUP( $B111, T_Aop[], 5, 1),A1)</f>
        <v>583, 683 neto prikaz</v>
      </c>
      <c r="D111" s="686" t="str">
        <f>IF(AND([0]!Godina=2026,MID(Osnovni_podaci!D20,3,1)="s",Osnovni_podaci!L24=6,Osnovni_podaci!G24=0,MID(Osnovni_podaci!D20,3,1)="s",MID(Osnovni_podaci!D20,8,1)=" "),VLOOKUP( $B111, T_Aop[], 6, 1),A1)</f>
        <v xml:space="preserve">      1.4. Neto gubici po osnovu obezvređenja bioloških sredstva koje se vrednuju po nabavnoj vrijednosti</v>
      </c>
      <c r="E111" s="687"/>
      <c r="F111" s="687"/>
      <c r="G111" s="687"/>
      <c r="H111" s="688"/>
      <c r="I111" s="63">
        <f>VLOOKUP( $B111, T_Aop[], 4, 1)</f>
        <v>291</v>
      </c>
      <c r="J111" s="454"/>
      <c r="K111" s="454"/>
      <c r="L111" s="455"/>
      <c r="N111" s="44"/>
      <c r="P111" s="183"/>
    </row>
    <row r="112" spans="2:16" ht="22.9" customHeight="1" x14ac:dyDescent="0.3">
      <c r="B112" s="15">
        <v>230</v>
      </c>
      <c r="C112" s="58" t="str">
        <f>IF(AND([0]!Godina=2026,MID(Osnovni_podaci!D20,3,1)="s",Osnovni_podaci!L24=6,Osnovni_podaci!G24=0,MID(Osnovni_podaci!D20,3,1)="s",MID(Osnovni_podaci!D20,8,1)=" "),VLOOKUP( $B112, T_Aop[], 5, 1),A1)</f>
        <v>585, 685 neto prikaz</v>
      </c>
      <c r="D112" s="683" t="str">
        <f>IF(AND([0]!Godina=2026,MID(Osnovni_podaci!D20,3,1)="s",Osnovni_podaci!L24=6,Osnovni_podaci!G24=0,MID(Osnovni_podaci!D20,3,1)="s",MID(Osnovni_podaci!D20,8,1)=" "),VLOOKUP( $B112, T_Aop[], 6, 1),A1)</f>
        <v xml:space="preserve">      1.5. Neto gubici od usklađivanja vrijednosti zaliha materijala i robe </v>
      </c>
      <c r="E112" s="684"/>
      <c r="F112" s="684"/>
      <c r="G112" s="684"/>
      <c r="H112" s="685"/>
      <c r="I112" s="59">
        <f>VLOOKUP( $B112, T_Aop[], 4, 1)</f>
        <v>292</v>
      </c>
      <c r="J112" s="456"/>
      <c r="K112" s="456"/>
      <c r="L112" s="457"/>
      <c r="N112" s="44"/>
      <c r="P112" s="183"/>
    </row>
    <row r="113" spans="2:16" ht="22.9" customHeight="1" x14ac:dyDescent="0.3">
      <c r="B113" s="15">
        <v>231</v>
      </c>
      <c r="C113" s="62" t="str">
        <f>IF(AND([0]!Godina=2026,MID(Osnovni_podaci!D20,3,1)="s",Osnovni_podaci!L24=6,Osnovni_podaci!G24=0,MID(Osnovni_podaci!D20,3,1)="s",MID(Osnovni_podaci!D20,8,1)=" "),VLOOKUP( $B113, T_Aop[], 5, 1),A1)</f>
        <v>588, dio 589, 688, dio 689 neto prikaz</v>
      </c>
      <c r="D113" s="686" t="str">
        <f>IF(AND([0]!Godina=2026,MID(Osnovni_podaci!D20,3,1)="s",Osnovni_podaci!L24=6,Osnovni_podaci!G24=0,MID(Osnovni_podaci!D20,3,1)="s",MID(Osnovni_podaci!D20,8,1)=" "),VLOOKUP( $B113, T_Aop[], 6, 1),A1)</f>
        <v xml:space="preserve">      1.6. Neto gubici od usklađivanja vrijednosti stalnih sredstava namijenjenih prodaji, sredstava poslovanja koje se obustavlja i ostalih nefinansijskih sredstava</v>
      </c>
      <c r="E113" s="687"/>
      <c r="F113" s="687"/>
      <c r="G113" s="687"/>
      <c r="H113" s="688"/>
      <c r="I113" s="63">
        <f>VLOOKUP( $B113, T_Aop[], 4, 1)</f>
        <v>293</v>
      </c>
      <c r="J113" s="454"/>
      <c r="K113" s="454"/>
      <c r="L113" s="455"/>
      <c r="N113" s="44"/>
      <c r="P113" s="183"/>
    </row>
    <row r="114" spans="2:16" ht="15.25" customHeight="1" x14ac:dyDescent="0.3">
      <c r="B114" s="15">
        <v>232</v>
      </c>
      <c r="C114" s="58">
        <f>IF(AND([0]!Godina=2026,MID(Osnovni_podaci!D20,3,1)="s",Osnovni_podaci!L24=6,Osnovni_podaci!G24=0,MID(Osnovni_podaci!D20,3,1)="s",MID(Osnovni_podaci!D20,8,1)=" "),VLOOKUP( $B114, T_Aop[], 5, 1),A1)</f>
        <v>0</v>
      </c>
      <c r="D114" s="683" t="str">
        <f>IF(AND([0]!Godina=2026,MID(Osnovni_podaci!D20,3,1)="s",Osnovni_podaci!L24=6,Osnovni_podaci!G24=0,MID(Osnovni_podaci!D20,3,1)="s",MID(Osnovni_podaci!D20,8,1)=" "),VLOOKUP( $B114, T_Aop[], 6, 1),A1)</f>
        <v xml:space="preserve">    2.  Gubici od usklađivanja vrijednosti finansijskih sredstava (295 do 298)</v>
      </c>
      <c r="E114" s="684"/>
      <c r="F114" s="684"/>
      <c r="G114" s="684"/>
      <c r="H114" s="685"/>
      <c r="I114" s="59">
        <f>VLOOKUP( $B114, T_Aop[], 4, 1)</f>
        <v>294</v>
      </c>
      <c r="J114" s="456"/>
      <c r="K114" s="458">
        <f>IF(AND([0]!Godina=2026,MID(Osnovni_podaci!D20,3,1)="s",Osnovni_podaci!L24=6,Osnovni_podaci!G24=0,MID(Osnovni_podaci!D20,3,1)="s",MID(Osnovni_podaci!D20,8,1)=" "),SUBTOTAL( 9, K115:K118),A1)</f>
        <v>907596</v>
      </c>
      <c r="L114" s="459">
        <f>IF(AND([0]!Godina=2026,MID(Osnovni_podaci!D20,3,1)="s",Osnovni_podaci!L24=6,Osnovni_podaci!G24=0,MID(Osnovni_podaci!D20,3,1)="s",MID(Osnovni_podaci!D20,8,1)=" "),SUBTOTAL( 9, L115:L118),A1)</f>
        <v>570286</v>
      </c>
      <c r="N114" s="44"/>
      <c r="P114" s="183"/>
    </row>
    <row r="115" spans="2:16" ht="22.9" customHeight="1" x14ac:dyDescent="0.3">
      <c r="B115" s="15">
        <v>233</v>
      </c>
      <c r="C115" s="62" t="str">
        <f>IF(AND([0]!Godina=2026,MID(Osnovni_podaci!D20,3,1)="s",Osnovni_podaci!L24=6,Osnovni_podaci!G24=0,MID(Osnovni_podaci!D20,3,1)="s",MID(Osnovni_podaci!D20,8,1)=" "),VLOOKUP( $B115, T_Aop[], 5, 1),A1)</f>
        <v>584, 684 neto prikaz</v>
      </c>
      <c r="D115" s="686" t="str">
        <f>IF(AND([0]!Godina=2026,MID(Osnovni_podaci!D20,3,1)="s",Osnovni_podaci!L24=6,Osnovni_podaci!G24=0,MID(Osnovni_podaci!D20,3,1)="s",MID(Osnovni_podaci!D20,8,1)=" "),VLOOKUP( $B115, T_Aop[], 6, 1),A1)</f>
        <v xml:space="preserve">      2.1 Neto gubici od usklađivanja vrijednosti dugoročnih finansijskih sredstava</v>
      </c>
      <c r="E115" s="687"/>
      <c r="F115" s="687"/>
      <c r="G115" s="687"/>
      <c r="H115" s="688"/>
      <c r="I115" s="63">
        <f>VLOOKUP( $B115, T_Aop[], 4, 1)</f>
        <v>295</v>
      </c>
      <c r="J115" s="454"/>
      <c r="K115" s="454"/>
      <c r="L115" s="455"/>
      <c r="N115" s="44"/>
      <c r="P115" s="183"/>
    </row>
    <row r="116" spans="2:16" ht="22.9" customHeight="1" x14ac:dyDescent="0.3">
      <c r="B116" s="15">
        <v>234</v>
      </c>
      <c r="C116" s="58" t="str">
        <f>IF(AND([0]!Godina=2026,MID(Osnovni_podaci!D20,3,1)="s",Osnovni_podaci!L24=6,Osnovni_podaci!G24=0,MID(Osnovni_podaci!D20,3,1)="s",MID(Osnovni_podaci!D20,8,1)=" "),VLOOKUP( $B116, T_Aop[], 5, 1),A1)</f>
        <v>586, 686 neto prikaz</v>
      </c>
      <c r="D116" s="683" t="str">
        <f>IF(AND([0]!Godina=2026,MID(Osnovni_podaci!D20,3,1)="s",Osnovni_podaci!L24=6,Osnovni_podaci!G24=0,MID(Osnovni_podaci!D20,3,1)="s",MID(Osnovni_podaci!D20,8,1)=" "),VLOOKUP( $B116, T_Aop[], 6, 1),A1)</f>
        <v xml:space="preserve">      2.2  Neto gubici od usklađivanja vrijednosti kratkoročnih finansijskih sredstava (osim potraživanja od kupaca)</v>
      </c>
      <c r="E116" s="684"/>
      <c r="F116" s="684"/>
      <c r="G116" s="684"/>
      <c r="H116" s="685"/>
      <c r="I116" s="59">
        <f>VLOOKUP( $B116, T_Aop[], 4, 1)</f>
        <v>296</v>
      </c>
      <c r="J116" s="456"/>
      <c r="K116" s="456"/>
      <c r="L116" s="457"/>
      <c r="N116" s="44"/>
      <c r="P116" s="184" t="s">
        <v>313</v>
      </c>
    </row>
    <row r="117" spans="2:16" ht="22.9" customHeight="1" x14ac:dyDescent="0.3">
      <c r="B117" s="15">
        <v>235</v>
      </c>
      <c r="C117" s="62" t="str">
        <f>IF(AND([0]!Godina=2026,MID(Osnovni_podaci!D20,3,1)="s",Osnovni_podaci!L24=6,Osnovni_podaci!G24=0,MID(Osnovni_podaci!D20,3,1)="s",MID(Osnovni_podaci!D20,8,1)=" "),VLOOKUP( $B117, T_Aop[], 5, 1),A1)</f>
        <v>587, 687 neto prikaz</v>
      </c>
      <c r="D117" s="686" t="str">
        <f>IF(AND([0]!Godina=2026,MID(Osnovni_podaci!D20,3,1)="s",Osnovni_podaci!L24=6,Osnovni_podaci!G24=0,MID(Osnovni_podaci!D20,3,1)="s",MID(Osnovni_podaci!D20,8,1)=" "),VLOOKUP( $B117, T_Aop[], 6, 1),A1)</f>
        <v xml:space="preserve">      2.3 Neto gubici od usklađivanja vrijednosti potraživanja od kupaca</v>
      </c>
      <c r="E117" s="687"/>
      <c r="F117" s="687"/>
      <c r="G117" s="687"/>
      <c r="H117" s="688"/>
      <c r="I117" s="63">
        <f>VLOOKUP( $B117, T_Aop[], 4, 1)</f>
        <v>297</v>
      </c>
      <c r="J117" s="454"/>
      <c r="K117" s="454">
        <v>907596</v>
      </c>
      <c r="L117" s="455">
        <v>570286</v>
      </c>
      <c r="N117" s="44"/>
      <c r="P117" s="184" t="s">
        <v>313</v>
      </c>
    </row>
    <row r="118" spans="2:16" ht="22.9" customHeight="1" x14ac:dyDescent="0.3">
      <c r="B118" s="15">
        <v>236</v>
      </c>
      <c r="C118" s="58" t="str">
        <f>IF(AND([0]!Godina=2026,MID(Osnovni_podaci!D20,3,1)="s",Osnovni_podaci!L24=6,Osnovni_podaci!G24=0,MID(Osnovni_podaci!D20,3,1)="s",MID(Osnovni_podaci!D20,8,1)=" "),VLOOKUP( $B118, T_Aop[], 5, 1),A1)</f>
        <v>dio 589, dio 689neto prikaz</v>
      </c>
      <c r="D118" s="683" t="str">
        <f>IF(AND([0]!Godina=2026,MID(Osnovni_podaci!D20,3,1)="s",Osnovni_podaci!L24=6,Osnovni_podaci!G24=0,MID(Osnovni_podaci!D20,3,1)="s",MID(Osnovni_podaci!D20,8,1)=" "),VLOOKUP( $B118, T_Aop[], 6, 1),A1)</f>
        <v xml:space="preserve">      2.4  Neto gubici od usklađivanja vrijednosti ostalih finansijskih sredstava</v>
      </c>
      <c r="E118" s="684"/>
      <c r="F118" s="684"/>
      <c r="G118" s="684"/>
      <c r="H118" s="685"/>
      <c r="I118" s="59">
        <f>VLOOKUP( $B118, T_Aop[], 4, 1)</f>
        <v>298</v>
      </c>
      <c r="J118" s="456"/>
      <c r="K118" s="456"/>
      <c r="L118" s="457"/>
      <c r="N118" s="44"/>
      <c r="P118" s="183"/>
    </row>
    <row r="119" spans="2:16" ht="15.25" customHeight="1" x14ac:dyDescent="0.3">
      <c r="B119" s="15">
        <v>237</v>
      </c>
      <c r="C119" s="66">
        <f>IF(AND([0]!Godina=2026,MID(Osnovni_podaci!D20,3,1)="s",Osnovni_podaci!L24=6,Osnovni_podaci!G24=0,MID(Osnovni_podaci!D20,3,1)="s",MID(Osnovni_podaci!D20,8,1)=" "),VLOOKUP( $B119, T_Aop[], 5, 1),A1)</f>
        <v>0</v>
      </c>
      <c r="D119" s="703" t="str">
        <f>IF(AND([0]!Godina=2026,MID(Osnovni_podaci!D20,3,1)="s",Osnovni_podaci!L24=6,Osnovni_podaci!G24=0,MID(Osnovni_podaci!D20,3,1)="s",MID(Osnovni_podaci!D20,8,1)=" "),VLOOKUP( $B119, T_Aop[], 6, 1),A1)</f>
        <v xml:space="preserve">  J. DOBITAK PO OSNOVU USKLAĐIVANJA VRIJEDNOSTI IMOVINE (273 – 286) </v>
      </c>
      <c r="E119" s="704"/>
      <c r="F119" s="704"/>
      <c r="G119" s="704"/>
      <c r="H119" s="705"/>
      <c r="I119" s="179">
        <f>VLOOKUP( $B119, T_Aop[], 4, 1)</f>
        <v>299</v>
      </c>
      <c r="J119" s="454"/>
      <c r="K119" s="67">
        <f>IF(AND([0]!Godina=2026,MID(Osnovni_podaci!D20,3,1)="s",Osnovni_podaci!L24=6,Osnovni_podaci!G24=0,MID(Osnovni_podaci!D20,3,1)="s",MID(Osnovni_podaci!D20,8,1)=" "),IF( SUBTOTAL( 9, K94:K105) - SUBTOTAL( 9, K106:K118) &lt;= 0, 0, ABS( SUBTOTAL( 9, K94:K105) - SUBTOTAL( 9, K106:K118)) ),A1)</f>
        <v>0</v>
      </c>
      <c r="L119" s="68">
        <f>IF(AND([0]!Godina=2026,MID(Osnovni_podaci!D20,3,1)="s",Osnovni_podaci!L24=6,Osnovni_podaci!G24=0,MID(Osnovni_podaci!D20,3,1)="s",MID(Osnovni_podaci!D20,8,1)=" "),IF( SUBTOTAL( 9, L94:L105) - SUBTOTAL( 9, L106:L118) &lt;= 0, 0, ABS( SUBTOTAL( 9, L94:L105) - SUBTOTAL( 9, L106:L118)) ),A1)</f>
        <v>0</v>
      </c>
      <c r="N119" s="44"/>
      <c r="P119" s="183"/>
    </row>
    <row r="120" spans="2:16" ht="15.25" customHeight="1" x14ac:dyDescent="0.3">
      <c r="B120" s="15">
        <v>238</v>
      </c>
      <c r="C120" s="58">
        <f>IF(AND([0]!Godina=2026,MID(Osnovni_podaci!D20,3,1)="s",Osnovni_podaci!L24=6,Osnovni_podaci!G24=0,MID(Osnovni_podaci!D20,3,1)="s",MID(Osnovni_podaci!D20,8,1)=" "),VLOOKUP( $B120, T_Aop[], 5, 1),A1)</f>
        <v>0</v>
      </c>
      <c r="D120" s="706" t="str">
        <f>IF(AND([0]!Godina=2026,MID(Osnovni_podaci!D20,3,1)="s",Osnovni_podaci!L24=6,Osnovni_podaci!G24=0,MID(Osnovni_podaci!D20,3,1)="s",MID(Osnovni_podaci!D20,8,1)=" "),VLOOKUP( $B120, T_Aop[], 6, 1),A1)</f>
        <v xml:space="preserve">  K. GUBITAK PO OSNOVU USKLAĐIVANJA VRIJEDNOSTI IMOVINE (286 – 273)</v>
      </c>
      <c r="E120" s="707"/>
      <c r="F120" s="707"/>
      <c r="G120" s="707"/>
      <c r="H120" s="708"/>
      <c r="I120" s="178">
        <f>VLOOKUP( $B120, T_Aop[], 4, 1)</f>
        <v>300</v>
      </c>
      <c r="J120" s="456"/>
      <c r="K120" s="254">
        <f>IF(AND([0]!Godina=2026,MID(Osnovni_podaci!D20,3,1)="s",Osnovni_podaci!L24=6,Osnovni_podaci!G24=0,MID(Osnovni_podaci!D20,3,1)="s",MID(Osnovni_podaci!D20,8,1)=" "),IF( SUBTOTAL( 9, K94:K105) - SUBTOTAL( 9, K106:K118) &gt;= 0, 0, ABS( SUBTOTAL( 9, K94:K105) - SUBTOTAL( 9, K106:K118)) ),A1)</f>
        <v>907596</v>
      </c>
      <c r="L120" s="493">
        <f>IF(AND([0]!Godina=2026,MID(Osnovni_podaci!D20,3,1)="s",Osnovni_podaci!L24=6,Osnovni_podaci!G24=0,MID(Osnovni_podaci!D20,3,1)="s",MID(Osnovni_podaci!D20,8,1)=" "),IF( SUBTOTAL( 9, L94:L105) - SUBTOTAL( 9, L106:L118) &gt;= 0, 0, ABS( SUBTOTAL( 9, L94:L105) - SUBTOTAL( 9, L106:L118)) ),A1)</f>
        <v>570286</v>
      </c>
      <c r="N120" s="44"/>
      <c r="P120" s="183"/>
    </row>
    <row r="121" spans="2:16" ht="22.9" customHeight="1" x14ac:dyDescent="0.3">
      <c r="B121" s="15">
        <v>239</v>
      </c>
      <c r="C121" s="66" t="str">
        <f>IF(AND([0]!Godina=2026,MID(Osnovni_podaci!D20,3,1)="s",Osnovni_podaci!L24=6,Osnovni_podaci!G24=0,MID(Osnovni_podaci!D20,3,1)="s",MID(Osnovni_podaci!D20,8,1)=" "),VLOOKUP( $B121, T_Aop[], 5, 1),A1)</f>
        <v>690 i 691</v>
      </c>
      <c r="D121" s="703" t="str">
        <f>IF(AND([0]!Godina=2026,MID(Osnovni_podaci!D20,3,1)="s",Osnovni_podaci!L24=6,Osnovni_podaci!G24=0,MID(Osnovni_podaci!D20,3,1)="s",MID(Osnovni_podaci!D20,8,1)=" "),VLOOKUP( $B121, T_Aop[], 6, 1),A1)</f>
        <v xml:space="preserve">  L. Prihodi po osnovu promjene računovodstvenih politika i ispravke grešaka iz ranijih godina </v>
      </c>
      <c r="E121" s="704"/>
      <c r="F121" s="704"/>
      <c r="G121" s="704"/>
      <c r="H121" s="705"/>
      <c r="I121" s="179">
        <f>VLOOKUP( $B121, T_Aop[], 4, 1)</f>
        <v>301</v>
      </c>
      <c r="J121" s="454"/>
      <c r="K121" s="161"/>
      <c r="L121" s="162"/>
      <c r="N121" s="44"/>
      <c r="P121" s="183"/>
    </row>
    <row r="122" spans="2:16" ht="13.9" customHeight="1" x14ac:dyDescent="0.3">
      <c r="B122" s="15">
        <v>240</v>
      </c>
      <c r="C122" s="58" t="str">
        <f>IF(AND([0]!Godina=2026,MID(Osnovni_podaci!D20,3,1)="s",Osnovni_podaci!L24=6,Osnovni_podaci!G24=0,MID(Osnovni_podaci!D20,3,1)="s",MID(Osnovni_podaci!D20,8,1)=" "),VLOOKUP( $B122, T_Aop[], 5, 1),A1)</f>
        <v>590 i 591</v>
      </c>
      <c r="D122" s="706" t="str">
        <f>IF(AND([0]!Godina=2026,MID(Osnovni_podaci!D20,3,1)="s",Osnovni_podaci!L24=6,Osnovni_podaci!G24=0,MID(Osnovni_podaci!D20,3,1)="s",MID(Osnovni_podaci!D20,8,1)=" "),VLOOKUP( $B122, T_Aop[], 6, 1),A1)</f>
        <v xml:space="preserve">  LJ. Rashodi po osnovu promjene računovodstvenih politika i ispravke grešaka iz ranijih godina</v>
      </c>
      <c r="E122" s="707"/>
      <c r="F122" s="707"/>
      <c r="G122" s="707"/>
      <c r="H122" s="708"/>
      <c r="I122" s="178">
        <f>VLOOKUP( $B122, T_Aop[], 4, 1)</f>
        <v>302</v>
      </c>
      <c r="J122" s="456"/>
      <c r="K122" s="81">
        <v>2606</v>
      </c>
      <c r="L122" s="82"/>
      <c r="N122" s="44"/>
      <c r="P122" s="183"/>
    </row>
    <row r="123" spans="2:16" ht="13.9" customHeight="1" x14ac:dyDescent="0.3">
      <c r="B123" s="15">
        <v>241</v>
      </c>
      <c r="C123" s="66">
        <f>IF(AND([0]!Godina=2026,MID(Osnovni_podaci!D20,3,1)="s",Osnovni_podaci!L24=6,Osnovni_podaci!G24=0,MID(Osnovni_podaci!D20,3,1)="s",MID(Osnovni_podaci!D20,8,1)=" "),VLOOKUP( $B123, T_Aop[], 5, 1),A1)</f>
        <v>0</v>
      </c>
      <c r="D123" s="686" t="str">
        <f>IF(AND([0]!Godina=2026,MID(Osnovni_podaci!D20,3,1)="s",Osnovni_podaci!L24=6,Osnovni_podaci!G24=0,MID(Osnovni_podaci!D20,3,1)="s",MID(Osnovni_podaci!D20,8,1)=" "),VLOOKUP( $B123, T_Aop[], 6, 1),A1)</f>
        <v>Udio u dobiti pridruženog društva i zajedničkog poduhvata primjenom metode udjela</v>
      </c>
      <c r="E123" s="687"/>
      <c r="F123" s="687"/>
      <c r="G123" s="687"/>
      <c r="H123" s="688"/>
      <c r="I123" s="63">
        <f>VLOOKUP( $B123, T_Aop[], 4, 1)</f>
        <v>303</v>
      </c>
      <c r="J123" s="454"/>
      <c r="K123" s="462"/>
      <c r="L123" s="463"/>
      <c r="N123" s="44"/>
      <c r="P123" s="183"/>
    </row>
    <row r="124" spans="2:16" ht="13.9" customHeight="1" x14ac:dyDescent="0.3">
      <c r="B124" s="15">
        <v>242</v>
      </c>
      <c r="C124" s="58">
        <f>IF(AND([0]!Godina=2026,MID(Osnovni_podaci!D20,3,1)="s",Osnovni_podaci!L24=6,Osnovni_podaci!G24=0,MID(Osnovni_podaci!D20,3,1)="s",MID(Osnovni_podaci!D20,8,1)=" "),VLOOKUP( $B124, T_Aop[], 5, 1),A1)</f>
        <v>0</v>
      </c>
      <c r="D124" s="683" t="str">
        <f>IF(AND([0]!Godina=2026,MID(Osnovni_podaci!D20,3,1)="s",Osnovni_podaci!L24=6,Osnovni_podaci!G24=0,MID(Osnovni_podaci!D20,3,1)="s",MID(Osnovni_podaci!D20,8,1)=" "),VLOOKUP( $B124, T_Aop[], 6, 1),A1)</f>
        <v>Udio u gubitku pridruženog društva i zajedničkog poduhvata primjenom metode udjela</v>
      </c>
      <c r="E124" s="684"/>
      <c r="F124" s="684"/>
      <c r="G124" s="684"/>
      <c r="H124" s="685"/>
      <c r="I124" s="59">
        <f>VLOOKUP( $B124, T_Aop[], 4, 1)</f>
        <v>304</v>
      </c>
      <c r="J124" s="456"/>
      <c r="K124" s="456"/>
      <c r="L124" s="457"/>
      <c r="N124" s="44"/>
      <c r="P124" s="183"/>
    </row>
    <row r="125" spans="2:16" ht="15.25" customHeight="1" x14ac:dyDescent="0.3">
      <c r="B125" s="15">
        <v>243</v>
      </c>
      <c r="C125" s="464">
        <f>IF(AND([0]!Godina=2026,MID(Osnovni_podaci!D20,3,1)="s",Osnovni_podaci!L24=6,Osnovni_podaci!G24=0,MID(Osnovni_podaci!D20,3,1)="s",MID(Osnovni_podaci!D20,8,1)=" "),VLOOKUP( $B125, T_Aop[], 5, 1),A1)</f>
        <v>0</v>
      </c>
      <c r="D125" s="703" t="str">
        <f>IF(AND([0]!Godina=2026,MID(Osnovni_podaci!D20,3,1)="s",Osnovni_podaci!L24=6,Osnovni_podaci!G24=0,MID(Osnovni_podaci!D20,3,1)="s",MID(Osnovni_podaci!D20,8,1)=" "),VLOOKUP( $B125, T_Aop[], 6, 1),A1)</f>
        <v xml:space="preserve">  UKUPNI PRIHODI (201+239+251+273+301+303)</v>
      </c>
      <c r="E125" s="704"/>
      <c r="F125" s="704"/>
      <c r="G125" s="704"/>
      <c r="H125" s="705"/>
      <c r="I125" s="179">
        <f>VLOOKUP( $B125, T_Aop[], 4, 1)</f>
        <v>305</v>
      </c>
      <c r="J125" s="454"/>
      <c r="K125" s="67">
        <f>IF(AND([0]!Godina=2026,MID(Osnovni_podaci!D20,3,1)="s",Osnovni_podaci!L24=6,Osnovni_podaci!G24=0,MID(Osnovni_podaci!D20,3,1)="s",MID(Osnovni_podaci!D20,8,1)=" "),SUBTOTAL(9, K22:K33, K34, K36, K38, K59:K63, K71:K80, K93:K105,K121, K123)-SUBTOTAL(9,K35,K37),A1)</f>
        <v>10409553</v>
      </c>
      <c r="L125" s="68">
        <f>IF(AND([0]!Godina=2026,MID(Osnovni_podaci!D20,3,1)="s",Osnovni_podaci!L24=6,Osnovni_podaci!G24=0,MID(Osnovni_podaci!D20,3,1)="s",MID(Osnovni_podaci!D20,8,1)=" "),SUBTOTAL(9, L22:L33, L34, L36, L38, L59:L63, L71:L80, L93:L105,L121, L123)-SUBTOTAL(9,L35,L37),A1)</f>
        <v>10676245</v>
      </c>
      <c r="N125" s="44"/>
      <c r="P125" s="183"/>
    </row>
    <row r="126" spans="2:16" ht="17.25" customHeight="1" x14ac:dyDescent="0.3">
      <c r="B126" s="15">
        <v>244</v>
      </c>
      <c r="C126" s="58">
        <f>IF(AND([0]!Godina=2026,MID(Osnovni_podaci!D20,3,1)="s",Osnovni_podaci!L24=6,Osnovni_podaci!G24=0,MID(Osnovni_podaci!D20,3,1)="s",MID(Osnovni_podaci!D20,8,1)=" "),VLOOKUP( $B126, T_Aop[], 5, 1),A1)</f>
        <v>0</v>
      </c>
      <c r="D126" s="706" t="str">
        <f>IF(AND([0]!Godina=2026,MID(Osnovni_podaci!D20,3,1)="s",Osnovni_podaci!L24=6,Osnovni_podaci!G24=0,MID(Osnovni_podaci!D20,3,1)="s",MID(Osnovni_podaci!D20,8,1)=" "),VLOOKUP( $B126, T_Aop[], 6, 1),A1)</f>
        <v xml:space="preserve">  UKUPNI RASHODI (219+244+261+286+302+304)</v>
      </c>
      <c r="E126" s="707"/>
      <c r="F126" s="707"/>
      <c r="G126" s="707"/>
      <c r="H126" s="708"/>
      <c r="I126" s="178">
        <f>VLOOKUP( $B126, T_Aop[], 4, 1)</f>
        <v>306</v>
      </c>
      <c r="J126" s="456"/>
      <c r="K126" s="254">
        <f>IF(AND([0]!Godina=2026,MID(Osnovni_podaci!D20,3,1)="s",Osnovni_podaci!L24=6,Osnovni_podaci!G24=0,MID(Osnovni_podaci!D20,3,1)="s",MID(Osnovni_podaci!D20,8,1)=" "),SUBTOTAL(9, K39:K56, K64:K68, K81:K90, K106:K118,K122,K124),A1)</f>
        <v>9164843</v>
      </c>
      <c r="L126" s="493">
        <f>IF(AND([0]!Godina=2026,MID(Osnovni_podaci!D20,3,1)="s",Osnovni_podaci!L24=6,Osnovni_podaci!G24=0,MID(Osnovni_podaci!D20,3,1)="s",MID(Osnovni_podaci!D20,8,1)=" "),SUBTOTAL(9, L39:L56, L64:L68, L81:L90, L106:L118,L122,L124),A1)</f>
        <v>8248215</v>
      </c>
      <c r="N126" s="44"/>
      <c r="P126" s="183"/>
    </row>
    <row r="127" spans="2:16" ht="23.65" customHeight="1" x14ac:dyDescent="0.3">
      <c r="B127" s="15">
        <v>245</v>
      </c>
      <c r="C127" s="66">
        <f>IF(AND([0]!Godina=2026,MID(Osnovni_podaci!D20,3,1)="s",Osnovni_podaci!L24=6,Osnovni_podaci!G24=0,MID(Osnovni_podaci!D20,3,1)="s",MID(Osnovni_podaci!D20,8,1)=" "),VLOOKUP( $B127, T_Aop[], 5, 1),A1)</f>
        <v>0</v>
      </c>
      <c r="D127" s="703" t="str">
        <f>IF(AND([0]!Godina=2026,MID(Osnovni_podaci!D20,3,1)="s",Osnovni_podaci!L24=6,Osnovni_podaci!G24=0,MID(Osnovni_podaci!D20,3,1)="s",MID(Osnovni_podaci!D20,8,1)=" "),VLOOKUP( $B127, T_Aop[], 6, 1),A1)</f>
        <v xml:space="preserve">  M. DOBIT I GUBITAK PRIJE OPOREZIVANJA
1. Dobit prije oporezivanja (305 – 306)</v>
      </c>
      <c r="E127" s="704"/>
      <c r="F127" s="704"/>
      <c r="G127" s="704"/>
      <c r="H127" s="705"/>
      <c r="I127" s="179">
        <f>VLOOKUP( $B127, T_Aop[], 4, 1)</f>
        <v>307</v>
      </c>
      <c r="J127" s="454"/>
      <c r="K127" s="67">
        <f>IF(AND([0]!Godina=2026,MID(Osnovni_podaci!D20,3,1)="s",Osnovni_podaci!L24=6,Osnovni_podaci!G24=0,MID(Osnovni_podaci!D20,3,1)="s",MID(Osnovni_podaci!D20,8,1)=" "),IF( SUBTOTAL(9, K22:K33, K34, K36, K38, K59:K63, K71:K80, K93:K105, K121, K123)- SUBTOTAL(9,K35, K37, K39:K56, K64:K68, K81:K90, K106:K118, K122, K124) &lt;=  0, 0, ABS( SUBTOTAL(9, K22:K33, K34, K36, K38, K59:K63, K71:K80, K93:K105,K121,K123)- SUBTOTAL(9,K35,K37, K39:K56, K64:K68, K81:K90, K106:K118, K122, K124))),A1)</f>
        <v>1244710</v>
      </c>
      <c r="L127" s="68">
        <f>IF(AND([0]!Godina=2026,MID(Osnovni_podaci!D20,3,1)="s",Osnovni_podaci!L24=6,Osnovni_podaci!G24=0,MID(Osnovni_podaci!D20,3,1)="s",MID(Osnovni_podaci!D20,8,1)=" "),IF( SUBTOTAL(9, L22:L33, L34, L36, L38, L59:L63, L71:L80, L93:L105, L121, L123)- SUBTOTAL(9,L35, L37, L39:L56, L64:L68, L81:L90, L106:L118, L122, L124) &lt;=  0, 0, ABS( SUBTOTAL(9, L22:L33, L34, L36, L38, L59:L63, L71:L80, L93:L105,L121,L123)- SUBTOTAL(9,L35,L37, L39:L56, L64:L68, L81:L90, L106:L118, L122, L124))),A1)</f>
        <v>2428030</v>
      </c>
      <c r="N127" s="44"/>
      <c r="P127" s="183"/>
    </row>
    <row r="128" spans="2:16" ht="17.25" customHeight="1" x14ac:dyDescent="0.3">
      <c r="B128" s="15">
        <v>246</v>
      </c>
      <c r="C128" s="187">
        <f>IF(AND([0]!Godina=2026,MID(Osnovni_podaci!D20,3,1)="s",Osnovni_podaci!L24=6,Osnovni_podaci!G24=0,MID(Osnovni_podaci!D20,3,1)="s",MID(Osnovni_podaci!D20,8,1)=" "),VLOOKUP( $B128, T_Aop[], 5, 1),A1)</f>
        <v>0</v>
      </c>
      <c r="D128" s="706" t="str">
        <f>IF(AND([0]!Godina=2026,MID(Osnovni_podaci!D20,3,1)="s",Osnovni_podaci!L24=6,Osnovni_podaci!G24=0,MID(Osnovni_podaci!D20,3,1)="s",MID(Osnovni_podaci!D20,8,1)=" "),VLOOKUP( $B128, T_Aop[], 6, 1),A1)</f>
        <v xml:space="preserve">  2. Gubitak prije oporezivanja (306 – 305)</v>
      </c>
      <c r="E128" s="707"/>
      <c r="F128" s="707"/>
      <c r="G128" s="707"/>
      <c r="H128" s="708"/>
      <c r="I128" s="178">
        <f>VLOOKUP( $B128, T_Aop[], 4, 1)</f>
        <v>308</v>
      </c>
      <c r="J128" s="456"/>
      <c r="K128" s="254">
        <f>IF(AND([0]!Godina=2026,MID(Osnovni_podaci!D20,3,1)="s",Osnovni_podaci!L24=6,Osnovni_podaci!G24=0,MID(Osnovni_podaci!D20,3,1)="s",MID(Osnovni_podaci!D20,8,1)=" "),IF( SUBTOTAL(9, K22:K33, K34, K36, K38, K59:K63, K71:K80, K93:K105, K121, K123)- SUBTOTAL(9,K35, K37, K39:K56, K64:K68, K81:K90, K106:K118, K122, K124) &gt;=  0, 0, ABS( SUBTOTAL(9, K22:K33, K34, K36, K38, K59:K63, K71:K80, K93:K105,K121,K123)- SUBTOTAL(9,K35,K37, K39:K56, K64:K68, K81:K90, K106:K118, K122, K124))),A1)</f>
        <v>0</v>
      </c>
      <c r="L128" s="403">
        <f>IF(AND([0]!Godina=2026,MID(Osnovni_podaci!D20,3,1)="s",Osnovni_podaci!L24=6,Osnovni_podaci!G24=0,MID(Osnovni_podaci!D20,3,1)="s",MID(Osnovni_podaci!D20,8,1)=" "),IF( SUBTOTAL(9, L22:L33, L34, L36, L38, L59:L63, L71:L80, L93:L105, L121, L123)- SUBTOTAL(9,L35, L37, L39:L56, L64:L68, L81:L90, L106:L118, L122, L124) &gt;=  0, 0, ABS( SUBTOTAL(9, L22:L33, L34, L36, L38, L59:L63, L71:L80, L93:L105,L121,L123)- SUBTOTAL(9,L35,L37, L39:L56, L64:L68, L81:L90, L106:L118, L122, L124))),A1)</f>
        <v>0</v>
      </c>
      <c r="N128" s="44"/>
      <c r="P128" s="183"/>
    </row>
    <row r="129" spans="2:16" ht="27.75" customHeight="1" x14ac:dyDescent="0.3">
      <c r="B129" s="15">
        <v>247</v>
      </c>
      <c r="C129" s="464" t="str">
        <f>IF(AND([0]!Godina=2026,MID(Osnovni_podaci!D20,3,1)="s",Osnovni_podaci!L24=6,Osnovni_podaci!G24=0,MID(Osnovni_podaci!D20,3,1)="s",MID(Osnovni_podaci!D20,8,1)=" "),VLOOKUP( $B129, T_Aop[], 5, 1),A1)</f>
        <v>721</v>
      </c>
      <c r="D129" s="703" t="str">
        <f>IF(AND([0]!Godina=2026,MID(Osnovni_podaci!D20,3,1)="s",Osnovni_podaci!L24=6,Osnovni_podaci!G24=0,MID(Osnovni_podaci!D20,3,1)="s",MID(Osnovni_podaci!D20,8,1)=" "),VLOOKUP( $B129, T_Aop[], 6, 1),A1)</f>
        <v xml:space="preserve">  N. TEKUĆI I ODLOŽENI POREZ NA DOBIT
1. Poreski rashodi perioda </v>
      </c>
      <c r="E129" s="704"/>
      <c r="F129" s="704"/>
      <c r="G129" s="704"/>
      <c r="H129" s="705"/>
      <c r="I129" s="179">
        <f>VLOOKUP( $B129, T_Aop[], 4, 1)</f>
        <v>309</v>
      </c>
      <c r="J129" s="454"/>
      <c r="K129" s="489">
        <v>176797</v>
      </c>
      <c r="L129" s="162">
        <v>242803</v>
      </c>
      <c r="N129" s="44"/>
      <c r="P129" s="183"/>
    </row>
    <row r="130" spans="2:16" ht="17.25" customHeight="1" x14ac:dyDescent="0.3">
      <c r="B130" s="15">
        <v>248</v>
      </c>
      <c r="C130" s="187">
        <f>IF(AND([0]!Godina=2026,MID(Osnovni_podaci!D20,3,1)="s",Osnovni_podaci!L24=6,Osnovni_podaci!G24=0,MID(Osnovni_podaci!D20,3,1)="s",MID(Osnovni_podaci!D20,8,1)=" "),VLOOKUP( $B130, T_Aop[], 5, 1),A1)</f>
        <v>0</v>
      </c>
      <c r="D130" s="683" t="str">
        <f>IF(AND([0]!Godina=2026,MID(Osnovni_podaci!D20,3,1)="s",Osnovni_podaci!L24=6,Osnovni_podaci!G24=0,MID(Osnovni_podaci!D20,3,1)="s",MID(Osnovni_podaci!D20,8,1)=" "),VLOOKUP( $B130, T_Aop[], 6, 1),A1)</f>
        <v xml:space="preserve">    2. Odloženi poreski rashodi (311 + 312)</v>
      </c>
      <c r="E130" s="684"/>
      <c r="F130" s="684"/>
      <c r="G130" s="684"/>
      <c r="H130" s="685"/>
      <c r="I130" s="59">
        <f>VLOOKUP( $B130, T_Aop[], 4, 1)</f>
        <v>310</v>
      </c>
      <c r="J130" s="456"/>
      <c r="K130" s="494">
        <f>IF(AND([0]!Godina=2026,MID(Osnovni_podaci!D20,3,1)="s",Osnovni_podaci!L24=6,Osnovni_podaci!G24=0,MID(Osnovni_podaci!D20,3,1)="s",MID(Osnovni_podaci!D20,8,1)=" "),SUBTOTAL( 9, K131:K132),A1)</f>
        <v>0</v>
      </c>
      <c r="L130" s="459">
        <f>IF(AND([0]!Godina=2026,MID(Osnovni_podaci!D20,3,1)="s",Osnovni_podaci!L24=6,Osnovni_podaci!G24=0,MID(Osnovni_podaci!D20,3,1)="s",MID(Osnovni_podaci!D20,8,1)=" "),SUBTOTAL( 9, L131:L132),A1)</f>
        <v>0</v>
      </c>
      <c r="N130" s="44"/>
      <c r="P130" s="183"/>
    </row>
    <row r="131" spans="2:16" ht="17.25" customHeight="1" x14ac:dyDescent="0.3">
      <c r="B131" s="15">
        <v>249</v>
      </c>
      <c r="C131" s="66" t="str">
        <f>IF(AND([0]!Godina=2026,MID(Osnovni_podaci!D20,3,1)="s",Osnovni_podaci!L24=6,Osnovni_podaci!G24=0,MID(Osnovni_podaci!D20,3,1)="s",MID(Osnovni_podaci!D20,8,1)=" "),VLOOKUP( $B131, T_Aop[], 5, 1),A1)</f>
        <v>722</v>
      </c>
      <c r="D131" s="686" t="str">
        <f>IF(AND([0]!Godina=2026,MID(Osnovni_podaci!D20,3,1)="s",Osnovni_podaci!L24=6,Osnovni_podaci!G24=0,MID(Osnovni_podaci!D20,3,1)="s",MID(Osnovni_podaci!D20,8,1)=" "),VLOOKUP( $B131, T_Aop[], 6, 1),A1)</f>
        <v xml:space="preserve">      2.1   Efekat smanjenja odloženih poreskih sredstava</v>
      </c>
      <c r="E131" s="687"/>
      <c r="F131" s="687"/>
      <c r="G131" s="687"/>
      <c r="H131" s="688"/>
      <c r="I131" s="63">
        <f>VLOOKUP( $B131, T_Aop[], 4, 1)</f>
        <v>311</v>
      </c>
      <c r="J131" s="454"/>
      <c r="K131" s="490"/>
      <c r="L131" s="455"/>
      <c r="N131" s="44"/>
      <c r="P131" s="183"/>
    </row>
    <row r="132" spans="2:16" ht="17.25" customHeight="1" x14ac:dyDescent="0.3">
      <c r="B132" s="15">
        <v>250</v>
      </c>
      <c r="C132" s="58" t="str">
        <f>IF(AND([0]!Godina=2026,MID(Osnovni_podaci!D20,3,1)="s",Osnovni_podaci!L24=6,Osnovni_podaci!G24=0,MID(Osnovni_podaci!D20,3,1)="s",MID(Osnovni_podaci!D20,8,1)=" "),VLOOKUP( $B132, T_Aop[], 5, 1),A1)</f>
        <v>724</v>
      </c>
      <c r="D132" s="683" t="str">
        <f>IF(AND([0]!Godina=2026,MID(Osnovni_podaci!D20,3,1)="s",Osnovni_podaci!L24=6,Osnovni_podaci!G24=0,MID(Osnovni_podaci!D20,3,1)="s",MID(Osnovni_podaci!D20,8,1)=" "),VLOOKUP( $B132, T_Aop[], 6, 1),A1)</f>
        <v xml:space="preserve">      2.2   Efekat povećanja odloženih poreskih obaveza</v>
      </c>
      <c r="E132" s="684"/>
      <c r="F132" s="684"/>
      <c r="G132" s="684"/>
      <c r="H132" s="685"/>
      <c r="I132" s="59">
        <f>VLOOKUP( $B132, T_Aop[], 4, 1)</f>
        <v>312</v>
      </c>
      <c r="J132" s="456"/>
      <c r="K132" s="495"/>
      <c r="L132" s="156"/>
      <c r="N132" s="44"/>
      <c r="P132" s="183"/>
    </row>
    <row r="133" spans="2:16" ht="17.25" customHeight="1" x14ac:dyDescent="0.3">
      <c r="B133" s="15">
        <v>251</v>
      </c>
      <c r="C133" s="66">
        <f>IF(AND([0]!Godina=2026,MID(Osnovni_podaci!D20,3,1)="s",Osnovni_podaci!L24=6,Osnovni_podaci!G24=0,MID(Osnovni_podaci!D20,3,1)="s",MID(Osnovni_podaci!D20,8,1)=" "),VLOOKUP( $B133, T_Aop[], 5, 1),A1)</f>
        <v>0</v>
      </c>
      <c r="D133" s="686" t="str">
        <f>IF(AND([0]!Godina=2026,MID(Osnovni_podaci!D20,3,1)="s",Osnovni_podaci!L24=6,Osnovni_podaci!G24=0,MID(Osnovni_podaci!D20,3,1)="s",MID(Osnovni_podaci!D20,8,1)=" "),VLOOKUP( $B133, T_Aop[], 6, 1),A1)</f>
        <v xml:space="preserve">    3. Odloženi poreski prihodi (314 + 315)</v>
      </c>
      <c r="E133" s="687"/>
      <c r="F133" s="687"/>
      <c r="G133" s="687"/>
      <c r="H133" s="688"/>
      <c r="I133" s="63">
        <f>VLOOKUP( $B133, T_Aop[], 4, 1)</f>
        <v>313</v>
      </c>
      <c r="J133" s="454"/>
      <c r="K133" s="496">
        <f>IF(AND([0]!Godina=2026,MID(Osnovni_podaci!D20,3,1)="s",Osnovni_podaci!L24=6,Osnovni_podaci!G24=0,MID(Osnovni_podaci!D20,3,1)="s",MID(Osnovni_podaci!D20,8,1)=" "),SUBTOTAL( 9, K134:K135),A1)</f>
        <v>0</v>
      </c>
      <c r="L133" s="461">
        <f>IF(AND([0]!Godina=2026,MID(Osnovni_podaci!D20,3,1)="s",Osnovni_podaci!L24=6,Osnovni_podaci!G24=0,MID(Osnovni_podaci!D20,3,1)="s",MID(Osnovni_podaci!D20,8,1)=" "),SUBTOTAL( 9, L134:L135),A1)</f>
        <v>0</v>
      </c>
      <c r="N133" s="44"/>
      <c r="P133" s="183"/>
    </row>
    <row r="134" spans="2:16" ht="13.9" customHeight="1" x14ac:dyDescent="0.3">
      <c r="B134" s="15">
        <v>252</v>
      </c>
      <c r="C134" s="58" t="str">
        <f>IF(AND([0]!Godina=2026,MID(Osnovni_podaci!D20,3,1)="s",Osnovni_podaci!L24=6,Osnovni_podaci!G24=0,MID(Osnovni_podaci!D20,3,1)="s",MID(Osnovni_podaci!D20,8,1)=" "),VLOOKUP( $B134, T_Aop[], 5, 1),A1)</f>
        <v>723</v>
      </c>
      <c r="D134" s="683" t="str">
        <f>IF(AND([0]!Godina=2026,MID(Osnovni_podaci!D20,3,1)="s",Osnovni_podaci!L24=6,Osnovni_podaci!G24=0,MID(Osnovni_podaci!D20,3,1)="s",MID(Osnovni_podaci!D20,8,1)=" "),VLOOKUP( $B134, T_Aop[], 6, 1),A1)</f>
        <v xml:space="preserve">      3.1 Efekat povećanja odloženih poreskih sredstava</v>
      </c>
      <c r="E134" s="684"/>
      <c r="F134" s="684"/>
      <c r="G134" s="684"/>
      <c r="H134" s="685"/>
      <c r="I134" s="59">
        <f>VLOOKUP( $B134, T_Aop[], 4, 1)</f>
        <v>314</v>
      </c>
      <c r="J134" s="456"/>
      <c r="K134" s="425"/>
      <c r="L134" s="156"/>
      <c r="N134" s="44"/>
      <c r="P134" s="183"/>
    </row>
    <row r="135" spans="2:16" ht="13.9" customHeight="1" x14ac:dyDescent="0.3">
      <c r="B135" s="15">
        <v>253</v>
      </c>
      <c r="C135" s="66" t="str">
        <f>IF(AND([0]!Godina=2026,MID(Osnovni_podaci!D20,3,1)="s",Osnovni_podaci!L24=6,Osnovni_podaci!G24=0,MID(Osnovni_podaci!D20,3,1)="s",MID(Osnovni_podaci!D20,8,1)=" "),VLOOKUP( $B135, T_Aop[], 5, 1),A1)</f>
        <v>725</v>
      </c>
      <c r="D135" s="686" t="str">
        <f>IF(AND([0]!Godina=2026,MID(Osnovni_podaci!D20,3,1)="s",Osnovni_podaci!L24=6,Osnovni_podaci!G24=0,MID(Osnovni_podaci!D20,3,1)="s",MID(Osnovni_podaci!D20,8,1)=" "),VLOOKUP( $B135, T_Aop[], 6, 1),A1)</f>
        <v xml:space="preserve">      3.2 Efekat smanjenja odloženih poreskih obaveza</v>
      </c>
      <c r="E135" s="687"/>
      <c r="F135" s="687"/>
      <c r="G135" s="687"/>
      <c r="H135" s="688"/>
      <c r="I135" s="63">
        <f>VLOOKUP( $B135, T_Aop[], 4, 1)</f>
        <v>315</v>
      </c>
      <c r="J135" s="454"/>
      <c r="K135" s="454"/>
      <c r="L135" s="455"/>
      <c r="N135" s="44"/>
      <c r="P135" s="183"/>
    </row>
    <row r="136" spans="2:16" ht="24.25" customHeight="1" x14ac:dyDescent="0.3">
      <c r="B136" s="15">
        <v>254</v>
      </c>
      <c r="C136" s="58">
        <f>IF(AND([0]!Godina=2026,MID(Osnovni_podaci!D20,3,1)="s",Osnovni_podaci!L24=6,Osnovni_podaci!G24=0,MID(Osnovni_podaci!D20,3,1)="s",MID(Osnovni_podaci!D20,8,1)=" "),VLOOKUP( $B136, T_Aop[], 5, 1),A1)</f>
        <v>0</v>
      </c>
      <c r="D136" s="706" t="str">
        <f>IF(AND([0]!Godina=2026,MID(Osnovni_podaci!D20,3,1)="s",Osnovni_podaci!L24=6,Osnovni_podaci!G24=0,MID(Osnovni_podaci!D20,3,1)="s",MID(Osnovni_podaci!D20,8,1)=" "),VLOOKUP( $B136, T_Aop[], 6, 1),A1)</f>
        <v xml:space="preserve">  NJ. NETO DOBIT I NETO GUBITAK PERIODA
 1. Neto dobit tekuće godine (307-309-310+313)&gt;0 i 307&gt;0 ili (313-308-309-310)&gt;0 i 308&gt;0</v>
      </c>
      <c r="E136" s="707"/>
      <c r="F136" s="707"/>
      <c r="G136" s="707"/>
      <c r="H136" s="708"/>
      <c r="I136" s="178">
        <f>VLOOKUP( $B136, T_Aop[], 4, 1)</f>
        <v>316</v>
      </c>
      <c r="J136" s="456">
        <v>29</v>
      </c>
      <c r="K136" s="254">
        <f>IF(AND([0]!Godina=2026,MID(Osnovni_podaci!D20,3,1)="s",Osnovni_podaci!L24=6,Osnovni_podaci!G24=0,MID(Osnovni_podaci!D20,3,1)="s",MID(Osnovni_podaci!D20,8,1)=" "),IF( SUBTOTAL(9, K22:K33, K34, K36, K38, K59:K63, K71:K80, K93:K105, K121, K123,K133:K135)- SUBTOTAL(9,K35, K37, K39:K56, K64:K68, K81:K90, K106:K118, K122, K124,K129, K130:K132) &lt;=  0, 0, ABS( SUBTOTAL(9, K22:K33, K34, K36, K38, K59:K63, K71:K80, K93:K105,K121,K123,K133:K135)- SUBTOTAL(9,K35,K37, K39:K56, K64:K68, K81:K90, K106:K118, K122, K124, K129, K130:K132))),A1)</f>
        <v>1067913</v>
      </c>
      <c r="L136" s="403">
        <f>IF(AND([0]!Godina=2026,MID(Osnovni_podaci!D20,3,1)="s",Osnovni_podaci!L24=6,Osnovni_podaci!G24=0,MID(Osnovni_podaci!D20,3,1)="s",MID(Osnovni_podaci!D20,8,1)=" "),IF( SUBTOTAL(9, L22:L33, L34, L36, L38, L59:L63, L71:L80, L93:L105, L121, L123,L133:L135)- SUBTOTAL(9,L35, L37, L39:L56, L64:L68, L81:L90, L106:L118, L122, L124,L129, L130:L132) &lt;=  0, 0, ABS( SUBTOTAL(9, L22:L33, L34, L36, L38, L59:L63, L71:L80, L93:L105,L121,L123,L133:L135)- SUBTOTAL(9,L35,L37, L39:L56, L64:L68, L81:L90, L106:L118, L122, L124, L129, L130:L132))),A1)</f>
        <v>2185227</v>
      </c>
      <c r="N136" s="44"/>
      <c r="P136" s="183"/>
    </row>
    <row r="137" spans="2:16" ht="15.25" customHeight="1" x14ac:dyDescent="0.3">
      <c r="B137" s="15">
        <v>255</v>
      </c>
      <c r="C137" s="66" t="str">
        <f>IF(AND([0]!Godina=2026,MID(Osnovni_podaci!D20,3,1)="s",Osnovni_podaci!L24=6,Osnovni_podaci!G24=0,MID(Osnovni_podaci!D20,3,1)="s",MID(Osnovni_podaci!D20,8,1)=" "),VLOOKUP( $B137, T_Aop[], 5, 1),A1)</f>
        <v xml:space="preserve"> </v>
      </c>
      <c r="D137" s="703" t="str">
        <f>IF(AND([0]!Godina=2026,MID(Osnovni_podaci!D20,3,1)="s",Osnovni_podaci!L24=6,Osnovni_podaci!G24=0,MID(Osnovni_podaci!D20,3,1)="s",MID(Osnovni_podaci!D20,8,1)=" "),VLOOKUP( $B137, T_Aop[], 6, 1),A1)</f>
        <v>2. Neto gubitak tekuće godine (308+309+310-313)&gt;0 i 308&gt;0 ili (309+310-307-313)&gt;0 i 307&gt;0</v>
      </c>
      <c r="E137" s="704"/>
      <c r="F137" s="704"/>
      <c r="G137" s="704"/>
      <c r="H137" s="705"/>
      <c r="I137" s="179">
        <f>VLOOKUP( $B137, T_Aop[], 4, 1)</f>
        <v>317</v>
      </c>
      <c r="J137" s="454"/>
      <c r="K137" s="67">
        <f>IF(AND([0]!Godina=2026,MID(Osnovni_podaci!D20,3,1)="s",Osnovni_podaci!L24=6,Osnovni_podaci!G24=0,MID(Osnovni_podaci!D20,3,1)="s",MID(Osnovni_podaci!D20,8,1)=" "),IF( SUBTOTAL(9, K22:K33, K34, K36, K38, K59:K63, K71:K80, K93:K105, K121, K123,K133:K135)- SUBTOTAL(9,K35, K37, K39:K56, K64:K68, K81:K90, K106:K118, K122, K124,K129, K130:K132) &gt;= 0, 0, ABS( SUBTOTAL(9, K22:K33, K34, K36, K38, K59:K63, K71:K80, K93:K105,K121,K123,K133:K135)- SUBTOTAL(9,K35,K37, K39:K56, K64:K68, K81:K90, K106:K118, K122, K124, K129, K130:K132))),A1)</f>
        <v>0</v>
      </c>
      <c r="L137" s="68">
        <f>IF(AND([0]!Godina=2026,MID(Osnovni_podaci!D20,3,1)="s",Osnovni_podaci!L24=6,Osnovni_podaci!G24=0,MID(Osnovni_podaci!D20,3,1)="s",MID(Osnovni_podaci!D20,8,1)=" "),IF( SUBTOTAL(9, L22:L33, L34, L36, L38, L59:L63, L71:L80, L93:L105, L121, L123,L133:L135)- SUBTOTAL(9,L35, L37, L39:L56, L64:L68, L81:L90, L106:L118, L122, L124,L129, L130:L132) &gt;= 0, 0, ABS( SUBTOTAL(9, L22:L33, L34, L36, L38, L59:L63, L71:L80, L93:L105,L121,L123,L133:L135)- SUBTOTAL(9,L35,L37, L39:L56, L64:L68, L81:L90, L106:L118, L122, L124, L129, L130:L132))),A1)</f>
        <v>0</v>
      </c>
      <c r="N137" s="44"/>
      <c r="P137" s="183"/>
    </row>
    <row r="138" spans="2:16" ht="20.25" customHeight="1" x14ac:dyDescent="0.3">
      <c r="B138" s="15">
        <v>256</v>
      </c>
      <c r="C138" s="58" t="str">
        <f>IF(AND([0]!Godina=2026,MID(Osnovni_podaci!D20,3,1)="s",Osnovni_podaci!L24=6,Osnovni_podaci!G24=0,MID(Osnovni_podaci!D20,3,1)="s",MID(Osnovni_podaci!D20,8,1)=" "),VLOOKUP( $B138, T_Aop[], 5, 1),A1)</f>
        <v>726</v>
      </c>
      <c r="D138" s="683" t="str">
        <f>IF(AND([0]!Godina=2026,MID(Osnovni_podaci!D20,3,1)="s",Osnovni_podaci!L24=6,Osnovni_podaci!G24=0,MID(Osnovni_podaci!D20,3,1)="s",MID(Osnovni_podaci!D20,8,1)=" "),VLOOKUP( $B138, T_Aop[], 6, 1),A1)</f>
        <v xml:space="preserve">  O. Međudividende i drugi vidovi raspodjele dobitka u toku perioda</v>
      </c>
      <c r="E138" s="684"/>
      <c r="F138" s="684"/>
      <c r="G138" s="684"/>
      <c r="H138" s="685"/>
      <c r="I138" s="59">
        <f>VLOOKUP( $B138, T_Aop[], 4, 1)</f>
        <v>318</v>
      </c>
      <c r="J138" s="456"/>
      <c r="K138" s="456"/>
      <c r="L138" s="457"/>
      <c r="N138" s="44"/>
      <c r="P138" s="183"/>
    </row>
    <row r="139" spans="2:16" ht="15.25" customHeight="1" x14ac:dyDescent="0.3">
      <c r="B139" s="15">
        <v>257</v>
      </c>
      <c r="C139" s="66">
        <f>IF(AND([0]!Godina=2026,MID(Osnovni_podaci!D20,3,1)="s",Osnovni_podaci!L24=6,Osnovni_podaci!G24=0,MID(Osnovni_podaci!D20,3,1)="s",MID(Osnovni_podaci!D20,8,1)=" "),VLOOKUP( $B139, T_Aop[], 5, 1),A1)</f>
        <v>0</v>
      </c>
      <c r="D139" s="686" t="str">
        <f>IF(AND([0]!Godina=2026,MID(Osnovni_podaci!D20,3,1)="s",Osnovni_podaci!L24=6,Osnovni_podaci!G24=0,MID(Osnovni_podaci!D20,3,1)="s",MID(Osnovni_podaci!D20,8,1)=" "),VLOOKUP( $B139, T_Aop[], 6, 1),A1)</f>
        <v>Dio neto dobiti/gubitka koji pripada većinskim vlasnicima</v>
      </c>
      <c r="E139" s="687"/>
      <c r="F139" s="687"/>
      <c r="G139" s="687"/>
      <c r="H139" s="688"/>
      <c r="I139" s="63">
        <f>VLOOKUP( $B139, T_Aop[], 4, 1)</f>
        <v>319</v>
      </c>
      <c r="J139" s="454"/>
      <c r="K139" s="462">
        <v>544940</v>
      </c>
      <c r="L139" s="463">
        <v>1115090</v>
      </c>
      <c r="N139" s="44"/>
      <c r="P139" s="183"/>
    </row>
    <row r="140" spans="2:16" ht="15.25" customHeight="1" x14ac:dyDescent="0.3">
      <c r="B140" s="15">
        <v>258</v>
      </c>
      <c r="C140" s="58">
        <f>IF(AND([0]!Godina=2026,MID(Osnovni_podaci!D20,3,1)="s",Osnovni_podaci!L24=6,Osnovni_podaci!G24=0,MID(Osnovni_podaci!D20,3,1)="s",MID(Osnovni_podaci!D20,8,1)=" "),VLOOKUP( $B140, T_Aop[], 5, 1),A1)</f>
        <v>0</v>
      </c>
      <c r="D140" s="683" t="str">
        <f>IF(AND([0]!Godina=2026,MID(Osnovni_podaci!D20,3,1)="s",Osnovni_podaci!L24=6,Osnovni_podaci!G24=0,MID(Osnovni_podaci!D20,3,1)="s",MID(Osnovni_podaci!D20,8,1)=" "),VLOOKUP( $B140, T_Aop[], 6, 1),A1)</f>
        <v>Dio neto dobiti/gubitka koji pripada manjinskim vlasnicima</v>
      </c>
      <c r="E140" s="684"/>
      <c r="F140" s="684"/>
      <c r="G140" s="684"/>
      <c r="H140" s="685"/>
      <c r="I140" s="59">
        <f>VLOOKUP( $B140, T_Aop[], 4, 1)</f>
        <v>320</v>
      </c>
      <c r="J140" s="456"/>
      <c r="K140" s="456">
        <v>522973</v>
      </c>
      <c r="L140" s="457">
        <v>1070137</v>
      </c>
      <c r="N140" s="44"/>
      <c r="P140" s="183"/>
    </row>
    <row r="141" spans="2:16" ht="15.25" customHeight="1" x14ac:dyDescent="0.3">
      <c r="B141" s="15">
        <v>259</v>
      </c>
      <c r="C141" s="66">
        <f>VLOOKUP( $B141, T_Aop[], 5, 1)</f>
        <v>0</v>
      </c>
      <c r="D141" s="686" t="str">
        <f>VLOOKUP( $B141, T_Aop[], 6, 1)</f>
        <v>Obična zarada po akciji</v>
      </c>
      <c r="E141" s="687"/>
      <c r="F141" s="687"/>
      <c r="G141" s="687"/>
      <c r="H141" s="688"/>
      <c r="I141" s="63">
        <f>VLOOKUP( $B141, T_Aop[], 4, 1)</f>
        <v>321</v>
      </c>
      <c r="J141" s="454"/>
      <c r="K141" s="486">
        <v>0.11119999999999999</v>
      </c>
      <c r="L141" s="487">
        <v>0.22750000000000001</v>
      </c>
      <c r="N141" s="44"/>
      <c r="P141" s="183"/>
    </row>
    <row r="142" spans="2:16" ht="15.25" customHeight="1" x14ac:dyDescent="0.3">
      <c r="B142" s="15">
        <v>260</v>
      </c>
      <c r="C142" s="444">
        <f>VLOOKUP( $B142, T_Aop[], 5, 1)</f>
        <v>0</v>
      </c>
      <c r="D142" s="712" t="str">
        <f>VLOOKUP( $B142, T_Aop[], 6, 1)</f>
        <v>Razrijeđena zarada po akciji</v>
      </c>
      <c r="E142" s="713"/>
      <c r="F142" s="713"/>
      <c r="G142" s="713"/>
      <c r="H142" s="714"/>
      <c r="I142" s="59">
        <f>VLOOKUP( $B142, T_Aop[], 4, 1)</f>
        <v>322</v>
      </c>
      <c r="J142" s="456"/>
      <c r="K142" s="528"/>
      <c r="L142" s="529"/>
      <c r="N142" s="44"/>
      <c r="P142" s="183"/>
    </row>
    <row r="143" spans="2:16" ht="15.25" customHeight="1" x14ac:dyDescent="0.3">
      <c r="B143" s="15">
        <v>261</v>
      </c>
      <c r="C143" s="446">
        <f>VLOOKUP( $B143, T_Aop[], 5, 1)</f>
        <v>0</v>
      </c>
      <c r="D143" s="715" t="str">
        <f>VLOOKUP( $B143, T_Aop[], 6, 1)</f>
        <v>Prosječan broj zaposlenih po osnovu časova rada</v>
      </c>
      <c r="E143" s="716"/>
      <c r="F143" s="716"/>
      <c r="G143" s="716"/>
      <c r="H143" s="717"/>
      <c r="I143" s="63">
        <f>VLOOKUP( $B143, T_Aop[], 4, 1)</f>
        <v>323</v>
      </c>
      <c r="J143" s="454"/>
      <c r="K143" s="482">
        <v>208.03</v>
      </c>
      <c r="L143" s="483">
        <v>216</v>
      </c>
      <c r="N143" s="44"/>
      <c r="P143" s="183"/>
    </row>
    <row r="144" spans="2:16" ht="15.25" customHeight="1" x14ac:dyDescent="0.3">
      <c r="B144" s="15">
        <v>262</v>
      </c>
      <c r="C144" s="448">
        <f>VLOOKUP( $B144, T_Aop[], 5, 1)</f>
        <v>0</v>
      </c>
      <c r="D144" s="709" t="str">
        <f>VLOOKUP( $B144, T_Aop[], 6, 1)</f>
        <v>Prosječan broj zaposlenih po osnovu stanja na kraju mjeseca</v>
      </c>
      <c r="E144" s="710"/>
      <c r="F144" s="710"/>
      <c r="G144" s="710"/>
      <c r="H144" s="711"/>
      <c r="I144" s="186">
        <f>VLOOKUP( $B144, T_Aop[], 4, 1)</f>
        <v>324</v>
      </c>
      <c r="J144" s="497"/>
      <c r="K144" s="484">
        <v>211.33</v>
      </c>
      <c r="L144" s="485">
        <v>218</v>
      </c>
      <c r="N144" s="44"/>
      <c r="P144" s="183"/>
    </row>
    <row r="145" spans="2:12" ht="15.25" customHeight="1" x14ac:dyDescent="0.3">
      <c r="B145" s="15"/>
      <c r="C145" s="37"/>
      <c r="D145" s="40"/>
      <c r="E145" s="40"/>
      <c r="F145" s="40"/>
      <c r="G145" s="40"/>
      <c r="H145" s="40"/>
      <c r="I145" s="233"/>
    </row>
    <row r="146" spans="2:12" ht="15.25" customHeight="1" x14ac:dyDescent="0.3">
      <c r="B146" s="15"/>
      <c r="C146" s="180" t="str">
        <f>Podnozje_U</f>
        <v>U:</v>
      </c>
      <c r="D146" s="419" t="str">
        <f>Podatak_U</f>
        <v>Banja Luci</v>
      </c>
      <c r="E146"/>
      <c r="F146" s="56" t="str">
        <f>Podnozje_Lice_sa_licencom</f>
        <v>Lice sa licencom:</v>
      </c>
      <c r="G146" s="8" t="str">
        <f>Podatak_Lice_sa_licencom</f>
        <v>Ljupko Miletić</v>
      </c>
      <c r="I146" s="37" t="str">
        <f>Podnozje_MP</f>
        <v>(M.P.)</v>
      </c>
    </row>
    <row r="147" spans="2:12" ht="15.25" customHeight="1" x14ac:dyDescent="0.3">
      <c r="B147" s="15"/>
      <c r="C147" s="28"/>
      <c r="D147" s="127"/>
      <c r="E147" t="s">
        <v>786</v>
      </c>
      <c r="F147" s="678"/>
      <c r="G147" s="678"/>
      <c r="I147" s="78"/>
      <c r="J147" s="677" t="str">
        <f>Podnozje_Direktor</f>
        <v>Lice ovlašćeno za zastupanje:</v>
      </c>
      <c r="K147" s="677"/>
      <c r="L147" s="677"/>
    </row>
    <row r="148" spans="2:12" ht="15.25" customHeight="1" x14ac:dyDescent="0.3">
      <c r="B148" s="15"/>
      <c r="C148" s="180" t="str">
        <f>Podnozje_Dana</f>
        <v>Dana:</v>
      </c>
      <c r="D148" s="418" t="str">
        <f>Podatak_Dana</f>
        <v>31.07.2026.</v>
      </c>
      <c r="E148"/>
      <c r="F148" s="40" t="str">
        <f>Podnozje_Broj_licence</f>
        <v>Broj licence:</v>
      </c>
      <c r="G148" t="str">
        <f>Podatak_Broj_Licence</f>
        <v>SR-1057/26</v>
      </c>
      <c r="J148" s="9"/>
      <c r="K148" s="681" t="str">
        <f>Podatak_Direktor</f>
        <v>Aleksandar Bajić</v>
      </c>
      <c r="L148" s="681"/>
    </row>
    <row r="149" spans="2:12" ht="12.75" hidden="1" customHeight="1" x14ac:dyDescent="0.3">
      <c r="B149" s="15"/>
      <c r="D149" s="9"/>
      <c r="E149" s="40"/>
      <c r="G149" s="39"/>
      <c r="H149"/>
    </row>
    <row r="150" spans="2:12" ht="12.75" customHeight="1" x14ac:dyDescent="0.3">
      <c r="B150" s="15"/>
      <c r="C150" s="37"/>
      <c r="D150" s="40"/>
      <c r="E150" s="40"/>
      <c r="F150" s="40"/>
      <c r="G150" s="40"/>
      <c r="I150" s="9"/>
      <c r="J150" s="37"/>
      <c r="K150" s="37"/>
    </row>
    <row r="151" spans="2:12" ht="12.75" hidden="1" customHeight="1" x14ac:dyDescent="0.3">
      <c r="H151" s="40"/>
      <c r="I151" s="45"/>
    </row>
    <row r="152" spans="2:12" ht="12.75" customHeight="1" x14ac:dyDescent="0.3">
      <c r="G152" s="680"/>
      <c r="H152" s="680"/>
      <c r="I152" s="233"/>
      <c r="K152" s="262"/>
      <c r="L152" s="262"/>
    </row>
    <row r="153" spans="2:12" ht="27.75" customHeight="1" x14ac:dyDescent="0.3"/>
    <row r="160" spans="2:12" x14ac:dyDescent="0.3"/>
    <row r="161" x14ac:dyDescent="0.3"/>
    <row r="162" x14ac:dyDescent="0.3"/>
    <row r="163" x14ac:dyDescent="0.3"/>
    <row r="164" x14ac:dyDescent="0.3"/>
    <row r="165" x14ac:dyDescent="0.3"/>
    <row r="166" x14ac:dyDescent="0.3"/>
    <row r="167" x14ac:dyDescent="0.3"/>
    <row r="168" x14ac:dyDescent="0.3"/>
  </sheetData>
  <sheetProtection algorithmName="SHA-512" hashValue="0ZTpmD+5w08A9q+ONMKvu2tTrDpFOHtFspdhF6n1WvTaKlebc8vplm3cSkNtUCHTCrF2gwwHe55/ltf3jO0APw==" saltValue="QzjVeHagJBc+f8D+ihELJg==" spinCount="100000" sheet="1" objects="1" scenarios="1"/>
  <mergeCells count="146">
    <mergeCell ref="D108:H108"/>
    <mergeCell ref="D109:H109"/>
    <mergeCell ref="D110:H110"/>
    <mergeCell ref="C5:E6"/>
    <mergeCell ref="J18:J19"/>
    <mergeCell ref="K18:L18"/>
    <mergeCell ref="D130:H130"/>
    <mergeCell ref="D131:H131"/>
    <mergeCell ref="D136:H136"/>
    <mergeCell ref="C7:E7"/>
    <mergeCell ref="D8:E8"/>
    <mergeCell ref="C9:E9"/>
    <mergeCell ref="C10:E10"/>
    <mergeCell ref="C12:E12"/>
    <mergeCell ref="C11:E11"/>
    <mergeCell ref="C13:E13"/>
    <mergeCell ref="I18:I19"/>
    <mergeCell ref="D111:H111"/>
    <mergeCell ref="D112:H112"/>
    <mergeCell ref="D113:H113"/>
    <mergeCell ref="D102:H102"/>
    <mergeCell ref="D103:H103"/>
    <mergeCell ref="D104:H104"/>
    <mergeCell ref="D105:H105"/>
    <mergeCell ref="D120:H120"/>
    <mergeCell ref="D121:H121"/>
    <mergeCell ref="D122:H122"/>
    <mergeCell ref="D114:H114"/>
    <mergeCell ref="D115:H115"/>
    <mergeCell ref="D116:H116"/>
    <mergeCell ref="D117:H117"/>
    <mergeCell ref="D118:H118"/>
    <mergeCell ref="D119:H119"/>
    <mergeCell ref="D144:H144"/>
    <mergeCell ref="D141:H141"/>
    <mergeCell ref="D142:H142"/>
    <mergeCell ref="D143:H143"/>
    <mergeCell ref="D128:H128"/>
    <mergeCell ref="D129:H129"/>
    <mergeCell ref="D123:H123"/>
    <mergeCell ref="D124:H124"/>
    <mergeCell ref="D125:H125"/>
    <mergeCell ref="D140:H140"/>
    <mergeCell ref="D135:H135"/>
    <mergeCell ref="D132:H132"/>
    <mergeCell ref="D133:H133"/>
    <mergeCell ref="D126:H126"/>
    <mergeCell ref="D127:H127"/>
    <mergeCell ref="D137:H137"/>
    <mergeCell ref="D138:H138"/>
    <mergeCell ref="D139:H139"/>
    <mergeCell ref="D106:H106"/>
    <mergeCell ref="D107:H107"/>
    <mergeCell ref="D90:H90"/>
    <mergeCell ref="D91:H91"/>
    <mergeCell ref="D92:H92"/>
    <mergeCell ref="D93:H93"/>
    <mergeCell ref="D94:H94"/>
    <mergeCell ref="D95:H95"/>
    <mergeCell ref="D84:H84"/>
    <mergeCell ref="D85:H85"/>
    <mergeCell ref="D86:H86"/>
    <mergeCell ref="D87:H87"/>
    <mergeCell ref="D88:H88"/>
    <mergeCell ref="D89:H89"/>
    <mergeCell ref="D96:H96"/>
    <mergeCell ref="D97:H97"/>
    <mergeCell ref="D98:H98"/>
    <mergeCell ref="D99:H99"/>
    <mergeCell ref="D100:H100"/>
    <mergeCell ref="D101:H101"/>
    <mergeCell ref="D78:H78"/>
    <mergeCell ref="D79:H79"/>
    <mergeCell ref="D80:H80"/>
    <mergeCell ref="D81:H81"/>
    <mergeCell ref="D82:H82"/>
    <mergeCell ref="D83:H83"/>
    <mergeCell ref="D72:H72"/>
    <mergeCell ref="D73:H73"/>
    <mergeCell ref="D74:H74"/>
    <mergeCell ref="D75:H75"/>
    <mergeCell ref="D76:H76"/>
    <mergeCell ref="D77:H77"/>
    <mergeCell ref="D66:H66"/>
    <mergeCell ref="D67:H67"/>
    <mergeCell ref="D68:H68"/>
    <mergeCell ref="D69:H69"/>
    <mergeCell ref="D70:H70"/>
    <mergeCell ref="D71:H71"/>
    <mergeCell ref="D60:H60"/>
    <mergeCell ref="D61:H61"/>
    <mergeCell ref="D62:H62"/>
    <mergeCell ref="D63:H63"/>
    <mergeCell ref="D64:H64"/>
    <mergeCell ref="D65:H65"/>
    <mergeCell ref="D54:H54"/>
    <mergeCell ref="D55:H55"/>
    <mergeCell ref="D56:H56"/>
    <mergeCell ref="D57:H57"/>
    <mergeCell ref="D58:H58"/>
    <mergeCell ref="D59:H59"/>
    <mergeCell ref="D48:H48"/>
    <mergeCell ref="D49:H49"/>
    <mergeCell ref="D50:H50"/>
    <mergeCell ref="D51:H51"/>
    <mergeCell ref="D52:H52"/>
    <mergeCell ref="D53:H53"/>
    <mergeCell ref="D27:H27"/>
    <mergeCell ref="D28:H28"/>
    <mergeCell ref="D29:H29"/>
    <mergeCell ref="D42:H42"/>
    <mergeCell ref="D43:H43"/>
    <mergeCell ref="D44:H44"/>
    <mergeCell ref="D45:H45"/>
    <mergeCell ref="D46:H46"/>
    <mergeCell ref="D47:H47"/>
    <mergeCell ref="D36:H36"/>
    <mergeCell ref="D37:H37"/>
    <mergeCell ref="D38:H38"/>
    <mergeCell ref="D39:H39"/>
    <mergeCell ref="D40:H40"/>
    <mergeCell ref="D41:H41"/>
    <mergeCell ref="G152:H152"/>
    <mergeCell ref="K148:L148"/>
    <mergeCell ref="F147:G147"/>
    <mergeCell ref="J147:L147"/>
    <mergeCell ref="C14:L14"/>
    <mergeCell ref="C15:L15"/>
    <mergeCell ref="C16:L16"/>
    <mergeCell ref="K10:L10"/>
    <mergeCell ref="D22:H22"/>
    <mergeCell ref="D23:H23"/>
    <mergeCell ref="C18:C19"/>
    <mergeCell ref="D134:H134"/>
    <mergeCell ref="D18:H19"/>
    <mergeCell ref="D20:H20"/>
    <mergeCell ref="D21:H21"/>
    <mergeCell ref="D30:H30"/>
    <mergeCell ref="D31:H31"/>
    <mergeCell ref="D32:H32"/>
    <mergeCell ref="D33:H33"/>
    <mergeCell ref="D34:H34"/>
    <mergeCell ref="D35:H35"/>
    <mergeCell ref="D24:H24"/>
    <mergeCell ref="D25:H25"/>
    <mergeCell ref="D26:H26"/>
  </mergeCells>
  <phoneticPr fontId="0" type="noConversion"/>
  <dataValidations xWindow="972" yWindow="539" count="6">
    <dataValidation type="whole" operator="greaterThanOrEqual" allowBlank="1" showInputMessage="1" showErrorMessage="1" errorTitle="Greška" error="Unose se vrijednosti u konvertibilnim markama, bez decimalnih mjesta. Nije dozvoljen unos negativnih brojeva." sqref="K115:L118 K54:L56 K108:L113 K121:L124 K131:L132 K95:L100 K65:L66 K52:L52 K31:L38 K72:L80 K27:L29 K49:L49 K40:L42 K102:L105 K82:L90 K60:L63 K68:L68 K129:L129 K135:L135 K138:L140 K23:L25 K44:L46" xr:uid="{00000000-0002-0000-0300-000000000000}">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K119:L120 K106:L107 K69:L71 K39:L39 K43:L43 K26:L26 K136:L137 K57:L59 K81:L81 K101:L101 K125:L128 K30:L30 K91:L94 K64:L64 K133:L133 K114:L114 K130:L130 K47:L48 K21:L22" xr:uid="{00000000-0002-0000-0300-000001000000}">
      <formula1>0</formula1>
    </dataValidation>
    <dataValidation type="decimal" operator="greaterThanOrEqual" allowBlank="1" showInputMessage="1" showErrorMessage="1" errorTitle="Greška" error="Unose se vrijednosti u konvertibilnim markama. Nije dozvoljen unos negativnih brojeva." sqref="K134:L134 K141:L141" xr:uid="{00000000-0002-0000-0300-000002000000}">
      <formula1>0</formula1>
    </dataValidation>
    <dataValidation type="decimal" operator="greaterThanOrEqual" allowBlank="1" showInputMessage="1" showErrorMessage="1" errorTitle="Greška" error="Nije dozvoljen unos negativnih brojeva." prompt="Potrebno je unijeti izračunati broj zaposlenih._x000a_Broj ne treba množiti sa 100!" sqref="K143:L144" xr:uid="{0711A089-2F6F-42E6-982A-468211E2C271}">
      <formula1>0</formula1>
    </dataValidation>
    <dataValidation type="decimal" operator="greaterThanOrEqual" allowBlank="1" showInputMessage="1" showErrorMessage="1" errorTitle="Greška" error="Unose se vrijednosti u konvertibilnim markama, bez decimalnih mjesta. Nije dozvoljen unos negativnih brojeva." sqref="K142:L142" xr:uid="{167BC485-5384-461D-B5A1-6B3901190ED5}">
      <formula1>0</formula1>
    </dataValidation>
    <dataValidation type="whole" operator="greaterThanOrEqual" allowBlank="1" showInputMessage="1" showErrorMessage="1" error="Unesite broj napomene!" sqref="J21:J144" xr:uid="{B3C7047A-27C7-4EC3-AE46-5E8AD8EDC50A}">
      <formula1>0</formula1>
    </dataValidation>
  </dataValidations>
  <pageMargins left="0.25" right="0.25" top="0.75" bottom="0.75" header="0.3" footer="0.3"/>
  <pageSetup paperSize="9" orientation="landscape" r:id="rId1"/>
  <headerFooter alignWithMargins="0">
    <oddFooter>&amp;R&amp;"Tahoma,Regular"Strana &amp;P od &amp;N</oddFooter>
  </headerFooter>
  <rowBreaks count="1" manualBreakCount="1">
    <brk id="71"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Navigacija">
              <controlPr defaultSize="0" print="0" autoFill="0" autoPict="0">
                <anchor moveWithCells="1" sizeWithCells="1">
                  <from>
                    <xdr:col>1</xdr:col>
                    <xdr:colOff>12700</xdr:colOff>
                    <xdr:row>0</xdr:row>
                    <xdr:rowOff>50800</xdr:rowOff>
                  </from>
                  <to>
                    <xdr:col>13</xdr:col>
                    <xdr:colOff>0</xdr:colOff>
                    <xdr:row>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2b">
    <tabColor rgb="FFB2B2B2"/>
  </sheetPr>
  <dimension ref="A1:XFC61"/>
  <sheetViews>
    <sheetView showGridLines="0" showRowColHeaders="0" zoomScaleNormal="100" zoomScaleSheetLayoutView="100" workbookViewId="0">
      <pane xSplit="12" ySplit="4" topLeftCell="M5" activePane="bottomRight" state="frozen"/>
      <selection activeCell="S33" sqref="S33"/>
      <selection pane="topRight" activeCell="S33" sqref="S33"/>
      <selection pane="bottomLeft" activeCell="S33" sqref="S33"/>
      <selection pane="bottomRight" activeCell="I33" sqref="I33"/>
    </sheetView>
  </sheetViews>
  <sheetFormatPr defaultColWidth="0" defaultRowHeight="13" zeroHeight="1" x14ac:dyDescent="0.3"/>
  <cols>
    <col min="1" max="1" width="5.59765625" style="8" customWidth="1"/>
    <col min="2" max="2" width="0.296875" style="8" hidden="1" customWidth="1"/>
    <col min="3" max="3" width="12.3984375" style="8" customWidth="1"/>
    <col min="4" max="8" width="15.8984375" style="8" customWidth="1"/>
    <col min="9" max="9" width="7.09765625" style="8" customWidth="1"/>
    <col min="10" max="10" width="14.296875" style="8" customWidth="1"/>
    <col min="11" max="12" width="15.59765625" style="8" customWidth="1"/>
    <col min="13" max="13" width="0.3984375" style="8" customWidth="1"/>
    <col min="14" max="14" width="5.69921875" style="8" hidden="1" customWidth="1"/>
    <col min="15" max="15" width="11.3984375" style="8" hidden="1" customWidth="1"/>
    <col min="16" max="16383" width="0" style="8" hidden="1"/>
    <col min="16384" max="16384" width="9" style="8" hidden="1" customWidth="1"/>
  </cols>
  <sheetData>
    <row r="1" spans="2:12" ht="12.75" customHeight="1" x14ac:dyDescent="0.3">
      <c r="C1" s="18"/>
      <c r="D1" s="18"/>
      <c r="E1" s="18"/>
      <c r="F1" s="18"/>
      <c r="G1" s="18"/>
      <c r="H1" s="18"/>
      <c r="I1" s="18"/>
      <c r="J1" s="18"/>
      <c r="K1" s="18"/>
    </row>
    <row r="2" spans="2:12" ht="12.75" customHeight="1" x14ac:dyDescent="0.3">
      <c r="C2" s="18"/>
      <c r="D2" s="18"/>
      <c r="E2" s="18"/>
      <c r="F2" s="18"/>
      <c r="G2" s="18"/>
      <c r="H2" s="18"/>
      <c r="I2" s="18"/>
      <c r="J2" s="18"/>
      <c r="K2" s="18"/>
    </row>
    <row r="3" spans="2:12" ht="12.75" customHeight="1" x14ac:dyDescent="0.3">
      <c r="C3" s="18"/>
      <c r="D3" s="18"/>
      <c r="E3" s="18"/>
      <c r="F3" s="18"/>
      <c r="G3" s="18"/>
      <c r="H3" s="18"/>
      <c r="I3" s="18"/>
      <c r="J3" s="18"/>
      <c r="K3" s="18"/>
    </row>
    <row r="4" spans="2:12" ht="12.75" customHeight="1" x14ac:dyDescent="0.3">
      <c r="C4" s="138"/>
      <c r="D4" s="138"/>
      <c r="E4" s="138"/>
      <c r="F4" s="138"/>
      <c r="G4" s="138"/>
      <c r="H4" s="138"/>
      <c r="I4" s="138"/>
      <c r="J4" s="138"/>
      <c r="K4" s="138"/>
    </row>
    <row r="5" spans="2:12" ht="12.75" customHeight="1" x14ac:dyDescent="0.3">
      <c r="B5" s="15"/>
      <c r="C5" s="637" t="str">
        <f>Zaglavlje_Naziv_preduzeca</f>
        <v xml:space="preserve">Naziv privrednog društva, zadruge, drugog pravnog lica ili preduzetnika: </v>
      </c>
      <c r="D5" s="637"/>
      <c r="E5" s="637"/>
      <c r="L5" s="392" t="str">
        <f>Podatak_MB</f>
        <v>01040103</v>
      </c>
    </row>
    <row r="6" spans="2:12" ht="12.75" customHeight="1" x14ac:dyDescent="0.3">
      <c r="B6" s="15"/>
      <c r="C6" s="637"/>
      <c r="D6" s="637"/>
      <c r="E6" s="637"/>
      <c r="F6" s="9"/>
      <c r="L6" s="421" t="str">
        <f>Zaglavlje_MB</f>
        <v>Matični broj</v>
      </c>
    </row>
    <row r="7" spans="2:12" ht="12.75" customHeight="1" x14ac:dyDescent="0.3">
      <c r="B7" s="15"/>
      <c r="C7" s="736" t="str">
        <f>Podatak_Naziv_preduzeca</f>
        <v>Čistoća AD Banja Luka</v>
      </c>
      <c r="D7" s="736"/>
      <c r="E7" s="736"/>
      <c r="F7" s="736"/>
      <c r="L7" s="392" t="str">
        <f>Podatak_Sifra_djelatnosti</f>
        <v>38.11</v>
      </c>
    </row>
    <row r="8" spans="2:12" ht="12.75" customHeight="1" x14ac:dyDescent="0.3">
      <c r="B8" s="15"/>
      <c r="C8" s="125" t="str">
        <f>Zaglavlje_Sjediste</f>
        <v>Sjedište:</v>
      </c>
      <c r="D8" s="738" t="str">
        <f>Podatak_Sjediste</f>
        <v>Braće Podgornika 2 Banja Luka</v>
      </c>
      <c r="E8" s="738"/>
      <c r="F8" s="738"/>
      <c r="L8" s="421" t="str">
        <f>Zaglavlje_Sifra_djelatnosti</f>
        <v>Šifra djelatnosti</v>
      </c>
    </row>
    <row r="9" spans="2:12" ht="12.75" customHeight="1" x14ac:dyDescent="0.3">
      <c r="B9" s="15"/>
      <c r="C9" s="656" t="str">
        <f>Zaglavlje_Ziro_racun</f>
        <v>Račun kod ovlašćene organizacije za platni promet:</v>
      </c>
      <c r="D9" s="656"/>
      <c r="E9" s="656"/>
      <c r="F9" s="244"/>
      <c r="L9" s="392" t="str">
        <f>Podatak_JIB</f>
        <v>4400849160004</v>
      </c>
    </row>
    <row r="10" spans="2:12" ht="12.75" customHeight="1" x14ac:dyDescent="0.3">
      <c r="B10" s="15"/>
      <c r="C10" s="737" t="str">
        <f>Podatak_Ziro_racun_1</f>
        <v>555-007-00011375-82</v>
      </c>
      <c r="D10" s="737"/>
      <c r="E10" s="737"/>
      <c r="F10" s="737"/>
      <c r="K10" s="735" t="str">
        <f>Zaglavlje_JIB</f>
        <v>JIB</v>
      </c>
      <c r="L10" s="735"/>
    </row>
    <row r="11" spans="2:12" ht="12.75" customHeight="1" x14ac:dyDescent="0.3">
      <c r="B11" s="15"/>
      <c r="C11" s="737" t="str">
        <f>Podatak_Ziro_racun_2</f>
        <v>194-106-28988001-34</v>
      </c>
      <c r="D11" s="737"/>
      <c r="E11" s="737"/>
      <c r="F11" s="737"/>
    </row>
    <row r="12" spans="2:12" ht="12.75" customHeight="1" x14ac:dyDescent="0.3">
      <c r="B12" s="15"/>
      <c r="C12" s="722" t="str">
        <f>Podatak_Ziro_racun_3</f>
        <v>562-100-80000948-45</v>
      </c>
      <c r="D12" s="722"/>
      <c r="E12" s="722"/>
      <c r="F12" s="722"/>
    </row>
    <row r="13" spans="2:12" ht="12.75" customHeight="1" x14ac:dyDescent="0.3">
      <c r="B13" s="15"/>
      <c r="C13" s="722" t="str">
        <f>Podatak_Ziro_racun_4</f>
        <v>551-790-22198545-77</v>
      </c>
      <c r="D13" s="722"/>
      <c r="E13" s="722"/>
      <c r="F13" s="722"/>
      <c r="G13" s="18"/>
      <c r="H13" s="18"/>
      <c r="I13" s="18"/>
      <c r="J13"/>
      <c r="K13"/>
    </row>
    <row r="14" spans="2:12" ht="15.75" customHeight="1" x14ac:dyDescent="0.3">
      <c r="B14" s="15"/>
      <c r="C14" s="615" t="str">
        <f>IF( Id_Konsolidovani, Nazivi_bilansa_Konsolidovani_naziv &amp; LOWER( Nazivi_bilansa_BUb), Nazivi_bilansa_BUb)</f>
        <v>Izvještaj</v>
      </c>
      <c r="D14" s="615"/>
      <c r="E14" s="615"/>
      <c r="F14" s="615"/>
      <c r="G14" s="615"/>
      <c r="H14" s="615"/>
      <c r="I14" s="615"/>
      <c r="J14" s="615"/>
      <c r="K14" s="615"/>
      <c r="L14" s="615"/>
    </row>
    <row r="15" spans="2:12" ht="14" x14ac:dyDescent="0.3">
      <c r="B15" s="15"/>
      <c r="C15" s="725" t="str">
        <f>Nazivi_bilansa_BUb1</f>
        <v>o ostalom rezultatu u periodu</v>
      </c>
      <c r="D15" s="725"/>
      <c r="E15" s="725"/>
      <c r="F15" s="725"/>
      <c r="G15" s="725"/>
      <c r="H15" s="725"/>
      <c r="I15" s="725"/>
      <c r="J15" s="725"/>
      <c r="K15" s="725"/>
      <c r="L15" s="725"/>
    </row>
    <row r="16" spans="2:12" ht="12.75" customHeight="1" x14ac:dyDescent="0.3">
      <c r="B16" s="15"/>
      <c r="C16" s="653" t="str">
        <f>Datumi_Datum_BU</f>
        <v>za period od 01.01. do 30.06.2026. godine</v>
      </c>
      <c r="D16" s="653"/>
      <c r="E16" s="653"/>
      <c r="F16" s="653"/>
      <c r="G16" s="653"/>
      <c r="H16" s="653"/>
      <c r="I16" s="653"/>
      <c r="J16" s="653"/>
      <c r="K16" s="653"/>
      <c r="L16" s="653"/>
    </row>
    <row r="17" spans="2:16" ht="12.75" customHeight="1" x14ac:dyDescent="0.3">
      <c r="B17" s="15"/>
      <c r="C17" s="41"/>
      <c r="D17" s="41"/>
      <c r="E17" s="41"/>
      <c r="F17" s="41"/>
      <c r="G17" s="41"/>
      <c r="H17" s="41"/>
      <c r="I17" s="41"/>
      <c r="J17" s="41"/>
      <c r="L17" s="21" t="str">
        <f>Tabele_zaglavlje_Valuta</f>
        <v>- u konvertibilnim markama -</v>
      </c>
    </row>
    <row r="18" spans="2:16" ht="12.75" customHeight="1" x14ac:dyDescent="0.3">
      <c r="B18" s="15"/>
      <c r="C18" s="729" t="str">
        <f>Tabele_zaglavlje_Grupa_racuna</f>
        <v>Grupa računa, račun</v>
      </c>
      <c r="D18" s="731" t="str">
        <f>Tabele_zaglavlje_Pozicija</f>
        <v>POZICIJA</v>
      </c>
      <c r="E18" s="731"/>
      <c r="F18" s="731"/>
      <c r="G18" s="731"/>
      <c r="H18" s="731"/>
      <c r="I18" s="726" t="str">
        <f>Tabele_zaglavlje_Oznaka_aop</f>
        <v>Oznaka za AOP</v>
      </c>
      <c r="J18" s="726" t="str">
        <f>Tabele_zaglavlje_Napomena_aop</f>
        <v>Napomena</v>
      </c>
      <c r="K18" s="720" t="str">
        <f>Tabele_zaglavlje_Iznos</f>
        <v>Iznos</v>
      </c>
      <c r="L18" s="728"/>
    </row>
    <row r="19" spans="2:16" ht="25.5" customHeight="1" x14ac:dyDescent="0.3">
      <c r="B19" s="15"/>
      <c r="C19" s="730"/>
      <c r="D19" s="732"/>
      <c r="E19" s="732"/>
      <c r="F19" s="732"/>
      <c r="G19" s="732"/>
      <c r="H19" s="732"/>
      <c r="I19" s="727"/>
      <c r="J19" s="727"/>
      <c r="K19" s="42" t="str">
        <f>Tabele_zaglavlje_Tekuca_godina</f>
        <v>Tekuća godina</v>
      </c>
      <c r="L19" s="43" t="str">
        <f>Tabele_zaglavlje_Prethodna_godina</f>
        <v>Prethodna godina</v>
      </c>
      <c r="P19" s="134" t="s">
        <v>490</v>
      </c>
    </row>
    <row r="20" spans="2:16" ht="12.75" customHeight="1" x14ac:dyDescent="0.3">
      <c r="B20" s="12" t="s">
        <v>123</v>
      </c>
      <c r="C20" s="69">
        <v>1</v>
      </c>
      <c r="D20" s="733">
        <v>2</v>
      </c>
      <c r="E20" s="733"/>
      <c r="F20" s="733"/>
      <c r="G20" s="733"/>
      <c r="H20" s="733"/>
      <c r="I20" s="70">
        <v>3</v>
      </c>
      <c r="J20" s="70">
        <v>4</v>
      </c>
      <c r="K20" s="70">
        <v>5</v>
      </c>
      <c r="L20" s="409">
        <v>6</v>
      </c>
    </row>
    <row r="21" spans="2:16" ht="12.75" customHeight="1" x14ac:dyDescent="0.3">
      <c r="B21" s="15">
        <v>263</v>
      </c>
      <c r="C21" s="72">
        <f>VLOOKUP( $B21, T_Aop[], 5, 1)</f>
        <v>0</v>
      </c>
      <c r="D21" s="734" t="str">
        <f>VLOOKUP( $B21, T_Aop[], 6, 1)</f>
        <v>A  NETO DOBIT ILI NETO GUBITAK PERIODA</v>
      </c>
      <c r="E21" s="734"/>
      <c r="F21" s="734"/>
      <c r="G21" s="734"/>
      <c r="H21" s="734"/>
      <c r="I21" s="504">
        <f>VLOOKUP( $B21, T_Aop[], 4, 1)</f>
        <v>400</v>
      </c>
      <c r="J21" s="512"/>
      <c r="K21" s="517">
        <f>'02a'!K136-'02a'!K137</f>
        <v>1067913</v>
      </c>
      <c r="L21" s="518">
        <f>'02a'!L136-'02a'!L137</f>
        <v>2185227</v>
      </c>
      <c r="P21" s="27"/>
    </row>
    <row r="22" spans="2:16" ht="27" customHeight="1" x14ac:dyDescent="0.3">
      <c r="B22" s="15">
        <v>264</v>
      </c>
      <c r="C22" s="66">
        <f>VLOOKUP( $B22, T_Aop[], 5, 1)</f>
        <v>0</v>
      </c>
      <c r="D22" s="723" t="str">
        <f>VLOOKUP( $B22, T_Aop[], 6, 1)</f>
        <v xml:space="preserve">    1. Stavke koje mogu biti reklasifikovane u bilans uspjeha (±402+403±404±405±406±407)</v>
      </c>
      <c r="E22" s="723"/>
      <c r="F22" s="723"/>
      <c r="G22" s="723"/>
      <c r="H22" s="723"/>
      <c r="I22" s="63">
        <f>VLOOKUP( $B22, T_Aop[], 4, 1)</f>
        <v>401</v>
      </c>
      <c r="J22" s="513"/>
      <c r="K22" s="501">
        <f>SUBTOTAL( 9, K23:K26,K28)-SUBTOTAL( 9, K27)</f>
        <v>0</v>
      </c>
      <c r="L22" s="499">
        <f>SUBTOTAL( 9, L23:L26,L28)-SUBTOTAL( 9, L27)</f>
        <v>0</v>
      </c>
      <c r="P22" s="27"/>
    </row>
    <row r="23" spans="2:16" ht="29.25" customHeight="1" x14ac:dyDescent="0.3">
      <c r="B23" s="15">
        <v>265</v>
      </c>
      <c r="C23" s="58" t="str">
        <f>VLOOKUP( $B23, T_Aop[], 5, 1)</f>
        <v>Promjena na 332 i 333</v>
      </c>
      <c r="D23" s="724" t="str">
        <f>VLOOKUP( $B23, T_Aop[], 6, 1)</f>
        <v xml:space="preserve">      1.1 Povećanje/(smanjenje) fer vrijednosti dužničkih instrumenata po fer vrijednosti kroz ostali ukupan rezultat</v>
      </c>
      <c r="E23" s="724"/>
      <c r="F23" s="724"/>
      <c r="G23" s="724"/>
      <c r="H23" s="724"/>
      <c r="I23" s="59">
        <f>VLOOKUP( $B23, T_Aop[], 4, 1)</f>
        <v>402</v>
      </c>
      <c r="J23" s="500"/>
      <c r="K23" s="515"/>
      <c r="L23" s="411"/>
      <c r="P23" s="133" t="s">
        <v>313</v>
      </c>
    </row>
    <row r="24" spans="2:16" ht="26" x14ac:dyDescent="0.3">
      <c r="B24" s="15">
        <v>266</v>
      </c>
      <c r="C24" s="66" t="str">
        <f>VLOOKUP( $B24, T_Aop[], 5, 1)</f>
        <v>Promjena na 331</v>
      </c>
      <c r="D24" s="723" t="str">
        <f>VLOOKUP( $B24, T_Aop[], 6, 1)</f>
        <v xml:space="preserve">      1.2 Efekti proistekli iz transakcija zaštite ("hedging")</v>
      </c>
      <c r="E24" s="723"/>
      <c r="F24" s="723"/>
      <c r="G24" s="723"/>
      <c r="H24" s="723"/>
      <c r="I24" s="63">
        <f>VLOOKUP( $B24, T_Aop[], 4, 1)</f>
        <v>403</v>
      </c>
      <c r="J24" s="513"/>
      <c r="K24" s="165"/>
      <c r="L24" s="166"/>
      <c r="P24"/>
    </row>
    <row r="25" spans="2:16" ht="23.65" customHeight="1" x14ac:dyDescent="0.3">
      <c r="B25" s="15">
        <v>267</v>
      </c>
      <c r="C25" s="58">
        <f>VLOOKUP( $B25, T_Aop[], 5, 1)</f>
        <v>0</v>
      </c>
      <c r="D25" s="724" t="str">
        <f>VLOOKUP( $B25, T_Aop[], 6, 1)</f>
        <v xml:space="preserve">      1.3 Udio u ostalom ukupnom rezultatu pridruženog društva i zajedničkog poduhvata primjenom metode udjela</v>
      </c>
      <c r="E25" s="724"/>
      <c r="F25" s="724"/>
      <c r="G25" s="724"/>
      <c r="H25" s="724"/>
      <c r="I25" s="59">
        <f>VLOOKUP( $B25, T_Aop[], 4, 1)</f>
        <v>404</v>
      </c>
      <c r="J25" s="500"/>
      <c r="K25" s="163"/>
      <c r="L25" s="164"/>
      <c r="P25"/>
    </row>
    <row r="26" spans="2:16" ht="25.5" customHeight="1" x14ac:dyDescent="0.3">
      <c r="B26" s="15">
        <v>268</v>
      </c>
      <c r="C26" s="66">
        <f>VLOOKUP( $B26, T_Aop[], 5, 1)</f>
        <v>0</v>
      </c>
      <c r="D26" s="723" t="str">
        <f>VLOOKUP( $B26, T_Aop[], 6, 1)</f>
        <v xml:space="preserve">      1.4 Dobici ili gubici po osnovu konverzije finansijskih izvještaja inostranog poslovanja</v>
      </c>
      <c r="E26" s="723"/>
      <c r="F26" s="723"/>
      <c r="G26" s="723"/>
      <c r="H26" s="723"/>
      <c r="I26" s="63">
        <f>VLOOKUP( $B26, T_Aop[], 4, 1)</f>
        <v>405</v>
      </c>
      <c r="J26" s="513"/>
      <c r="K26" s="412"/>
      <c r="L26" s="413"/>
      <c r="P26"/>
    </row>
    <row r="27" spans="2:16" ht="24.25" customHeight="1" x14ac:dyDescent="0.3">
      <c r="B27" s="15">
        <v>269</v>
      </c>
      <c r="C27" s="58" t="str">
        <f>VLOOKUP( $B27, T_Aop[], 5, 1)</f>
        <v>Promjena na 339, dio</v>
      </c>
      <c r="D27" s="724" t="str">
        <f>VLOOKUP( $B27, T_Aop[], 6, 1)</f>
        <v xml:space="preserve">      1.5 Ostale stavke koje mogu biti reklasifikovane u bilans uspjeha</v>
      </c>
      <c r="E27" s="724"/>
      <c r="F27" s="724"/>
      <c r="G27" s="724"/>
      <c r="H27" s="724"/>
      <c r="I27" s="59">
        <f>VLOOKUP( $B27, T_Aop[], 4, 1)</f>
        <v>406</v>
      </c>
      <c r="J27" s="500"/>
      <c r="K27" s="163"/>
      <c r="L27" s="164"/>
      <c r="P27"/>
    </row>
    <row r="28" spans="2:16" ht="12.75" customHeight="1" x14ac:dyDescent="0.3">
      <c r="B28" s="15">
        <v>270</v>
      </c>
      <c r="C28" s="66">
        <f>VLOOKUP( $B28, T_Aop[], 5, 1)</f>
        <v>0</v>
      </c>
      <c r="D28" s="723" t="str">
        <f>VLOOKUP( $B28, T_Aop[], 6, 1)</f>
        <v xml:space="preserve">      1.6  Odloženi porez na dobit koji se odnosi na ove stavke </v>
      </c>
      <c r="E28" s="723"/>
      <c r="F28" s="723"/>
      <c r="G28" s="723"/>
      <c r="H28" s="723"/>
      <c r="I28" s="63">
        <f>VLOOKUP( $B28, T_Aop[], 4, 1)</f>
        <v>407</v>
      </c>
      <c r="J28" s="513"/>
      <c r="K28" s="165"/>
      <c r="L28" s="166"/>
      <c r="P28"/>
    </row>
    <row r="29" spans="2:16" ht="20.25" customHeight="1" x14ac:dyDescent="0.3">
      <c r="B29" s="15">
        <v>271</v>
      </c>
      <c r="C29" s="58">
        <f>VLOOKUP( $B29, T_Aop[], 5, 1)</f>
        <v>0</v>
      </c>
      <c r="D29" s="739" t="str">
        <f>VLOOKUP( $B29, T_Aop[], 6, 1)</f>
        <v xml:space="preserve">    2.  Stavke koje neće biti reklasifikovane u bilans uspjeha (± 409± 410 ± 411 ± 412 ± 413 ± 414)</v>
      </c>
      <c r="E29" s="739"/>
      <c r="F29" s="739"/>
      <c r="G29" s="739"/>
      <c r="H29" s="739"/>
      <c r="I29" s="59">
        <f>VLOOKUP( $B29, T_Aop[], 4, 1)</f>
        <v>408</v>
      </c>
      <c r="J29" s="500"/>
      <c r="K29" s="451">
        <f>SUBTOTAL( 9, K30:K35)</f>
        <v>0</v>
      </c>
      <c r="L29" s="452">
        <f>SUBTOTAL( 9, L30:L35)</f>
        <v>0</v>
      </c>
      <c r="P29"/>
    </row>
    <row r="30" spans="2:16" ht="26" x14ac:dyDescent="0.3">
      <c r="B30" s="15">
        <v>272</v>
      </c>
      <c r="C30" s="66" t="str">
        <f>VLOOKUP( $B30, T_Aop[], 5, 1)</f>
        <v>Promjena na 330</v>
      </c>
      <c r="D30" s="723" t="str">
        <f>VLOOKUP( $B30, T_Aop[], 6, 1)</f>
        <v xml:space="preserve">      2.1 Revalorizacija nekretnina, postrojenja, opreme i nematerijalne imovine</v>
      </c>
      <c r="E30" s="723"/>
      <c r="F30" s="723"/>
      <c r="G30" s="723"/>
      <c r="H30" s="723"/>
      <c r="I30" s="63">
        <f>VLOOKUP( $B30, T_Aop[], 4, 1)</f>
        <v>409</v>
      </c>
      <c r="J30" s="513"/>
      <c r="K30" s="412"/>
      <c r="L30" s="413"/>
      <c r="P30"/>
    </row>
    <row r="31" spans="2:16" ht="26" x14ac:dyDescent="0.3">
      <c r="B31" s="15">
        <v>273</v>
      </c>
      <c r="C31" s="58" t="str">
        <f>VLOOKUP( $B31, T_Aop[], 5, 1)</f>
        <v>Promjena na 332 i 333</v>
      </c>
      <c r="D31" s="724" t="str">
        <f>VLOOKUP( $B31, T_Aop[], 6, 1)</f>
        <v xml:space="preserve">      2.2  Povećanje/(smanjenje) fer vrijednosti vlasničkih instrumenata po fer vrijednosti kroz ostali ukupan rezultat</v>
      </c>
      <c r="E31" s="724"/>
      <c r="F31" s="724"/>
      <c r="G31" s="724"/>
      <c r="H31" s="724"/>
      <c r="I31" s="59">
        <f>VLOOKUP( $B31, T_Aop[], 4, 1)</f>
        <v>410</v>
      </c>
      <c r="J31" s="500"/>
      <c r="K31" s="410"/>
      <c r="L31" s="411"/>
      <c r="P31"/>
    </row>
    <row r="32" spans="2:16" ht="23.65" customHeight="1" x14ac:dyDescent="0.3">
      <c r="B32" s="15">
        <v>274</v>
      </c>
      <c r="C32" s="66" t="str">
        <f>VLOOKUP( $B32, T_Aop[], 5, 1)</f>
        <v>Promjena na 339, dio</v>
      </c>
      <c r="D32" s="723" t="str">
        <f>VLOOKUP( $B32, T_Aop[], 6, 1)</f>
        <v xml:space="preserve">      2.3  Aktuarski dobici/(gubici) od planova definisanih primanja</v>
      </c>
      <c r="E32" s="723"/>
      <c r="F32" s="723"/>
      <c r="G32" s="723"/>
      <c r="H32" s="723"/>
      <c r="I32" s="63">
        <f>VLOOKUP( $B32, T_Aop[], 4, 1)</f>
        <v>411</v>
      </c>
      <c r="J32" s="513"/>
      <c r="K32" s="516"/>
      <c r="L32" s="573"/>
      <c r="P32"/>
    </row>
    <row r="33" spans="2:16" ht="24.25" customHeight="1" x14ac:dyDescent="0.3">
      <c r="B33" s="15">
        <v>275</v>
      </c>
      <c r="C33" s="58">
        <f>VLOOKUP( $B33, T_Aop[], 5, 1)</f>
        <v>0</v>
      </c>
      <c r="D33" s="724" t="str">
        <f>VLOOKUP( $B33, T_Aop[], 6, 1)</f>
        <v xml:space="preserve">      2.4 Udio u ostalom ukupnom rezultatu pridruženog društva i zajedničkog poduhvata primjenom metode udjela</v>
      </c>
      <c r="E33" s="724"/>
      <c r="F33" s="724"/>
      <c r="G33" s="724"/>
      <c r="H33" s="724"/>
      <c r="I33" s="59">
        <f>VLOOKUP( $B33, T_Aop[], 4, 1)</f>
        <v>412</v>
      </c>
      <c r="J33" s="500"/>
      <c r="K33" s="410"/>
      <c r="L33" s="411"/>
      <c r="P33"/>
    </row>
    <row r="34" spans="2:16" ht="25.5" customHeight="1" x14ac:dyDescent="0.3">
      <c r="B34" s="15">
        <v>276</v>
      </c>
      <c r="C34" s="66" t="str">
        <f>VLOOKUP( $B34, T_Aop[], 5, 1)</f>
        <v>Promjena na 339, dio</v>
      </c>
      <c r="D34" s="723" t="str">
        <f>VLOOKUP( $B34, T_Aop[], 6, 1)</f>
        <v xml:space="preserve">      2.5 Ostale stavke koje neće biti reklasifikovane u bilans uspjeha</v>
      </c>
      <c r="E34" s="723"/>
      <c r="F34" s="723"/>
      <c r="G34" s="723"/>
      <c r="H34" s="723"/>
      <c r="I34" s="63">
        <f>VLOOKUP( $B34, T_Aop[], 4, 1)</f>
        <v>413</v>
      </c>
      <c r="J34" s="513"/>
      <c r="K34" s="412"/>
      <c r="L34" s="413"/>
      <c r="P34"/>
    </row>
    <row r="35" spans="2:16" ht="12.75" customHeight="1" x14ac:dyDescent="0.3">
      <c r="B35" s="15">
        <v>277</v>
      </c>
      <c r="C35" s="58">
        <f>VLOOKUP( $B35, T_Aop[], 5, 1)</f>
        <v>0</v>
      </c>
      <c r="D35" s="724" t="str">
        <f>VLOOKUP( $B35, T_Aop[], 6, 1)</f>
        <v xml:space="preserve">      2.6 Odloženi porez na dobit koji se odnosi na ove stavke</v>
      </c>
      <c r="E35" s="724"/>
      <c r="F35" s="724"/>
      <c r="G35" s="724"/>
      <c r="H35" s="724"/>
      <c r="I35" s="59">
        <f>VLOOKUP( $B35, T_Aop[], 4, 1)</f>
        <v>414</v>
      </c>
      <c r="J35" s="500"/>
      <c r="K35" s="163"/>
      <c r="L35" s="164"/>
      <c r="P35"/>
    </row>
    <row r="36" spans="2:16" ht="12.75" customHeight="1" x14ac:dyDescent="0.3">
      <c r="B36" s="15">
        <v>278</v>
      </c>
      <c r="C36" s="66">
        <f>VLOOKUP( $B36, T_Aop[], 5, 1)</f>
        <v>0</v>
      </c>
      <c r="D36" s="743" t="str">
        <f>VLOOKUP( $B36, T_Aop[], 6, 1)</f>
        <v xml:space="preserve">  B. OSTALA DOBIT/GUBITAK U PERIODU (± 401 ± 408)</v>
      </c>
      <c r="E36" s="743"/>
      <c r="F36" s="743"/>
      <c r="G36" s="743"/>
      <c r="H36" s="743"/>
      <c r="I36" s="179">
        <f>VLOOKUP( $B36, T_Aop[], 4, 1)</f>
        <v>415</v>
      </c>
      <c r="J36" s="513"/>
      <c r="K36" s="73">
        <f>SUBTOTAL( 9, K23:K26,K28)-SUBTOTAL( 9, K27)+ SUBTOTAL( 9, K29:K35)</f>
        <v>0</v>
      </c>
      <c r="L36" s="74">
        <f>SUBTOTAL( 9, L23:L26,L28)-SUBTOTAL( 9, L27)+ SUBTOTAL( 9, L29:L35)</f>
        <v>0</v>
      </c>
      <c r="P36"/>
    </row>
    <row r="37" spans="2:16" ht="16.5" customHeight="1" x14ac:dyDescent="0.3">
      <c r="B37" s="15">
        <v>279</v>
      </c>
      <c r="C37" s="58">
        <f>VLOOKUP( $B37, T_Aop[], 5, 1)</f>
        <v>0</v>
      </c>
      <c r="D37" s="742" t="str">
        <f>VLOOKUP( $B37, T_Aop[], 6, 1)</f>
        <v/>
      </c>
      <c r="E37" s="742"/>
      <c r="F37" s="742"/>
      <c r="G37" s="742"/>
      <c r="H37" s="742"/>
      <c r="I37" s="59">
        <f>VLOOKUP( $B37, T_Aop[], 4, 1)</f>
        <v>0</v>
      </c>
      <c r="J37" s="500"/>
      <c r="K37" s="163"/>
      <c r="L37" s="164"/>
      <c r="P37"/>
    </row>
    <row r="38" spans="2:16" ht="16.5" customHeight="1" x14ac:dyDescent="0.3">
      <c r="B38" s="15">
        <v>280</v>
      </c>
      <c r="C38" s="66">
        <f>VLOOKUP( $B38, T_Aop[], 5, 1)</f>
        <v>0</v>
      </c>
      <c r="D38" s="743" t="str">
        <f>VLOOKUP( $B38, T_Aop[], 6, 1)</f>
        <v xml:space="preserve"> V. UKUPNA DOBIT / (GUBITAK) (400± 415)</v>
      </c>
      <c r="E38" s="743"/>
      <c r="F38" s="743"/>
      <c r="G38" s="743"/>
      <c r="H38" s="743"/>
      <c r="I38" s="179">
        <f>VLOOKUP( $B38, T_Aop[], 4, 1)</f>
        <v>416</v>
      </c>
      <c r="J38" s="513"/>
      <c r="K38" s="73">
        <f>SUBTOTAL( 9, K22:K26,K28,K21)-SUBTOTAL( 9, K27)+ SUBTOTAL( 9, K29:K35)</f>
        <v>1067913</v>
      </c>
      <c r="L38" s="74">
        <f>SUBTOTAL( 9, L22:L26,L28,L21)-SUBTOTAL( 9, L27)+ SUBTOTAL( 9, L29:L35)</f>
        <v>2185227</v>
      </c>
      <c r="P38" s="27"/>
    </row>
    <row r="39" spans="2:16" ht="12" customHeight="1" x14ac:dyDescent="0.3">
      <c r="B39" s="15">
        <v>281</v>
      </c>
      <c r="C39" s="58">
        <f>VLOOKUP( $B39, T_Aop[], 5, 1)</f>
        <v>0</v>
      </c>
      <c r="D39" s="742" t="str">
        <f>VLOOKUP( $B39, T_Aop[], 6, 1)</f>
        <v xml:space="preserve"> </v>
      </c>
      <c r="E39" s="742"/>
      <c r="F39" s="742"/>
      <c r="G39" s="742"/>
      <c r="H39" s="742"/>
      <c r="I39" s="59">
        <f>VLOOKUP( $B39, T_Aop[], 4, 1)</f>
        <v>0</v>
      </c>
      <c r="J39" s="500"/>
      <c r="K39" s="163"/>
      <c r="L39" s="164"/>
      <c r="P39" s="27"/>
    </row>
    <row r="40" spans="2:16" ht="17.25" customHeight="1" x14ac:dyDescent="0.3">
      <c r="B40" s="15">
        <v>282</v>
      </c>
      <c r="C40" s="66"/>
      <c r="D40" s="723" t="str">
        <f>VLOOKUP( $B40, T_Aop[], 6, 1)</f>
        <v>Dio ukupne dobiti/gubitka koji pripada većinskim vlasnicima</v>
      </c>
      <c r="E40" s="723"/>
      <c r="F40" s="723"/>
      <c r="G40" s="723"/>
      <c r="H40" s="723"/>
      <c r="I40" s="63">
        <f>VLOOKUP( $B40, T_Aop[], 4, 1)</f>
        <v>417</v>
      </c>
      <c r="J40" s="513"/>
      <c r="K40" s="412"/>
      <c r="L40" s="413"/>
      <c r="P40" s="27"/>
    </row>
    <row r="41" spans="2:16" ht="17.25" customHeight="1" x14ac:dyDescent="0.3">
      <c r="B41" s="15">
        <v>283</v>
      </c>
      <c r="C41" s="191">
        <f>VLOOKUP( $B41, T_Aop[], 5, 1)</f>
        <v>0</v>
      </c>
      <c r="D41" s="741" t="str">
        <f>VLOOKUP( $B41, T_Aop[], 6, 1)</f>
        <v>Dio ukupne dobiti/gubitka koji pripada manjinskim vlasnicima</v>
      </c>
      <c r="E41" s="741"/>
      <c r="F41" s="741"/>
      <c r="G41" s="741"/>
      <c r="H41" s="741"/>
      <c r="I41" s="186">
        <f>VLOOKUP( $B41, T_Aop[], 4, 1)</f>
        <v>418</v>
      </c>
      <c r="J41" s="514"/>
      <c r="K41" s="507"/>
      <c r="L41" s="508"/>
      <c r="P41" s="27"/>
    </row>
    <row r="42" spans="2:16" ht="12.75" customHeight="1" x14ac:dyDescent="0.3">
      <c r="C42" s="37"/>
      <c r="D42" s="40"/>
      <c r="E42" s="40"/>
      <c r="F42" s="40"/>
      <c r="G42" s="40"/>
      <c r="H42" s="40"/>
      <c r="I42" s="233"/>
      <c r="J42" s="37"/>
      <c r="K42" s="37"/>
    </row>
    <row r="43" spans="2:16" ht="15.25" customHeight="1" x14ac:dyDescent="0.3">
      <c r="C43" s="180" t="str">
        <f>Podnozje_U</f>
        <v>U:</v>
      </c>
      <c r="D43" s="419" t="str">
        <f>Podatak_U</f>
        <v>Banja Luci</v>
      </c>
      <c r="E43"/>
      <c r="F43" s="1" t="str">
        <f>Podnozje_Lice_sa_licencom</f>
        <v>Lice sa licencom:</v>
      </c>
      <c r="G43" s="1" t="str">
        <f>Podatak_Lice_sa_licencom</f>
        <v>Ljupko Miletić</v>
      </c>
      <c r="I43" s="37" t="str">
        <f>Podnozje_MP</f>
        <v>(M.P.)</v>
      </c>
      <c r="K43" s="1" t="str">
        <f>Podnozje_Direktor</f>
        <v>Lice ovlašćeno za zastupanje:</v>
      </c>
    </row>
    <row r="44" spans="2:16" ht="17.25" customHeight="1" x14ac:dyDescent="0.3">
      <c r="C44" s="28"/>
      <c r="D44" s="127"/>
      <c r="E44"/>
      <c r="F44" s="39" t="str">
        <f>Podnozje_Broj_licence</f>
        <v>Broj licence:</v>
      </c>
      <c r="G44" s="39" t="str">
        <f>Podatak_Broj_Licence</f>
        <v>SR-1057/26</v>
      </c>
      <c r="H44" s="510"/>
      <c r="I44"/>
      <c r="K44" s="510" t="str">
        <f>Podatak_Direktor</f>
        <v>Aleksandar Bajić</v>
      </c>
    </row>
    <row r="45" spans="2:16" ht="12.75" customHeight="1" x14ac:dyDescent="0.3">
      <c r="C45" s="180" t="str">
        <f>Podnozje_Dana</f>
        <v>Dana:</v>
      </c>
      <c r="D45" s="418" t="str">
        <f>Podatak_Dana</f>
        <v>31.07.2026.</v>
      </c>
      <c r="E45"/>
      <c r="F45" s="740"/>
      <c r="G45" s="740"/>
      <c r="J45" s="526"/>
      <c r="K45" s="420"/>
      <c r="L45" s="527"/>
    </row>
    <row r="46" spans="2:16" ht="12.75" customHeight="1" x14ac:dyDescent="0.3">
      <c r="C46" s="180"/>
      <c r="D46" s="520"/>
      <c r="E46"/>
      <c r="F46" s="84"/>
      <c r="G46" s="84"/>
      <c r="J46" s="526"/>
      <c r="K46" s="526"/>
    </row>
    <row r="47" spans="2:16" ht="12.75" hidden="1" customHeight="1" x14ac:dyDescent="0.3">
      <c r="F47" s="40"/>
      <c r="G47" s="40"/>
      <c r="H47" s="40"/>
      <c r="I47" s="9"/>
      <c r="J47" s="37"/>
      <c r="K47" s="37"/>
    </row>
    <row r="48" spans="2:16" ht="12.75" hidden="1" customHeight="1" x14ac:dyDescent="0.3"/>
    <row r="61" x14ac:dyDescent="0.3"/>
  </sheetData>
  <sheetProtection algorithmName="SHA-512" hashValue="9CdSC0Ot7QkU0+v25irefKWhERpI/ZuvrZ5Ma06qIMMA/CMHIzeOW2ytc9BctxDtOVlqHDe6O02tvYoAiw1i7g==" saltValue="G+vdGkCMGIbqol8HdJdsvA==" spinCount="100000" sheet="1" objects="1" scenarios="1"/>
  <protectedRanges>
    <protectedRange sqref="J21:J41" name="Range1"/>
  </protectedRanges>
  <mergeCells count="40">
    <mergeCell ref="D31:H31"/>
    <mergeCell ref="D27:H27"/>
    <mergeCell ref="D29:H29"/>
    <mergeCell ref="D28:H28"/>
    <mergeCell ref="F45:G45"/>
    <mergeCell ref="D41:H41"/>
    <mergeCell ref="D32:H32"/>
    <mergeCell ref="D33:H33"/>
    <mergeCell ref="D34:H34"/>
    <mergeCell ref="D35:H35"/>
    <mergeCell ref="D37:H37"/>
    <mergeCell ref="D40:H40"/>
    <mergeCell ref="D38:H38"/>
    <mergeCell ref="D39:H39"/>
    <mergeCell ref="D36:H36"/>
    <mergeCell ref="C5:E6"/>
    <mergeCell ref="C9:E9"/>
    <mergeCell ref="D23:H23"/>
    <mergeCell ref="C18:C19"/>
    <mergeCell ref="D18:H19"/>
    <mergeCell ref="D20:H20"/>
    <mergeCell ref="D21:H21"/>
    <mergeCell ref="D22:H22"/>
    <mergeCell ref="C14:L14"/>
    <mergeCell ref="K10:L10"/>
    <mergeCell ref="C7:F7"/>
    <mergeCell ref="C10:F10"/>
    <mergeCell ref="C11:F11"/>
    <mergeCell ref="C12:F12"/>
    <mergeCell ref="C13:F13"/>
    <mergeCell ref="D8:F8"/>
    <mergeCell ref="D24:H24"/>
    <mergeCell ref="D25:H25"/>
    <mergeCell ref="D26:H26"/>
    <mergeCell ref="D30:H30"/>
    <mergeCell ref="C15:L15"/>
    <mergeCell ref="C16:L16"/>
    <mergeCell ref="I18:I19"/>
    <mergeCell ref="J18:J19"/>
    <mergeCell ref="K18:L18"/>
  </mergeCells>
  <dataValidations xWindow="1273" yWindow="782" count="6">
    <dataValidation type="whole" operator="greaterThanOrEqual" allowBlank="1" showInputMessage="1" showErrorMessage="1" errorTitle="Greška" error="Unose se vrijednosti u konvertibilnim markama, bez decimalnih mjesta. Nije dozvoljen unos negativnih brojeva." sqref="K35:L35 K27:L28 K24:L25" xr:uid="{00000000-0002-0000-0400-000000000000}">
      <formula1>0</formula1>
    </dataValidation>
    <dataValidation operator="greaterThanOrEqual" allowBlank="1" showInputMessage="1" prompt="U ovo polje se ne unosi iznos._x000a_Polje se automatski računa u skladu sa formulom." sqref="K36:L36 K29:L29 K22:L22 K38:L38" xr:uid="{00000000-0002-0000-0400-000001000000}"/>
    <dataValidation type="whole" operator="notEqual" allowBlank="1" showInputMessage="1" showErrorMessage="1" errorTitle="Greška" error="Unose se vrijednosti u konvertibilnim markama, bez decimalnih mjesta." sqref="K36:L36" xr:uid="{00000000-0002-0000-0400-000002000000}">
      <formula1>0</formula1>
    </dataValidation>
    <dataValidation operator="notBetween" showInputMessage="1" showErrorMessage="1" errorTitle="Greška" error="Unose se vrijednosti u konvertibilnim markama, bez decimalnih mjesta. Nije dozvoljen unos negativnih brojeva." sqref="K23:L23 K26:L26 K30:L31 K33:L34 K41:L41" xr:uid="{9CE72731-19A9-4DAF-82BD-E5E034034694}"/>
    <dataValidation operator="greaterThanOrEqual" allowBlank="1" showInputMessage="1" showErrorMessage="1" errorTitle="Greška" error="Unose se vrijednosti u konvertibilnim markama, bez decimalnih mjesta. Nije dozvoljen unos negativnih brojeva." sqref="K21 L21" xr:uid="{5AF66033-69F1-4456-BE7F-1BF04980021A}"/>
    <dataValidation type="whole" operator="greaterThanOrEqual" allowBlank="1" showInputMessage="1" showErrorMessage="1" error="Unesite broj napomene!" sqref="J21:J41" xr:uid="{2955F41C-A978-44AC-8320-C254D3D0AAF7}">
      <formula1>0</formula1>
    </dataValidation>
  </dataValidations>
  <pageMargins left="0.39370078740157483" right="0.39370078740157483" top="0.39370078740157483" bottom="0.39370078740157483" header="0.31496062992125984" footer="0.23622047244094491"/>
  <pageSetup paperSize="9" orientation="landscape" r:id="rId1"/>
  <headerFooter alignWithMargins="0">
    <oddFooter>&amp;R&amp;"Tahoma,Regular"Strana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73" r:id="rId4" name="Navigacija">
              <controlPr defaultSize="0" print="0" autoFill="0" autoPict="0">
                <anchor moveWithCells="1" sizeWithCells="1">
                  <from>
                    <xdr:col>1</xdr:col>
                    <xdr:colOff>12700</xdr:colOff>
                    <xdr:row>0</xdr:row>
                    <xdr:rowOff>50800</xdr:rowOff>
                  </from>
                  <to>
                    <xdr:col>13</xdr:col>
                    <xdr:colOff>0</xdr:colOff>
                    <xdr:row>4</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03">
    <tabColor rgb="FFB2B2B2"/>
  </sheetPr>
  <dimension ref="A1:IU100"/>
  <sheetViews>
    <sheetView showGridLines="0" showRowColHeaders="0" zoomScaleNormal="100" zoomScaleSheetLayoutView="100" workbookViewId="0">
      <pane ySplit="4" topLeftCell="A14" activePane="bottomLeft" state="frozen"/>
      <selection activeCell="K31" sqref="K31"/>
      <selection pane="bottomLeft" activeCell="D41" sqref="D41:H41"/>
    </sheetView>
  </sheetViews>
  <sheetFormatPr defaultColWidth="0" defaultRowHeight="13" zeroHeight="1" x14ac:dyDescent="0.3"/>
  <cols>
    <col min="1" max="1" width="4.3984375" style="8" customWidth="1"/>
    <col min="2" max="2" width="4.3984375" style="8" hidden="1" customWidth="1"/>
    <col min="3" max="3" width="7.3984375" style="8" customWidth="1"/>
    <col min="4" max="7" width="18" style="8" customWidth="1"/>
    <col min="8" max="8" width="19.59765625" style="8" customWidth="1"/>
    <col min="9" max="9" width="7.09765625" style="8" customWidth="1"/>
    <col min="10" max="10" width="14" style="8" customWidth="1"/>
    <col min="11" max="12" width="16.8984375" style="8" customWidth="1"/>
    <col min="13" max="13" width="2.59765625" style="8" customWidth="1"/>
    <col min="14" max="14" width="0.296875" style="8" customWidth="1"/>
    <col min="15" max="15" width="11.3984375" style="8" hidden="1" customWidth="1"/>
    <col min="16" max="255" width="9.09765625" style="8" hidden="1" customWidth="1"/>
    <col min="256" max="16384" width="31.8984375" style="8" hidden="1"/>
  </cols>
  <sheetData>
    <row r="1" spans="3:12" x14ac:dyDescent="0.3">
      <c r="C1" s="18"/>
      <c r="D1" s="18"/>
      <c r="E1" s="18"/>
      <c r="F1" s="18"/>
      <c r="G1" s="18"/>
      <c r="H1" s="18"/>
      <c r="I1" s="18"/>
      <c r="J1" s="18"/>
      <c r="K1" s="18"/>
    </row>
    <row r="2" spans="3:12" x14ac:dyDescent="0.3">
      <c r="C2" s="18"/>
      <c r="D2" s="18"/>
      <c r="E2" s="18"/>
      <c r="F2" s="18"/>
      <c r="G2" s="18"/>
      <c r="H2" s="18"/>
      <c r="I2" s="18"/>
      <c r="J2" s="18"/>
      <c r="K2" s="18"/>
    </row>
    <row r="3" spans="3:12" x14ac:dyDescent="0.3">
      <c r="C3" s="18"/>
      <c r="D3" s="18"/>
      <c r="E3" s="18"/>
      <c r="F3" s="18"/>
      <c r="G3" s="18"/>
      <c r="H3" s="18"/>
      <c r="I3" s="18"/>
      <c r="J3" s="18"/>
      <c r="K3" s="18"/>
    </row>
    <row r="4" spans="3:12" x14ac:dyDescent="0.3">
      <c r="C4" s="18"/>
      <c r="D4" s="18"/>
      <c r="E4" s="18"/>
      <c r="F4" s="18"/>
      <c r="G4" s="18"/>
      <c r="H4" s="18"/>
      <c r="I4" s="18"/>
      <c r="J4" s="18"/>
      <c r="K4" s="18"/>
    </row>
    <row r="5" spans="3:12" ht="12.75" customHeight="1" x14ac:dyDescent="0.3">
      <c r="C5" s="637" t="str">
        <f>Zaglavlje_Naziv_preduzeca</f>
        <v xml:space="preserve">Naziv privrednog društva, zadruge, drugog pravnog lica ili preduzetnika: </v>
      </c>
      <c r="D5" s="637"/>
      <c r="E5" s="637"/>
      <c r="K5" s="9"/>
      <c r="L5" s="392" t="str">
        <f>Podatak_MB</f>
        <v>01040103</v>
      </c>
    </row>
    <row r="6" spans="3:12" ht="10.5" customHeight="1" x14ac:dyDescent="0.3">
      <c r="C6" s="637"/>
      <c r="D6" s="637"/>
      <c r="E6" s="637"/>
      <c r="F6" s="9"/>
      <c r="K6" s="9"/>
      <c r="L6" s="421" t="str">
        <f>Zaglavlje_MB</f>
        <v>Matični broj</v>
      </c>
    </row>
    <row r="7" spans="3:12" ht="9" customHeight="1" x14ac:dyDescent="0.3">
      <c r="C7" s="744" t="str">
        <f>Podatak_Naziv_preduzeca</f>
        <v>Čistoća AD Banja Luka</v>
      </c>
      <c r="D7" s="744"/>
      <c r="E7" s="744"/>
      <c r="F7" s="744"/>
      <c r="K7" s="9"/>
      <c r="L7" s="392" t="str">
        <f>Podatak_Sifra_djelatnosti</f>
        <v>38.11</v>
      </c>
    </row>
    <row r="8" spans="3:12" x14ac:dyDescent="0.3">
      <c r="C8" s="125" t="str">
        <f>Zaglavlje_Sjediste</f>
        <v>Sjedište:</v>
      </c>
      <c r="D8" s="745" t="str">
        <f>Podatak_Sjediste</f>
        <v>Braće Podgornika 2 Banja Luka</v>
      </c>
      <c r="E8" s="745"/>
      <c r="F8" s="745"/>
      <c r="K8" s="9"/>
      <c r="L8" s="421" t="str">
        <f>Zaglavlje_Sifra_djelatnosti</f>
        <v>Šifra djelatnosti</v>
      </c>
    </row>
    <row r="9" spans="3:12" ht="12.75" customHeight="1" x14ac:dyDescent="0.3">
      <c r="C9" s="656" t="str">
        <f>Zaglavlje_Ziro_racun</f>
        <v>Račun kod ovlašćene organizacije za platni promet:</v>
      </c>
      <c r="D9" s="656"/>
      <c r="E9" s="656"/>
      <c r="F9" s="17"/>
      <c r="K9" s="9"/>
      <c r="L9" s="392" t="str">
        <f>Podatak_JIB</f>
        <v>4400849160004</v>
      </c>
    </row>
    <row r="10" spans="3:12" x14ac:dyDescent="0.3">
      <c r="C10" s="737" t="str">
        <f>Podatak_Ziro_racun_1</f>
        <v>555-007-00011375-82</v>
      </c>
      <c r="D10" s="737"/>
      <c r="E10" s="737"/>
      <c r="F10" s="737"/>
      <c r="K10" s="682" t="str">
        <f>Zaglavlje_JIB</f>
        <v>JIB</v>
      </c>
      <c r="L10" s="682"/>
    </row>
    <row r="11" spans="3:12" ht="10.5" customHeight="1" x14ac:dyDescent="0.3">
      <c r="C11" s="722" t="str">
        <f>Podatak_Ziro_racun_2</f>
        <v>194-106-28988001-34</v>
      </c>
      <c r="D11" s="722"/>
      <c r="E11" s="722"/>
      <c r="F11" s="722"/>
    </row>
    <row r="12" spans="3:12" ht="10.5" customHeight="1" x14ac:dyDescent="0.3">
      <c r="C12" s="737" t="str">
        <f>Podatak_Ziro_racun_3</f>
        <v>562-100-80000948-45</v>
      </c>
      <c r="D12" s="737"/>
      <c r="E12" s="737"/>
      <c r="F12" s="737"/>
    </row>
    <row r="13" spans="3:12" ht="9.75" customHeight="1" x14ac:dyDescent="0.3">
      <c r="C13" s="722" t="str">
        <f>Podatak_Ziro_racun_4</f>
        <v>551-790-22198545-77</v>
      </c>
      <c r="D13" s="722"/>
      <c r="E13" s="722"/>
      <c r="F13" s="722"/>
      <c r="G13" s="18"/>
      <c r="H13" s="18"/>
      <c r="I13" s="18"/>
      <c r="J13"/>
      <c r="K13"/>
    </row>
    <row r="14" spans="3:12" ht="15.5" x14ac:dyDescent="0.3">
      <c r="C14" s="748" t="str">
        <f>IF( Id_Konsolidovani, Nazivi_bilansa_Konsolidovani_naziv &amp; LOWER( Nazivi_bilansa_BTG), Nazivi_bilansa_BTG)</f>
        <v>Bilans tokova gotovine</v>
      </c>
      <c r="D14" s="748"/>
      <c r="E14" s="748"/>
      <c r="F14" s="748"/>
      <c r="G14" s="748"/>
      <c r="H14" s="748"/>
      <c r="I14" s="748"/>
      <c r="J14" s="748"/>
      <c r="K14" s="748"/>
      <c r="L14" s="748"/>
    </row>
    <row r="15" spans="3:12" x14ac:dyDescent="0.3">
      <c r="C15" s="749" t="str">
        <f>Nazivi_bilansa_BTG1</f>
        <v>(Izvještaj o tokovima gotovine)</v>
      </c>
      <c r="D15" s="749"/>
      <c r="E15" s="749"/>
      <c r="F15" s="749"/>
      <c r="G15" s="749"/>
      <c r="H15" s="749"/>
      <c r="I15" s="749"/>
      <c r="J15" s="749"/>
      <c r="K15" s="749"/>
      <c r="L15" s="749"/>
    </row>
    <row r="16" spans="3:12" x14ac:dyDescent="0.3">
      <c r="C16" s="749" t="str">
        <f>Datumi_Datum_BTG</f>
        <v>za period od 01.01. do 30.06.2026. godine</v>
      </c>
      <c r="D16" s="749"/>
      <c r="E16" s="749"/>
      <c r="F16" s="749"/>
      <c r="G16" s="749"/>
      <c r="H16" s="749"/>
      <c r="I16" s="749"/>
      <c r="J16" s="749"/>
      <c r="K16" s="749"/>
      <c r="L16" s="749"/>
    </row>
    <row r="17" spans="2:16" ht="11.25" customHeight="1" x14ac:dyDescent="0.3">
      <c r="D17" s="18"/>
      <c r="E17" s="18"/>
      <c r="F17" s="18"/>
      <c r="G17" s="18"/>
      <c r="H17" s="18"/>
      <c r="I17" s="18"/>
      <c r="J17" s="18"/>
      <c r="K17" s="46" t="str">
        <f>Tabele_zaglavlje_Valuta</f>
        <v>- u konvertibilnim markama -</v>
      </c>
    </row>
    <row r="18" spans="2:16" x14ac:dyDescent="0.3">
      <c r="C18" s="729" t="str">
        <f>Tabele_zaglavlje_Redni_broj</f>
        <v>Redni broj</v>
      </c>
      <c r="D18" s="731" t="str">
        <f>Tabele_zaglavlje_Pozicija</f>
        <v>POZICIJA</v>
      </c>
      <c r="E18" s="731"/>
      <c r="F18" s="731"/>
      <c r="G18" s="731"/>
      <c r="H18" s="731"/>
      <c r="I18" s="726" t="str">
        <f>Tabele_zaglavlje_Oznaka_aop</f>
        <v>Oznaka za AOP</v>
      </c>
      <c r="J18" s="726" t="str">
        <f>Tabele_zaglavlje_Napomena_aop</f>
        <v>Napomena</v>
      </c>
      <c r="K18" s="720" t="str">
        <f>Tabele_zaglavlje_Iznos</f>
        <v>Iznos</v>
      </c>
      <c r="L18" s="721"/>
    </row>
    <row r="19" spans="2:16" ht="26" x14ac:dyDescent="0.3">
      <c r="C19" s="730"/>
      <c r="D19" s="732"/>
      <c r="E19" s="732"/>
      <c r="F19" s="732"/>
      <c r="G19" s="732"/>
      <c r="H19" s="732"/>
      <c r="I19" s="727"/>
      <c r="J19" s="727"/>
      <c r="K19" s="42" t="str">
        <f>Tabele_zaglavlje_Tekuca_godina</f>
        <v>Tekuća godina</v>
      </c>
      <c r="L19" s="43" t="str">
        <f>Tabele_zaglavlje_Prethodna_godina</f>
        <v>Prethodna godina</v>
      </c>
      <c r="P19" s="134" t="s">
        <v>490</v>
      </c>
    </row>
    <row r="20" spans="2:16" x14ac:dyDescent="0.3">
      <c r="B20" s="44" t="s">
        <v>123</v>
      </c>
      <c r="C20" s="69">
        <v>1</v>
      </c>
      <c r="D20" s="733">
        <v>2</v>
      </c>
      <c r="E20" s="733"/>
      <c r="F20" s="733"/>
      <c r="G20" s="733"/>
      <c r="H20" s="733"/>
      <c r="I20" s="70">
        <v>3</v>
      </c>
      <c r="J20" s="70"/>
      <c r="K20" s="465">
        <v>4</v>
      </c>
      <c r="L20" s="466">
        <v>5</v>
      </c>
    </row>
    <row r="21" spans="2:16" ht="24.75" customHeight="1" x14ac:dyDescent="0.3">
      <c r="B21" s="47">
        <v>284</v>
      </c>
      <c r="C21" s="71" t="str">
        <f>VLOOKUP( $B21, T_Aop[], 5, 1)</f>
        <v>A_x000D_
I</v>
      </c>
      <c r="D21" s="754" t="str">
        <f>VLOOKUP( $B21, T_Aop[], 6, 1)</f>
        <v>TOKOVI GOTOVINE IZ POSLOVNIH AKTIVNOSTI 
Prilivi gotovine iz poslovne aktivnosti (502 do 505)</v>
      </c>
      <c r="E21" s="754"/>
      <c r="F21" s="754"/>
      <c r="G21" s="754"/>
      <c r="H21" s="754"/>
      <c r="I21" s="185">
        <f>VLOOKUP( $B21, T_Aop[], 4, 1)</f>
        <v>501</v>
      </c>
      <c r="J21" s="570">
        <v>30</v>
      </c>
      <c r="K21" s="406">
        <f>SUBTOTAL( 9, K22:K25)</f>
        <v>8965753</v>
      </c>
      <c r="L21" s="407">
        <f>SUBTOTAL( 9, L22:L25)</f>
        <v>9445223</v>
      </c>
      <c r="P21" s="27"/>
    </row>
    <row r="22" spans="2:16" ht="12" customHeight="1" x14ac:dyDescent="0.3">
      <c r="B22" s="47">
        <v>285</v>
      </c>
      <c r="C22" s="58" t="str">
        <f>VLOOKUP( $B22, T_Aop[], 5, 1)</f>
        <v>1</v>
      </c>
      <c r="D22" s="724" t="str">
        <f>VLOOKUP( $B22, T_Aop[], 6, 1)</f>
        <v xml:space="preserve">    Prilivi od kupaca i primljeni avansi u zemlji</v>
      </c>
      <c r="E22" s="724"/>
      <c r="F22" s="724"/>
      <c r="G22" s="724"/>
      <c r="H22" s="724"/>
      <c r="I22" s="59">
        <f>VLOOKUP( $B22, T_Aop[], 4, 1)</f>
        <v>502</v>
      </c>
      <c r="J22" s="571"/>
      <c r="K22" s="155">
        <v>8770027</v>
      </c>
      <c r="L22" s="156">
        <v>7596547</v>
      </c>
      <c r="P22" s="27"/>
    </row>
    <row r="23" spans="2:16" ht="12" customHeight="1" x14ac:dyDescent="0.3">
      <c r="B23" s="47">
        <v>286</v>
      </c>
      <c r="C23" s="62" t="str">
        <f>VLOOKUP( $B23, T_Aop[], 5, 1)</f>
        <v>2</v>
      </c>
      <c r="D23" s="747" t="str">
        <f>VLOOKUP( $B23, T_Aop[], 6, 1)</f>
        <v xml:space="preserve">    Prilivi od kupaca i primljeni avansi u inostranstvu</v>
      </c>
      <c r="E23" s="747"/>
      <c r="F23" s="747"/>
      <c r="G23" s="747"/>
      <c r="H23" s="747"/>
      <c r="I23" s="75">
        <f>VLOOKUP( $B23, T_Aop[], 4, 1)</f>
        <v>503</v>
      </c>
      <c r="J23" s="572"/>
      <c r="K23" s="157"/>
      <c r="L23" s="158"/>
      <c r="P23" s="27"/>
    </row>
    <row r="24" spans="2:16" ht="12" customHeight="1" x14ac:dyDescent="0.3">
      <c r="B24" s="47">
        <v>287</v>
      </c>
      <c r="C24" s="58" t="str">
        <f>VLOOKUP( $B24, T_Aop[], 5, 1)</f>
        <v>3</v>
      </c>
      <c r="D24" s="724" t="str">
        <f>VLOOKUP( $B24, T_Aop[], 6, 1)</f>
        <v xml:space="preserve">    Prilivi od premija, subvencija, dotacija i sl.</v>
      </c>
      <c r="E24" s="724"/>
      <c r="F24" s="724"/>
      <c r="G24" s="724"/>
      <c r="H24" s="724"/>
      <c r="I24" s="59">
        <f>VLOOKUP( $B24, T_Aop[], 4, 1)</f>
        <v>504</v>
      </c>
      <c r="J24" s="571"/>
      <c r="K24" s="155"/>
      <c r="L24" s="156">
        <v>94782</v>
      </c>
      <c r="P24" s="27"/>
    </row>
    <row r="25" spans="2:16" ht="12" customHeight="1" x14ac:dyDescent="0.3">
      <c r="B25" s="47">
        <v>288</v>
      </c>
      <c r="C25" s="62" t="str">
        <f>VLOOKUP( $B25, T_Aop[], 5, 1)</f>
        <v>4</v>
      </c>
      <c r="D25" s="747" t="str">
        <f>VLOOKUP( $B25, T_Aop[], 6, 1)</f>
        <v xml:space="preserve">    Ostali prilivi iz poslovnih aktivnosti</v>
      </c>
      <c r="E25" s="747"/>
      <c r="F25" s="747"/>
      <c r="G25" s="747"/>
      <c r="H25" s="747"/>
      <c r="I25" s="75">
        <f>VLOOKUP( $B25, T_Aop[], 4, 1)</f>
        <v>505</v>
      </c>
      <c r="J25" s="572"/>
      <c r="K25" s="159">
        <v>195726</v>
      </c>
      <c r="L25" s="160">
        <v>1753894</v>
      </c>
      <c r="P25" s="27"/>
    </row>
    <row r="26" spans="2:16" ht="12" customHeight="1" x14ac:dyDescent="0.3">
      <c r="B26" s="47">
        <v>289</v>
      </c>
      <c r="C26" s="58" t="str">
        <f>VLOOKUP( $B26, T_Aop[], 5, 1)</f>
        <v>II</v>
      </c>
      <c r="D26" s="742" t="str">
        <f>VLOOKUP( $B26, T_Aop[], 6, 1)</f>
        <v xml:space="preserve">    Odlivi gotovine iz poslovnih aktivnosti (507 do 512)</v>
      </c>
      <c r="E26" s="742"/>
      <c r="F26" s="742"/>
      <c r="G26" s="742"/>
      <c r="H26" s="742"/>
      <c r="I26" s="178">
        <f>VLOOKUP( $B26, T_Aop[], 4, 1)</f>
        <v>506</v>
      </c>
      <c r="J26" s="571">
        <v>31</v>
      </c>
      <c r="K26" s="60">
        <f>SUBTOTAL( 9, K27:K32)</f>
        <v>8554512</v>
      </c>
      <c r="L26" s="61">
        <f>SUBTOTAL( 9, L27:L32)</f>
        <v>9149335</v>
      </c>
      <c r="P26" s="27"/>
    </row>
    <row r="27" spans="2:16" ht="12" customHeight="1" x14ac:dyDescent="0.3">
      <c r="B27" s="47">
        <v>290</v>
      </c>
      <c r="C27" s="62" t="str">
        <f>VLOOKUP( $B27, T_Aop[], 5, 1)</f>
        <v>1</v>
      </c>
      <c r="D27" s="747" t="str">
        <f>VLOOKUP( $B27, T_Aop[], 6, 1)</f>
        <v xml:space="preserve">    Odlivi po osnovu isplata dobavljačima i dati avansi u zemlji</v>
      </c>
      <c r="E27" s="747"/>
      <c r="F27" s="747"/>
      <c r="G27" s="747"/>
      <c r="H27" s="747"/>
      <c r="I27" s="75">
        <f>VLOOKUP( $B27, T_Aop[], 4, 1)</f>
        <v>507</v>
      </c>
      <c r="J27" s="572"/>
      <c r="K27" s="157">
        <v>4322981</v>
      </c>
      <c r="L27" s="158">
        <v>4857117</v>
      </c>
      <c r="P27" s="27"/>
    </row>
    <row r="28" spans="2:16" ht="12" customHeight="1" x14ac:dyDescent="0.3">
      <c r="B28" s="47">
        <v>291</v>
      </c>
      <c r="C28" s="58" t="str">
        <f>VLOOKUP( $B28, T_Aop[], 5, 1)</f>
        <v>2</v>
      </c>
      <c r="D28" s="724" t="str">
        <f>VLOOKUP( $B28, T_Aop[], 6, 1)</f>
        <v xml:space="preserve">    Odlivi po osnovu isplata dobavljačima i dati avansi u inostranstvu</v>
      </c>
      <c r="E28" s="724"/>
      <c r="F28" s="724"/>
      <c r="G28" s="724"/>
      <c r="H28" s="724"/>
      <c r="I28" s="59">
        <f>VLOOKUP( $B28, T_Aop[], 4, 1)</f>
        <v>508</v>
      </c>
      <c r="J28" s="571"/>
      <c r="K28" s="155">
        <v>33957</v>
      </c>
      <c r="L28" s="156">
        <v>20518</v>
      </c>
      <c r="P28" s="27"/>
    </row>
    <row r="29" spans="2:16" ht="12" customHeight="1" x14ac:dyDescent="0.3">
      <c r="B29" s="47">
        <v>292</v>
      </c>
      <c r="C29" s="62" t="str">
        <f>VLOOKUP( $B29, T_Aop[], 5, 1)</f>
        <v>3</v>
      </c>
      <c r="D29" s="747" t="str">
        <f>VLOOKUP( $B29, T_Aop[], 6, 1)</f>
        <v xml:space="preserve">    Odlivi po osnovu plaćenih kamata</v>
      </c>
      <c r="E29" s="747"/>
      <c r="F29" s="747"/>
      <c r="G29" s="747"/>
      <c r="H29" s="747"/>
      <c r="I29" s="75">
        <f>VLOOKUP( $B29, T_Aop[], 4, 1)</f>
        <v>509</v>
      </c>
      <c r="J29" s="572"/>
      <c r="K29" s="157">
        <v>20642</v>
      </c>
      <c r="L29" s="158">
        <v>24069</v>
      </c>
      <c r="P29" s="27"/>
    </row>
    <row r="30" spans="2:16" ht="12" customHeight="1" x14ac:dyDescent="0.3">
      <c r="B30" s="47">
        <v>293</v>
      </c>
      <c r="C30" s="58" t="str">
        <f>VLOOKUP( $B30, T_Aop[], 5, 1)</f>
        <v>4</v>
      </c>
      <c r="D30" s="724" t="str">
        <f>VLOOKUP( $B30, T_Aop[], 6, 1)</f>
        <v xml:space="preserve">    Odlivi po osnovu isplata plata, naknada plata i ostalih ličnih rashoda</v>
      </c>
      <c r="E30" s="724"/>
      <c r="F30" s="724"/>
      <c r="G30" s="724"/>
      <c r="H30" s="724"/>
      <c r="I30" s="59">
        <f>VLOOKUP( $B30, T_Aop[], 4, 1)</f>
        <v>510</v>
      </c>
      <c r="J30" s="571"/>
      <c r="K30" s="155">
        <v>2894302</v>
      </c>
      <c r="L30" s="156">
        <v>2720967</v>
      </c>
      <c r="P30" s="27"/>
    </row>
    <row r="31" spans="2:16" ht="12" customHeight="1" x14ac:dyDescent="0.3">
      <c r="B31" s="47">
        <v>294</v>
      </c>
      <c r="C31" s="62" t="str">
        <f>VLOOKUP( $B31, T_Aop[], 5, 1)</f>
        <v>5</v>
      </c>
      <c r="D31" s="747" t="str">
        <f>VLOOKUP( $B31, T_Aop[], 6, 1)</f>
        <v xml:space="preserve">    Odlivi po osnovu poreza na dobit</v>
      </c>
      <c r="E31" s="747"/>
      <c r="F31" s="747"/>
      <c r="G31" s="747"/>
      <c r="H31" s="747"/>
      <c r="I31" s="75">
        <f>VLOOKUP( $B31, T_Aop[], 4, 1)</f>
        <v>511</v>
      </c>
      <c r="J31" s="572"/>
      <c r="K31" s="157">
        <v>98103</v>
      </c>
      <c r="L31" s="158">
        <v>87915</v>
      </c>
      <c r="P31" s="27"/>
    </row>
    <row r="32" spans="2:16" ht="12" customHeight="1" x14ac:dyDescent="0.3">
      <c r="B32" s="47">
        <v>295</v>
      </c>
      <c r="C32" s="58" t="str">
        <f>VLOOKUP( $B32, T_Aop[], 5, 1)</f>
        <v>6</v>
      </c>
      <c r="D32" s="724" t="str">
        <f>VLOOKUP( $B32, T_Aop[], 6, 1)</f>
        <v xml:space="preserve">    Ostali odlivi iz poslovnih aktivnosti</v>
      </c>
      <c r="E32" s="724"/>
      <c r="F32" s="724"/>
      <c r="G32" s="724"/>
      <c r="H32" s="724"/>
      <c r="I32" s="59">
        <f>VLOOKUP( $B32, T_Aop[], 4, 1)</f>
        <v>512</v>
      </c>
      <c r="J32" s="571"/>
      <c r="K32" s="155">
        <v>1184527</v>
      </c>
      <c r="L32" s="156">
        <v>1438749</v>
      </c>
      <c r="P32" s="27"/>
    </row>
    <row r="33" spans="2:16" x14ac:dyDescent="0.3">
      <c r="B33" s="47">
        <v>296</v>
      </c>
      <c r="C33" s="62" t="str">
        <f>VLOOKUP( $B33, T_Aop[], 5, 1)</f>
        <v>III</v>
      </c>
      <c r="D33" s="746" t="str">
        <f>VLOOKUP( $B33, T_Aop[], 6, 1)</f>
        <v xml:space="preserve">  Neto priliv gotovine iz poslovnih aktivnosti (501 – 506)</v>
      </c>
      <c r="E33" s="746"/>
      <c r="F33" s="746"/>
      <c r="G33" s="746"/>
      <c r="H33" s="746"/>
      <c r="I33" s="189">
        <f>VLOOKUP( $B33, T_Aop[], 4, 1)</f>
        <v>513</v>
      </c>
      <c r="J33" s="572"/>
      <c r="K33" s="67">
        <f>IF( SUBTOTAL( 9, K21:K25) - SUBTOTAL( 9, K26:K32) &lt;= 0, 0, ABS( SUBTOTAL( 9, K21:K25) - SUBTOTAL( 9, K26:K32)) )</f>
        <v>411241</v>
      </c>
      <c r="L33" s="68">
        <f>IF( SUBTOTAL( 9, L21:L25) - SUBTOTAL( 9, L26:L32) &lt;= 0, 0, ABS( SUBTOTAL( 9, L21:L25) - SUBTOTAL( 9, L26:L32)) )</f>
        <v>295888</v>
      </c>
      <c r="P33" s="27"/>
    </row>
    <row r="34" spans="2:16" x14ac:dyDescent="0.3">
      <c r="B34" s="47">
        <v>297</v>
      </c>
      <c r="C34" s="58" t="str">
        <f>VLOOKUP( $B34, T_Aop[], 5, 1)</f>
        <v>IV</v>
      </c>
      <c r="D34" s="742" t="str">
        <f>VLOOKUP( $B34, T_Aop[], 6, 1)</f>
        <v xml:space="preserve">  Neto odliv gotovine iz poslovnih aktivnosti (506 – 501)</v>
      </c>
      <c r="E34" s="742"/>
      <c r="F34" s="742"/>
      <c r="G34" s="742"/>
      <c r="H34" s="742"/>
      <c r="I34" s="178">
        <f>VLOOKUP( $B34, T_Aop[], 4, 1)</f>
        <v>514</v>
      </c>
      <c r="J34" s="571"/>
      <c r="K34" s="60">
        <f>IF( SUBTOTAL( 9, K21:K25) - SUBTOTAL( 9, K26:K32) &gt;= 0, 0, ABS( SUBTOTAL( 9, K21:K25) - SUBTOTAL( 9, K26:K32)) )</f>
        <v>0</v>
      </c>
      <c r="L34" s="61">
        <f>IF( SUBTOTAL( 9, L21:L25) - SUBTOTAL( 9, L26:L32) &gt;= 0, 0, ABS( SUBTOTAL( 9, L21:L25) - SUBTOTAL( 9, L26:L32)) )</f>
        <v>0</v>
      </c>
      <c r="P34" s="27"/>
    </row>
    <row r="35" spans="2:16" ht="23.65" customHeight="1" x14ac:dyDescent="0.3">
      <c r="B35" s="47">
        <v>298</v>
      </c>
      <c r="C35" s="62" t="str">
        <f>VLOOKUP( $B35, T_Aop[], 5, 1)</f>
        <v>B_x000D_
I</v>
      </c>
      <c r="D35" s="746" t="str">
        <f>VLOOKUP( $B35, T_Aop[], 6, 1)</f>
        <v>TOKOVI GOTOVINE IZ AKTIVNOSTI INVESTIRANJA
Prilivi gotovine iz aktivnosti investiranja (516 do 530)</v>
      </c>
      <c r="E35" s="746"/>
      <c r="F35" s="746"/>
      <c r="G35" s="746"/>
      <c r="H35" s="746"/>
      <c r="I35" s="189">
        <f>VLOOKUP( $B35, T_Aop[], 4, 1)</f>
        <v>515</v>
      </c>
      <c r="J35" s="572">
        <v>32</v>
      </c>
      <c r="K35" s="67">
        <f>SUBTOTAL( 9, K36:K50)</f>
        <v>905784</v>
      </c>
      <c r="L35" s="68">
        <f>SUBTOTAL( 9, L36:L50)</f>
        <v>383782</v>
      </c>
      <c r="P35" s="27"/>
    </row>
    <row r="36" spans="2:16" ht="21" customHeight="1" x14ac:dyDescent="0.3">
      <c r="B36" s="47">
        <v>299</v>
      </c>
      <c r="C36" s="58" t="str">
        <f>VLOOKUP( $B36, T_Aop[], 5, 1)</f>
        <v>1</v>
      </c>
      <c r="D36" s="724" t="str">
        <f>VLOOKUP( $B36, T_Aop[], 6, 1)</f>
        <v xml:space="preserve">    Prilivi gotovine po osnovu prodaje akcija i udjela zavisnih i pridruženih društava i zajedničkih poduhvata</v>
      </c>
      <c r="E36" s="724"/>
      <c r="F36" s="724"/>
      <c r="G36" s="724"/>
      <c r="H36" s="724"/>
      <c r="I36" s="59">
        <f>VLOOKUP( $B36, T_Aop[], 4, 1)</f>
        <v>516</v>
      </c>
      <c r="J36" s="571"/>
      <c r="K36" s="155"/>
      <c r="L36" s="156"/>
      <c r="P36" s="27"/>
    </row>
    <row r="37" spans="2:16" ht="12" customHeight="1" x14ac:dyDescent="0.3">
      <c r="B37" s="47">
        <v>300</v>
      </c>
      <c r="C37" s="62" t="str">
        <f>VLOOKUP( $B37, T_Aop[], 5, 1)</f>
        <v>2</v>
      </c>
      <c r="D37" s="747" t="str">
        <f>VLOOKUP( $B37, T_Aop[], 6, 1)</f>
        <v xml:space="preserve">    Prilivi po osnovu prodaje nekretnina, postrojenja i opreme</v>
      </c>
      <c r="E37" s="747"/>
      <c r="F37" s="747"/>
      <c r="G37" s="747"/>
      <c r="H37" s="747"/>
      <c r="I37" s="75">
        <f>VLOOKUP( $B37, T_Aop[], 4, 1)</f>
        <v>517</v>
      </c>
      <c r="J37" s="572"/>
      <c r="K37" s="159"/>
      <c r="L37" s="160"/>
      <c r="P37" s="27"/>
    </row>
    <row r="38" spans="2:16" ht="12" customHeight="1" x14ac:dyDescent="0.3">
      <c r="B38" s="47">
        <v>301</v>
      </c>
      <c r="C38" s="58" t="str">
        <f>VLOOKUP( $B38, T_Aop[], 5, 1)</f>
        <v>3</v>
      </c>
      <c r="D38" s="724" t="str">
        <f>VLOOKUP( $B38, T_Aop[], 6, 1)</f>
        <v xml:space="preserve">    Prilivi po osnovu prodaje investicionih nekretnina</v>
      </c>
      <c r="E38" s="724"/>
      <c r="F38" s="724"/>
      <c r="G38" s="724"/>
      <c r="H38" s="724"/>
      <c r="I38" s="59">
        <f>VLOOKUP( $B38, T_Aop[], 4, 1)</f>
        <v>518</v>
      </c>
      <c r="J38" s="571"/>
      <c r="K38" s="155"/>
      <c r="L38" s="156"/>
      <c r="P38" s="133" t="s">
        <v>313</v>
      </c>
    </row>
    <row r="39" spans="2:16" ht="12" customHeight="1" x14ac:dyDescent="0.3">
      <c r="B39" s="47">
        <v>302</v>
      </c>
      <c r="C39" s="62" t="str">
        <f>VLOOKUP( $B39, T_Aop[], 5, 1)</f>
        <v>4</v>
      </c>
      <c r="D39" s="747" t="str">
        <f>VLOOKUP( $B39, T_Aop[], 6, 1)</f>
        <v xml:space="preserve">    Prilivi po osnovu prodaje bioloških sredstava</v>
      </c>
      <c r="E39" s="747"/>
      <c r="F39" s="747"/>
      <c r="G39" s="747"/>
      <c r="H39" s="747"/>
      <c r="I39" s="75">
        <f>VLOOKUP( $B39, T_Aop[], 4, 1)</f>
        <v>519</v>
      </c>
      <c r="J39" s="572"/>
      <c r="K39" s="159"/>
      <c r="L39" s="160"/>
      <c r="P39" s="27"/>
    </row>
    <row r="40" spans="2:16" ht="12" customHeight="1" x14ac:dyDescent="0.3">
      <c r="B40" s="47">
        <v>303</v>
      </c>
      <c r="C40" s="58" t="str">
        <f>VLOOKUP( $B40, T_Aop[], 5, 1)</f>
        <v>5</v>
      </c>
      <c r="D40" s="724" t="str">
        <f>VLOOKUP( $B40, T_Aop[], 6, 1)</f>
        <v xml:space="preserve">    Prilivi po osnovu prodaje nematerijalnih sredstava</v>
      </c>
      <c r="E40" s="724"/>
      <c r="F40" s="724"/>
      <c r="G40" s="724"/>
      <c r="H40" s="724"/>
      <c r="I40" s="59">
        <f>VLOOKUP( $B40, T_Aop[], 4, 1)</f>
        <v>520</v>
      </c>
      <c r="J40" s="571"/>
      <c r="K40" s="155"/>
      <c r="L40" s="156"/>
      <c r="P40" s="27"/>
    </row>
    <row r="41" spans="2:16" ht="12" customHeight="1" x14ac:dyDescent="0.3">
      <c r="B41" s="47">
        <v>304</v>
      </c>
      <c r="C41" s="62" t="str">
        <f>VLOOKUP( $B41, T_Aop[], 5, 1)</f>
        <v>6</v>
      </c>
      <c r="D41" s="747" t="str">
        <f>VLOOKUP( $B41, T_Aop[], 6, 1)</f>
        <v xml:space="preserve">    Prilivi po osnovu prodaje stalnih sredstava namijenjenih prodaji</v>
      </c>
      <c r="E41" s="747"/>
      <c r="F41" s="747"/>
      <c r="G41" s="747"/>
      <c r="H41" s="747"/>
      <c r="I41" s="75">
        <f>VLOOKUP( $B41, T_Aop[], 4, 1)</f>
        <v>521</v>
      </c>
      <c r="J41" s="572"/>
      <c r="K41" s="159"/>
      <c r="L41" s="160"/>
      <c r="P41" s="27"/>
    </row>
    <row r="42" spans="2:16" ht="12" customHeight="1" x14ac:dyDescent="0.3">
      <c r="B42" s="47">
        <v>305</v>
      </c>
      <c r="C42" s="58" t="str">
        <f>VLOOKUP( $B42, T_Aop[], 5, 1)</f>
        <v>7</v>
      </c>
      <c r="D42" s="724" t="str">
        <f>VLOOKUP( $B42, T_Aop[], 6, 1)</f>
        <v xml:space="preserve">    Prilivi od finansijskih sredstava po fer vrijednosti kroz ostali ukupni rezultat</v>
      </c>
      <c r="E42" s="724"/>
      <c r="F42" s="724"/>
      <c r="G42" s="724"/>
      <c r="H42" s="724"/>
      <c r="I42" s="59">
        <f>VLOOKUP( $B42, T_Aop[], 4, 1)</f>
        <v>522</v>
      </c>
      <c r="J42" s="571"/>
      <c r="K42" s="155"/>
      <c r="L42" s="156"/>
      <c r="P42" s="27"/>
    </row>
    <row r="43" spans="2:16" ht="12" customHeight="1" x14ac:dyDescent="0.3">
      <c r="B43" s="47">
        <v>306</v>
      </c>
      <c r="C43" s="62" t="str">
        <f>VLOOKUP( $B43, T_Aop[], 5, 1)</f>
        <v>8</v>
      </c>
      <c r="D43" s="747" t="str">
        <f>VLOOKUP( $B43, T_Aop[], 6, 1)</f>
        <v xml:space="preserve">    Prilivi od finansijskih sredstva po fer vrijednosti kroz bilans uspjeha</v>
      </c>
      <c r="E43" s="747"/>
      <c r="F43" s="747"/>
      <c r="G43" s="747"/>
      <c r="H43" s="747"/>
      <c r="I43" s="75">
        <f>VLOOKUP( $B43, T_Aop[], 4, 1)</f>
        <v>523</v>
      </c>
      <c r="J43" s="572"/>
      <c r="K43" s="159"/>
      <c r="L43" s="160"/>
      <c r="P43" s="27"/>
    </row>
    <row r="44" spans="2:16" ht="12" customHeight="1" x14ac:dyDescent="0.3">
      <c r="B44" s="47">
        <v>307</v>
      </c>
      <c r="C44" s="58" t="str">
        <f>VLOOKUP( $B44, T_Aop[], 5, 1)</f>
        <v>9</v>
      </c>
      <c r="D44" s="724" t="str">
        <f>VLOOKUP( $B44, T_Aop[], 6, 1)</f>
        <v xml:space="preserve">    Prilivi od ostalih finansijskih sredstava po amortizovanoj vrijednosti</v>
      </c>
      <c r="E44" s="724"/>
      <c r="F44" s="724"/>
      <c r="G44" s="724"/>
      <c r="H44" s="724"/>
      <c r="I44" s="59">
        <f>VLOOKUP( $B44, T_Aop[], 4, 1)</f>
        <v>524</v>
      </c>
      <c r="J44" s="571"/>
      <c r="K44" s="155">
        <v>901000</v>
      </c>
      <c r="L44" s="156"/>
      <c r="P44" s="27"/>
    </row>
    <row r="45" spans="2:16" ht="12" customHeight="1" x14ac:dyDescent="0.3">
      <c r="B45" s="47">
        <v>308</v>
      </c>
      <c r="C45" s="62" t="str">
        <f>VLOOKUP( $B45, T_Aop[], 5, 1)</f>
        <v>10</v>
      </c>
      <c r="D45" s="747" t="str">
        <f>VLOOKUP( $B45, T_Aop[], 6, 1)</f>
        <v xml:space="preserve">    Prilivi po osnovu lizinga (glavnica)</v>
      </c>
      <c r="E45" s="747"/>
      <c r="F45" s="747"/>
      <c r="G45" s="747"/>
      <c r="H45" s="747"/>
      <c r="I45" s="75">
        <f>VLOOKUP( $B45, T_Aop[], 4, 1)</f>
        <v>525</v>
      </c>
      <c r="J45" s="572"/>
      <c r="K45" s="159"/>
      <c r="L45" s="160"/>
      <c r="P45" s="133" t="s">
        <v>313</v>
      </c>
    </row>
    <row r="46" spans="2:16" ht="12" customHeight="1" x14ac:dyDescent="0.3">
      <c r="B46" s="47">
        <v>309</v>
      </c>
      <c r="C46" s="58" t="str">
        <f>VLOOKUP( $B46, T_Aop[], 5, 1)</f>
        <v>11</v>
      </c>
      <c r="D46" s="724" t="str">
        <f>VLOOKUP( $B46, T_Aop[], 6, 1)</f>
        <v xml:space="preserve">    Prilivi po osnovu lizinga (kamata)</v>
      </c>
      <c r="E46" s="724"/>
      <c r="F46" s="724"/>
      <c r="G46" s="724"/>
      <c r="H46" s="724"/>
      <c r="I46" s="59">
        <f>VLOOKUP( $B46, T_Aop[], 4, 1)</f>
        <v>526</v>
      </c>
      <c r="J46" s="571"/>
      <c r="K46" s="155"/>
      <c r="L46" s="156"/>
      <c r="P46" s="27"/>
    </row>
    <row r="47" spans="2:16" ht="12" customHeight="1" x14ac:dyDescent="0.3">
      <c r="B47" s="47">
        <v>310</v>
      </c>
      <c r="C47" s="62" t="str">
        <f>VLOOKUP( $B47, T_Aop[], 5, 1)</f>
        <v>12</v>
      </c>
      <c r="D47" s="747" t="str">
        <f>VLOOKUP( $B47, T_Aop[], 6, 1)</f>
        <v xml:space="preserve">    Prilivi po osnovu kamata</v>
      </c>
      <c r="E47" s="747"/>
      <c r="F47" s="747"/>
      <c r="G47" s="747"/>
      <c r="H47" s="747"/>
      <c r="I47" s="75">
        <f>VLOOKUP( $B47, T_Aop[], 4, 1)</f>
        <v>527</v>
      </c>
      <c r="J47" s="572"/>
      <c r="K47" s="159">
        <v>4784</v>
      </c>
      <c r="L47" s="160">
        <v>383782</v>
      </c>
      <c r="P47" s="27"/>
    </row>
    <row r="48" spans="2:16" ht="12" customHeight="1" x14ac:dyDescent="0.3">
      <c r="B48" s="47">
        <v>311</v>
      </c>
      <c r="C48" s="58" t="str">
        <f>VLOOKUP( $B48, T_Aop[], 5, 1)</f>
        <v>13</v>
      </c>
      <c r="D48" s="724" t="str">
        <f>VLOOKUP( $B48, T_Aop[], 6, 1)</f>
        <v xml:space="preserve">    Prilivi od dividendi i učešća u dobiti</v>
      </c>
      <c r="E48" s="724"/>
      <c r="F48" s="724"/>
      <c r="G48" s="724"/>
      <c r="H48" s="724"/>
      <c r="I48" s="59">
        <f>VLOOKUP( $B48, T_Aop[], 4, 1)</f>
        <v>528</v>
      </c>
      <c r="J48" s="571"/>
      <c r="K48" s="155"/>
      <c r="L48" s="156"/>
      <c r="P48" s="27"/>
    </row>
    <row r="49" spans="2:16" ht="12" customHeight="1" x14ac:dyDescent="0.3">
      <c r="B49" s="47">
        <v>312</v>
      </c>
      <c r="C49" s="62" t="str">
        <f>VLOOKUP( $B49, T_Aop[], 5, 1)</f>
        <v>14</v>
      </c>
      <c r="D49" s="747" t="str">
        <f>VLOOKUP( $B49, T_Aop[], 6, 1)</f>
        <v xml:space="preserve">    Prilivi po osnovu derivatnih finansijskih instrumenata</v>
      </c>
      <c r="E49" s="747"/>
      <c r="F49" s="747"/>
      <c r="G49" s="747"/>
      <c r="H49" s="747"/>
      <c r="I49" s="75">
        <f>VLOOKUP( $B49, T_Aop[], 4, 1)</f>
        <v>529</v>
      </c>
      <c r="J49" s="572"/>
      <c r="K49" s="159"/>
      <c r="L49" s="160"/>
      <c r="P49" s="27"/>
    </row>
    <row r="50" spans="2:16" ht="12" customHeight="1" x14ac:dyDescent="0.3">
      <c r="B50" s="47">
        <v>313</v>
      </c>
      <c r="C50" s="58" t="str">
        <f>VLOOKUP( $B50, T_Aop[], 5, 1)</f>
        <v>15</v>
      </c>
      <c r="D50" s="724" t="str">
        <f>VLOOKUP( $B50, T_Aop[], 6, 1)</f>
        <v xml:space="preserve">    Ostali prilivi iz aktivnosti investiranja</v>
      </c>
      <c r="E50" s="724"/>
      <c r="F50" s="724"/>
      <c r="G50" s="724"/>
      <c r="H50" s="724"/>
      <c r="I50" s="59">
        <f>VLOOKUP( $B50, T_Aop[], 4, 1)</f>
        <v>530</v>
      </c>
      <c r="J50" s="571"/>
      <c r="K50" s="155"/>
      <c r="L50" s="156"/>
      <c r="P50" s="27"/>
    </row>
    <row r="51" spans="2:16" ht="12" customHeight="1" x14ac:dyDescent="0.3">
      <c r="B51" s="47">
        <v>314</v>
      </c>
      <c r="C51" s="62" t="str">
        <f>VLOOKUP( $B51, T_Aop[], 5, 1)</f>
        <v>II</v>
      </c>
      <c r="D51" s="746" t="str">
        <f>VLOOKUP( $B51, T_Aop[], 6, 1)</f>
        <v xml:space="preserve">  Odlivi gotovine iz aktivnosti investiranja (532 do 541)</v>
      </c>
      <c r="E51" s="746"/>
      <c r="F51" s="746"/>
      <c r="G51" s="746"/>
      <c r="H51" s="746"/>
      <c r="I51" s="189">
        <f>VLOOKUP( $B51, T_Aop[], 4, 1)</f>
        <v>531</v>
      </c>
      <c r="J51" s="572">
        <v>32</v>
      </c>
      <c r="K51" s="64">
        <f>SUBTOTAL( 9, K52:K61)</f>
        <v>1814355</v>
      </c>
      <c r="L51" s="65">
        <f>SUBTOTAL( 9, L52:L61)</f>
        <v>142131</v>
      </c>
      <c r="P51" s="27"/>
    </row>
    <row r="52" spans="2:16" ht="23.65" customHeight="1" x14ac:dyDescent="0.3">
      <c r="B52" s="47">
        <v>315</v>
      </c>
      <c r="C52" s="58" t="str">
        <f>VLOOKUP( $B52, T_Aop[], 5, 1)</f>
        <v>1</v>
      </c>
      <c r="D52" s="724" t="str">
        <f>VLOOKUP( $B52, T_Aop[], 6, 1)</f>
        <v xml:space="preserve">    Odlivi gotovine po osnovu kupovine akcija i udjela zavisnih i pridruženih društava i zajedničkih poduhvata</v>
      </c>
      <c r="E52" s="724"/>
      <c r="F52" s="724"/>
      <c r="G52" s="724"/>
      <c r="H52" s="724"/>
      <c r="I52" s="59">
        <f>VLOOKUP( $B52, T_Aop[], 4, 1)</f>
        <v>532</v>
      </c>
      <c r="J52" s="571"/>
      <c r="K52" s="155"/>
      <c r="L52" s="156"/>
      <c r="P52" s="27"/>
    </row>
    <row r="53" spans="2:16" ht="12" customHeight="1" x14ac:dyDescent="0.3">
      <c r="B53" s="47">
        <v>316</v>
      </c>
      <c r="C53" s="62" t="str">
        <f>VLOOKUP( $B53, T_Aop[], 5, 1)</f>
        <v>2</v>
      </c>
      <c r="D53" s="747" t="str">
        <f>VLOOKUP( $B53, T_Aop[], 6, 1)</f>
        <v xml:space="preserve">    Odlivi po osnovu kupovine nekretnina, postrojenja i opreme</v>
      </c>
      <c r="E53" s="747"/>
      <c r="F53" s="747"/>
      <c r="G53" s="747"/>
      <c r="H53" s="747"/>
      <c r="I53" s="75">
        <f>VLOOKUP( $B53, T_Aop[], 4, 1)</f>
        <v>533</v>
      </c>
      <c r="J53" s="572"/>
      <c r="K53" s="159">
        <v>1238355</v>
      </c>
      <c r="L53" s="160">
        <v>142131</v>
      </c>
      <c r="P53" s="27"/>
    </row>
    <row r="54" spans="2:16" ht="12" customHeight="1" x14ac:dyDescent="0.3">
      <c r="B54" s="47">
        <v>317</v>
      </c>
      <c r="C54" s="58" t="str">
        <f>VLOOKUP( $B54, T_Aop[], 5, 1)</f>
        <v>3</v>
      </c>
      <c r="D54" s="724" t="str">
        <f>VLOOKUP( $B54, T_Aop[], 6, 1)</f>
        <v xml:space="preserve">    Odlivi po osnovu kupovine investicionih nekretnina</v>
      </c>
      <c r="E54" s="724"/>
      <c r="F54" s="724"/>
      <c r="G54" s="724"/>
      <c r="H54" s="724"/>
      <c r="I54" s="59">
        <f>VLOOKUP( $B54, T_Aop[], 4, 1)</f>
        <v>534</v>
      </c>
      <c r="J54" s="571"/>
      <c r="K54" s="155"/>
      <c r="L54" s="156"/>
      <c r="P54" s="27"/>
    </row>
    <row r="55" spans="2:16" ht="12" customHeight="1" x14ac:dyDescent="0.3">
      <c r="B55" s="47">
        <v>318</v>
      </c>
      <c r="C55" s="62" t="str">
        <f>VLOOKUP( $B55, T_Aop[], 5, 1)</f>
        <v>4</v>
      </c>
      <c r="D55" s="747" t="str">
        <f>VLOOKUP( $B55, T_Aop[], 6, 1)</f>
        <v xml:space="preserve">    Odlivi po osnovu kupovine bioloških sredstava</v>
      </c>
      <c r="E55" s="747"/>
      <c r="F55" s="747"/>
      <c r="G55" s="747"/>
      <c r="H55" s="747"/>
      <c r="I55" s="75">
        <f>VLOOKUP( $B55, T_Aop[], 4, 1)</f>
        <v>535</v>
      </c>
      <c r="J55" s="572"/>
      <c r="K55" s="159"/>
      <c r="L55" s="160"/>
      <c r="P55" s="27"/>
    </row>
    <row r="56" spans="2:16" ht="12" customHeight="1" x14ac:dyDescent="0.3">
      <c r="B56" s="47">
        <v>319</v>
      </c>
      <c r="C56" s="58" t="str">
        <f>VLOOKUP( $B56, T_Aop[], 5, 1)</f>
        <v>5</v>
      </c>
      <c r="D56" s="724" t="str">
        <f>VLOOKUP( $B56, T_Aop[], 6, 1)</f>
        <v xml:space="preserve">    Odlivi po osnovu kupovine nematerijalnih sredstava</v>
      </c>
      <c r="E56" s="724"/>
      <c r="F56" s="724"/>
      <c r="G56" s="724"/>
      <c r="H56" s="724"/>
      <c r="I56" s="59">
        <f>VLOOKUP( $B56, T_Aop[], 4, 1)</f>
        <v>536</v>
      </c>
      <c r="J56" s="571"/>
      <c r="K56" s="155"/>
      <c r="L56" s="156"/>
      <c r="P56" s="27"/>
    </row>
    <row r="57" spans="2:16" ht="12" customHeight="1" x14ac:dyDescent="0.3">
      <c r="B57" s="47">
        <v>320</v>
      </c>
      <c r="C57" s="62" t="str">
        <f>VLOOKUP( $B57, T_Aop[], 5, 1)</f>
        <v>6</v>
      </c>
      <c r="D57" s="747" t="str">
        <f>VLOOKUP( $B57, T_Aop[], 6, 1)</f>
        <v xml:space="preserve">    Odlivi po osnovu finansijskih sredstava po fer vrijednosti kroz ostali ukupni rezultat</v>
      </c>
      <c r="E57" s="747"/>
      <c r="F57" s="747"/>
      <c r="G57" s="747"/>
      <c r="H57" s="747"/>
      <c r="I57" s="75">
        <f>VLOOKUP( $B57, T_Aop[], 4, 1)</f>
        <v>537</v>
      </c>
      <c r="J57" s="572"/>
      <c r="K57" s="159"/>
      <c r="L57" s="160"/>
      <c r="P57" s="27"/>
    </row>
    <row r="58" spans="2:16" ht="12" customHeight="1" x14ac:dyDescent="0.3">
      <c r="B58" s="47">
        <v>321</v>
      </c>
      <c r="C58" s="58" t="str">
        <f>VLOOKUP( $B58, T_Aop[], 5, 1)</f>
        <v>7</v>
      </c>
      <c r="D58" s="724" t="str">
        <f>VLOOKUP( $B58, T_Aop[], 6, 1)</f>
        <v xml:space="preserve">    Odlivi po osnovu finansijskih sredstva po fer vrijednosti kroz bilans uspjeha</v>
      </c>
      <c r="E58" s="724"/>
      <c r="F58" s="724"/>
      <c r="G58" s="724"/>
      <c r="H58" s="724"/>
      <c r="I58" s="59">
        <f>VLOOKUP( $B58, T_Aop[], 4, 1)</f>
        <v>538</v>
      </c>
      <c r="J58" s="571"/>
      <c r="K58" s="155"/>
      <c r="L58" s="156"/>
      <c r="P58" s="27"/>
    </row>
    <row r="59" spans="2:16" ht="12" customHeight="1" x14ac:dyDescent="0.3">
      <c r="B59" s="47">
        <v>322</v>
      </c>
      <c r="C59" s="62" t="str">
        <f>VLOOKUP( $B59, T_Aop[], 5, 1)</f>
        <v>8</v>
      </c>
      <c r="D59" s="747" t="str">
        <f>VLOOKUP( $B59, T_Aop[], 6, 1)</f>
        <v xml:space="preserve">    Odlivi po osnovu ostalih finansijskih sredstava po amortizovanoj vrijednosti</v>
      </c>
      <c r="E59" s="747"/>
      <c r="F59" s="747"/>
      <c r="G59" s="747"/>
      <c r="H59" s="747"/>
      <c r="I59" s="75">
        <f>VLOOKUP( $B59, T_Aop[], 4, 1)</f>
        <v>539</v>
      </c>
      <c r="J59" s="572"/>
      <c r="K59" s="159">
        <v>576000</v>
      </c>
      <c r="L59" s="160"/>
      <c r="P59" s="27"/>
    </row>
    <row r="60" spans="2:16" ht="12" customHeight="1" x14ac:dyDescent="0.3">
      <c r="B60" s="47">
        <v>323</v>
      </c>
      <c r="C60" s="58" t="str">
        <f>VLOOKUP( $B60, T_Aop[], 5, 1)</f>
        <v>9</v>
      </c>
      <c r="D60" s="724" t="str">
        <f>VLOOKUP( $B60, T_Aop[], 6, 1)</f>
        <v xml:space="preserve">    Odlivi po osnovu derivatnih finansijskih instrumenata</v>
      </c>
      <c r="E60" s="724"/>
      <c r="F60" s="724"/>
      <c r="G60" s="724"/>
      <c r="H60" s="724"/>
      <c r="I60" s="59">
        <f>VLOOKUP( $B60, T_Aop[], 4, 1)</f>
        <v>540</v>
      </c>
      <c r="J60" s="571"/>
      <c r="K60" s="155"/>
      <c r="L60" s="156"/>
      <c r="P60" s="27"/>
    </row>
    <row r="61" spans="2:16" ht="12" customHeight="1" x14ac:dyDescent="0.3">
      <c r="B61" s="47">
        <v>324</v>
      </c>
      <c r="C61" s="62" t="str">
        <f>VLOOKUP( $B61, T_Aop[], 5, 1)</f>
        <v>10</v>
      </c>
      <c r="D61" s="747" t="str">
        <f>VLOOKUP( $B61, T_Aop[], 6, 1)</f>
        <v xml:space="preserve">    Ostali odlivi iz aktivnosti investiranja</v>
      </c>
      <c r="E61" s="747"/>
      <c r="F61" s="747"/>
      <c r="G61" s="747"/>
      <c r="H61" s="747"/>
      <c r="I61" s="75">
        <f>VLOOKUP( $B61, T_Aop[], 4, 1)</f>
        <v>541</v>
      </c>
      <c r="J61" s="572"/>
      <c r="K61" s="159"/>
      <c r="L61" s="160"/>
      <c r="P61" s="27"/>
    </row>
    <row r="62" spans="2:16" x14ac:dyDescent="0.3">
      <c r="B62" s="47">
        <v>325</v>
      </c>
      <c r="C62" s="58" t="str">
        <f>VLOOKUP( $B62, T_Aop[], 5, 1)</f>
        <v>III</v>
      </c>
      <c r="D62" s="742" t="str">
        <f>VLOOKUP( $B62, T_Aop[], 6, 1)</f>
        <v xml:space="preserve">  Neto priliv gotovine iz aktivnosti investiranja (515-531)</v>
      </c>
      <c r="E62" s="742"/>
      <c r="F62" s="742"/>
      <c r="G62" s="742"/>
      <c r="H62" s="742"/>
      <c r="I62" s="178">
        <f>VLOOKUP( $B62, T_Aop[], 4, 1)</f>
        <v>542</v>
      </c>
      <c r="J62" s="571"/>
      <c r="K62" s="60">
        <f>IF( SUBTOTAL( 9, K35:K50) - SUBTOTAL( 9, K51:K61) &lt;= 0, 0, ABS( SUBTOTAL( 9, K35:K50) - SUBTOTAL( 9, K51:K61)) )</f>
        <v>0</v>
      </c>
      <c r="L62" s="61">
        <f>IF( SUBTOTAL( 9, L35:L50) - SUBTOTAL( 9, L51:L61) &lt;= 0, 0, ABS( SUBTOTAL( 9, L35:L50) - SUBTOTAL( 9, L51:L61)) )</f>
        <v>241651</v>
      </c>
      <c r="P62" s="27"/>
    </row>
    <row r="63" spans="2:16" x14ac:dyDescent="0.3">
      <c r="B63" s="47">
        <v>326</v>
      </c>
      <c r="C63" s="62" t="str">
        <f>VLOOKUP( $B63, T_Aop[], 5, 1)</f>
        <v>IV</v>
      </c>
      <c r="D63" s="746" t="str">
        <f>VLOOKUP( $B63, T_Aop[], 6, 1)</f>
        <v xml:space="preserve">  Neto odliv gotovine iz aktivnosti investiranja (531 – 515)</v>
      </c>
      <c r="E63" s="746"/>
      <c r="F63" s="746"/>
      <c r="G63" s="746"/>
      <c r="H63" s="746"/>
      <c r="I63" s="189">
        <f>VLOOKUP( $B63, T_Aop[], 4, 1)</f>
        <v>543</v>
      </c>
      <c r="J63" s="572"/>
      <c r="K63" s="67">
        <f>IF( SUBTOTAL( 9, K35:K50) - SUBTOTAL( 9, K51:K61) &gt;= 0, 0, ABS( SUBTOTAL( 9, K35:K50) - SUBTOTAL( 9, K51:K61)) )</f>
        <v>908571</v>
      </c>
      <c r="L63" s="68">
        <f>IF( SUBTOTAL( 9, L35:L50) - SUBTOTAL( 9, L51:L61) &gt;= 0, 0, ABS( SUBTOTAL( 9, L35:L50) - SUBTOTAL( 9, L51:L61)) )</f>
        <v>0</v>
      </c>
      <c r="P63" s="27"/>
    </row>
    <row r="64" spans="2:16" ht="22.9" customHeight="1" x14ac:dyDescent="0.3">
      <c r="B64" s="47">
        <v>327</v>
      </c>
      <c r="C64" s="58" t="str">
        <f>VLOOKUP( $B64, T_Aop[], 5, 1)</f>
        <v>B_x000D_
I</v>
      </c>
      <c r="D64" s="742" t="str">
        <f>VLOOKUP( $B64, T_Aop[], 6, 1)</f>
        <v>TOKOVI GOTOVINE IZ AKTIVNOSTI FINANSIRANJA
Prilivi gotovine iz aktivnosti finansiranja (545 do 550)</v>
      </c>
      <c r="E64" s="742"/>
      <c r="F64" s="742"/>
      <c r="G64" s="742"/>
      <c r="H64" s="742"/>
      <c r="I64" s="178">
        <f>VLOOKUP( $B64, T_Aop[], 4, 1)</f>
        <v>544</v>
      </c>
      <c r="J64" s="571">
        <v>33</v>
      </c>
      <c r="K64" s="60">
        <f>SUBTOTAL( 9, K65:K70)</f>
        <v>5335872</v>
      </c>
      <c r="L64" s="61">
        <f>SUBTOTAL( 9, L65:L70)</f>
        <v>10413144</v>
      </c>
      <c r="P64" s="27"/>
    </row>
    <row r="65" spans="2:16" ht="12" customHeight="1" x14ac:dyDescent="0.3">
      <c r="B65" s="47">
        <v>328</v>
      </c>
      <c r="C65" s="62" t="str">
        <f>VLOOKUP( $B65, T_Aop[], 5, 1)</f>
        <v>1</v>
      </c>
      <c r="D65" s="747" t="str">
        <f>VLOOKUP( $B65, T_Aop[], 6, 1)</f>
        <v xml:space="preserve">    Prilivi po osnovu povećanja osnovnog kapitala</v>
      </c>
      <c r="E65" s="747"/>
      <c r="F65" s="747"/>
      <c r="G65" s="747"/>
      <c r="H65" s="747"/>
      <c r="I65" s="75">
        <f>VLOOKUP( $B65, T_Aop[], 4, 1)</f>
        <v>545</v>
      </c>
      <c r="J65" s="572"/>
      <c r="K65" s="159"/>
      <c r="L65" s="160"/>
      <c r="P65" s="27"/>
    </row>
    <row r="66" spans="2:16" ht="12" customHeight="1" x14ac:dyDescent="0.3">
      <c r="B66" s="47">
        <v>329</v>
      </c>
      <c r="C66" s="58" t="str">
        <f>VLOOKUP( $B66, T_Aop[], 5, 1)</f>
        <v>2</v>
      </c>
      <c r="D66" s="724" t="str">
        <f>VLOOKUP( $B66, T_Aop[], 6, 1)</f>
        <v xml:space="preserve">    Prilivi od prodaje otkupljenih sopstvenih akcija</v>
      </c>
      <c r="E66" s="724"/>
      <c r="F66" s="724"/>
      <c r="G66" s="724"/>
      <c r="H66" s="724"/>
      <c r="I66" s="59">
        <f>VLOOKUP( $B66, T_Aop[], 4, 1)</f>
        <v>546</v>
      </c>
      <c r="J66" s="571"/>
      <c r="K66" s="155"/>
      <c r="L66" s="156"/>
      <c r="P66" s="27"/>
    </row>
    <row r="67" spans="2:16" ht="12" customHeight="1" x14ac:dyDescent="0.3">
      <c r="B67" s="47">
        <v>330</v>
      </c>
      <c r="C67" s="62" t="str">
        <f>VLOOKUP( $B67, T_Aop[], 5, 1)</f>
        <v>3</v>
      </c>
      <c r="D67" s="747" t="str">
        <f>VLOOKUP( $B67, T_Aop[], 6, 1)</f>
        <v xml:space="preserve">    Prilivi po osnovu dugoročnih kredita</v>
      </c>
      <c r="E67" s="747"/>
      <c r="F67" s="747"/>
      <c r="G67" s="747"/>
      <c r="H67" s="747"/>
      <c r="I67" s="75">
        <f>VLOOKUP( $B67, T_Aop[], 4, 1)</f>
        <v>547</v>
      </c>
      <c r="J67" s="572"/>
      <c r="K67" s="159"/>
      <c r="L67" s="160"/>
      <c r="P67" s="27"/>
    </row>
    <row r="68" spans="2:16" ht="12" customHeight="1" x14ac:dyDescent="0.3">
      <c r="B68" s="47">
        <v>331</v>
      </c>
      <c r="C68" s="58" t="str">
        <f>VLOOKUP( $B68, T_Aop[], 5, 1)</f>
        <v>4</v>
      </c>
      <c r="D68" s="724" t="str">
        <f>VLOOKUP( $B68, T_Aop[], 6, 1)</f>
        <v xml:space="preserve">    Prilivi po osnovu kratkoročnih kredita</v>
      </c>
      <c r="E68" s="724"/>
      <c r="F68" s="724"/>
      <c r="G68" s="724"/>
      <c r="H68" s="724"/>
      <c r="I68" s="59">
        <f>VLOOKUP( $B68, T_Aop[], 4, 1)</f>
        <v>548</v>
      </c>
      <c r="J68" s="571"/>
      <c r="K68" s="155">
        <v>5335872</v>
      </c>
      <c r="L68" s="156">
        <v>10413144</v>
      </c>
      <c r="P68" s="27"/>
    </row>
    <row r="69" spans="2:16" ht="12" customHeight="1" x14ac:dyDescent="0.3">
      <c r="B69" s="47">
        <v>332</v>
      </c>
      <c r="C69" s="66" t="str">
        <f>VLOOKUP( $B69, T_Aop[], 5, 1)</f>
        <v>5</v>
      </c>
      <c r="D69" s="747" t="str">
        <f>VLOOKUP( $B69, T_Aop[], 6, 1)</f>
        <v xml:space="preserve">    Prilivi po osnovu izdatih dužničkih instrumenta</v>
      </c>
      <c r="E69" s="747"/>
      <c r="F69" s="747"/>
      <c r="G69" s="747"/>
      <c r="H69" s="747"/>
      <c r="I69" s="75">
        <f>VLOOKUP( $B69, T_Aop[], 4, 1)</f>
        <v>549</v>
      </c>
      <c r="J69" s="572"/>
      <c r="K69" s="159"/>
      <c r="L69" s="160"/>
      <c r="P69" s="27"/>
    </row>
    <row r="70" spans="2:16" ht="12" customHeight="1" x14ac:dyDescent="0.3">
      <c r="B70" s="47">
        <v>333</v>
      </c>
      <c r="C70" s="58" t="str">
        <f>VLOOKUP( $B70, T_Aop[], 5, 1)</f>
        <v>6</v>
      </c>
      <c r="D70" s="724" t="str">
        <f>VLOOKUP( $B70, T_Aop[], 6, 1)</f>
        <v xml:space="preserve">    Ostali prilivi iz aktivnosti finansiranja </v>
      </c>
      <c r="E70" s="724"/>
      <c r="F70" s="724"/>
      <c r="G70" s="724"/>
      <c r="H70" s="724"/>
      <c r="I70" s="59">
        <f>VLOOKUP( $B70, T_Aop[], 4, 1)</f>
        <v>550</v>
      </c>
      <c r="J70" s="571"/>
      <c r="K70" s="155"/>
      <c r="L70" s="156"/>
      <c r="P70" s="27"/>
    </row>
    <row r="71" spans="2:16" ht="12" customHeight="1" x14ac:dyDescent="0.3">
      <c r="B71" s="47">
        <v>334</v>
      </c>
      <c r="C71" s="66" t="str">
        <f>VLOOKUP( $B71, T_Aop[], 5, 1)</f>
        <v>II</v>
      </c>
      <c r="D71" s="747" t="str">
        <f>VLOOKUP( $B71, T_Aop[], 6, 1)</f>
        <v xml:space="preserve">    Odlivi gotovine iz aktivnosti finansiranja (552 do 558)</v>
      </c>
      <c r="E71" s="747"/>
      <c r="F71" s="747"/>
      <c r="G71" s="747"/>
      <c r="H71" s="747"/>
      <c r="I71" s="75">
        <f>VLOOKUP( $B71, T_Aop[], 4, 1)</f>
        <v>551</v>
      </c>
      <c r="J71" s="572">
        <v>34</v>
      </c>
      <c r="K71" s="496">
        <f>SUBTOTAL( 9, K72:K78)</f>
        <v>4785788</v>
      </c>
      <c r="L71" s="502">
        <f>SUBTOTAL( 9, L72:L78)</f>
        <v>13776152</v>
      </c>
      <c r="P71" s="27"/>
    </row>
    <row r="72" spans="2:16" ht="12" customHeight="1" x14ac:dyDescent="0.3">
      <c r="B72" s="47">
        <v>335</v>
      </c>
      <c r="C72" s="58" t="str">
        <f>VLOOKUP( $B72, T_Aop[], 5, 1)</f>
        <v>1</v>
      </c>
      <c r="D72" s="724" t="str">
        <f>VLOOKUP( $B72, T_Aop[], 6, 1)</f>
        <v xml:space="preserve">    Odlivi po osnovu otkupa sopstvenih akcija i udjela</v>
      </c>
      <c r="E72" s="724"/>
      <c r="F72" s="724"/>
      <c r="G72" s="724"/>
      <c r="H72" s="724"/>
      <c r="I72" s="59">
        <f>VLOOKUP( $B72, T_Aop[], 4, 1)</f>
        <v>552</v>
      </c>
      <c r="J72" s="571"/>
      <c r="K72" s="155"/>
      <c r="L72" s="156"/>
      <c r="P72" s="27"/>
    </row>
    <row r="73" spans="2:16" ht="12" customHeight="1" x14ac:dyDescent="0.3">
      <c r="B73" s="47">
        <v>336</v>
      </c>
      <c r="C73" s="66" t="str">
        <f>VLOOKUP( $B73, T_Aop[], 5, 1)</f>
        <v>2</v>
      </c>
      <c r="D73" s="747" t="str">
        <f>VLOOKUP( $B73, T_Aop[], 6, 1)</f>
        <v xml:space="preserve">    Odlivi po osnovu dugoročnih kredita </v>
      </c>
      <c r="E73" s="747"/>
      <c r="F73" s="747"/>
      <c r="G73" s="747"/>
      <c r="H73" s="747"/>
      <c r="I73" s="75">
        <f>VLOOKUP( $B73, T_Aop[], 4, 1)</f>
        <v>553</v>
      </c>
      <c r="J73" s="572"/>
      <c r="K73" s="159"/>
      <c r="L73" s="160"/>
      <c r="P73" s="27"/>
    </row>
    <row r="74" spans="2:16" ht="12" customHeight="1" x14ac:dyDescent="0.3">
      <c r="B74" s="47">
        <v>337</v>
      </c>
      <c r="C74" s="58" t="str">
        <f>VLOOKUP( $B74, T_Aop[], 5, 1)</f>
        <v>3</v>
      </c>
      <c r="D74" s="724" t="str">
        <f>VLOOKUP( $B74, T_Aop[], 6, 1)</f>
        <v xml:space="preserve">    Odlivi po osnovu kratkoročnih kredita </v>
      </c>
      <c r="E74" s="724"/>
      <c r="F74" s="724"/>
      <c r="G74" s="724"/>
      <c r="H74" s="724"/>
      <c r="I74" s="59">
        <f>VLOOKUP( $B74, T_Aop[], 4, 1)</f>
        <v>554</v>
      </c>
      <c r="J74" s="571"/>
      <c r="K74" s="155">
        <v>4785788</v>
      </c>
      <c r="L74" s="156">
        <v>13776152</v>
      </c>
      <c r="P74" s="27"/>
    </row>
    <row r="75" spans="2:16" ht="12" customHeight="1" x14ac:dyDescent="0.3">
      <c r="B75" s="47">
        <v>338</v>
      </c>
      <c r="C75" s="66" t="str">
        <f>VLOOKUP( $B75, T_Aop[], 5, 1)</f>
        <v>4</v>
      </c>
      <c r="D75" s="747" t="str">
        <f>VLOOKUP( $B75, T_Aop[], 6, 1)</f>
        <v xml:space="preserve">    Odlivi po osnovu lizinga </v>
      </c>
      <c r="E75" s="747"/>
      <c r="F75" s="747"/>
      <c r="G75" s="747"/>
      <c r="H75" s="747"/>
      <c r="I75" s="75">
        <f>VLOOKUP( $B75, T_Aop[], 4, 1)</f>
        <v>555</v>
      </c>
      <c r="J75" s="572"/>
      <c r="K75" s="159"/>
      <c r="L75" s="160"/>
      <c r="P75" s="27"/>
    </row>
    <row r="76" spans="2:16" ht="12" customHeight="1" x14ac:dyDescent="0.3">
      <c r="B76" s="47">
        <v>339</v>
      </c>
      <c r="C76" s="58" t="str">
        <f>VLOOKUP( $B76, T_Aop[], 5, 1)</f>
        <v>5</v>
      </c>
      <c r="D76" s="724" t="str">
        <f>VLOOKUP( $B76, T_Aop[], 6, 1)</f>
        <v xml:space="preserve">    Odlivi po osnovu dužničkih instrumenata</v>
      </c>
      <c r="E76" s="724"/>
      <c r="F76" s="724"/>
      <c r="G76" s="724"/>
      <c r="H76" s="724"/>
      <c r="I76" s="59">
        <f>VLOOKUP( $B76, T_Aop[], 4, 1)</f>
        <v>556</v>
      </c>
      <c r="J76" s="571"/>
      <c r="K76" s="155"/>
      <c r="L76" s="156"/>
      <c r="P76" s="27"/>
    </row>
    <row r="77" spans="2:16" ht="12" customHeight="1" x14ac:dyDescent="0.3">
      <c r="B77" s="47">
        <v>340</v>
      </c>
      <c r="C77" s="66" t="str">
        <f>VLOOKUP( $B77, T_Aop[], 5, 1)</f>
        <v>6</v>
      </c>
      <c r="D77" s="747" t="str">
        <f>VLOOKUP( $B77, T_Aop[], 6, 1)</f>
        <v xml:space="preserve">    Odlivi po osnovu isplaćenih dividendi</v>
      </c>
      <c r="E77" s="747"/>
      <c r="F77" s="747"/>
      <c r="G77" s="747"/>
      <c r="H77" s="747"/>
      <c r="I77" s="75">
        <f>VLOOKUP( $B77, T_Aop[], 4, 1)</f>
        <v>557</v>
      </c>
      <c r="J77" s="572"/>
      <c r="K77" s="159"/>
      <c r="L77" s="160"/>
      <c r="P77" s="27"/>
    </row>
    <row r="78" spans="2:16" ht="12" customHeight="1" x14ac:dyDescent="0.3">
      <c r="B78" s="47">
        <v>341</v>
      </c>
      <c r="C78" s="58" t="str">
        <f>VLOOKUP( $B78, T_Aop[], 5, 1)</f>
        <v>7</v>
      </c>
      <c r="D78" s="724" t="str">
        <f>VLOOKUP( $B78, T_Aop[], 6, 1)</f>
        <v xml:space="preserve">    Ostali odlivi iz aktivnosti finansiranja</v>
      </c>
      <c r="E78" s="724"/>
      <c r="F78" s="724"/>
      <c r="G78" s="724"/>
      <c r="H78" s="724"/>
      <c r="I78" s="59">
        <f>VLOOKUP( $B78, T_Aop[], 4, 1)</f>
        <v>558</v>
      </c>
      <c r="J78" s="571"/>
      <c r="K78" s="155"/>
      <c r="L78" s="156"/>
      <c r="P78" s="27"/>
    </row>
    <row r="79" spans="2:16" ht="12" customHeight="1" x14ac:dyDescent="0.3">
      <c r="B79" s="47">
        <v>342</v>
      </c>
      <c r="C79" s="66" t="str">
        <f>VLOOKUP( $B79, T_Aop[], 5, 1)</f>
        <v>III</v>
      </c>
      <c r="D79" s="746" t="str">
        <f>VLOOKUP( $B79, T_Aop[], 6, 1)</f>
        <v xml:space="preserve">  Neto priliv gotovine iz aktivnosti finansiranja (544 – 551)</v>
      </c>
      <c r="E79" s="746"/>
      <c r="F79" s="746"/>
      <c r="G79" s="746"/>
      <c r="H79" s="746"/>
      <c r="I79" s="189">
        <f>VLOOKUP( $B79, T_Aop[], 4, 1)</f>
        <v>559</v>
      </c>
      <c r="J79" s="572"/>
      <c r="K79" s="67">
        <f>IF( SUBTOTAL( 9, K64:K70) - SUBTOTAL( 9, K71:K78) &lt;= 0, 0, ABS( SUBTOTAL( 9, K64:K70) - SUBTOTAL( 9, K71:K78)) )</f>
        <v>550084</v>
      </c>
      <c r="L79" s="68">
        <f>IF( SUBTOTAL( 9, L64:L70) - SUBTOTAL( 9, L71:L78) &lt;= 0, 0, ABS( SUBTOTAL( 9, L64:L70) - SUBTOTAL( 9, L71:L78)) )</f>
        <v>0</v>
      </c>
      <c r="P79" s="27"/>
    </row>
    <row r="80" spans="2:16" ht="12" customHeight="1" x14ac:dyDescent="0.3">
      <c r="B80" s="47">
        <v>343</v>
      </c>
      <c r="C80" s="58" t="str">
        <f>VLOOKUP( $B80, T_Aop[], 5, 1)</f>
        <v>IV</v>
      </c>
      <c r="D80" s="742" t="str">
        <f>VLOOKUP( $B80, T_Aop[], 6, 1)</f>
        <v xml:space="preserve">  Neto odliv gotovine iz aktivnosti finansiranja (551 – 544) </v>
      </c>
      <c r="E80" s="742"/>
      <c r="F80" s="742"/>
      <c r="G80" s="742"/>
      <c r="H80" s="742"/>
      <c r="I80" s="178">
        <f>VLOOKUP( $B80, T_Aop[], 4, 1)</f>
        <v>560</v>
      </c>
      <c r="J80" s="571"/>
      <c r="K80" s="60">
        <f>IF( SUBTOTAL( 9, K64:K70) - SUBTOTAL( 9, K71:K78) &gt;= 0, 0, ABS( SUBTOTAL( 9, K64:K70) - SUBTOTAL( 9, K71:K78)) )</f>
        <v>0</v>
      </c>
      <c r="L80" s="61">
        <f>IF( SUBTOTAL( 9, L64:L70) - SUBTOTAL( 9, L71:L78) &gt;= 0, 0, ABS( SUBTOTAL( 9, L64:L70) - SUBTOTAL( 9, L71:L78)) )</f>
        <v>3363008</v>
      </c>
      <c r="P80" s="27"/>
    </row>
    <row r="81" spans="2:16" ht="12.75" customHeight="1" x14ac:dyDescent="0.3">
      <c r="B81" s="47">
        <v>344</v>
      </c>
      <c r="C81" s="66" t="str">
        <f>VLOOKUP( $B81, T_Aop[], 5, 1)</f>
        <v>G</v>
      </c>
      <c r="D81" s="746" t="str">
        <f>VLOOKUP( $B81, T_Aop[], 6, 1)</f>
        <v>UKUPNI PRILIVI GOTOVINE (501 + 515 + 544)</v>
      </c>
      <c r="E81" s="746"/>
      <c r="F81" s="746"/>
      <c r="G81" s="746"/>
      <c r="H81" s="746"/>
      <c r="I81" s="189">
        <f>VLOOKUP( $B81, T_Aop[], 4, 1)</f>
        <v>561</v>
      </c>
      <c r="J81" s="572">
        <v>30</v>
      </c>
      <c r="K81" s="67">
        <f>SUBTOTAL( 9, K21:K25, K35:K50, K64:K70)</f>
        <v>15207409</v>
      </c>
      <c r="L81" s="68">
        <f>SUBTOTAL( 9, L21:L25, L35:L50, L64:L70)</f>
        <v>20242149</v>
      </c>
      <c r="P81" s="27"/>
    </row>
    <row r="82" spans="2:16" ht="12.75" customHeight="1" x14ac:dyDescent="0.3">
      <c r="B82" s="47">
        <v>345</v>
      </c>
      <c r="C82" s="58" t="str">
        <f>VLOOKUP( $B82, T_Aop[], 5, 1)</f>
        <v>D</v>
      </c>
      <c r="D82" s="742" t="str">
        <f>VLOOKUP( $B82, T_Aop[], 6, 1)</f>
        <v>UKUPNI ODLIVI GOTOVINE (506 + 531 + 551)</v>
      </c>
      <c r="E82" s="742"/>
      <c r="F82" s="742"/>
      <c r="G82" s="742"/>
      <c r="H82" s="742"/>
      <c r="I82" s="178">
        <f>VLOOKUP( $B82, T_Aop[], 4, 1)</f>
        <v>562</v>
      </c>
      <c r="J82" s="571">
        <v>31</v>
      </c>
      <c r="K82" s="60">
        <f>SUBTOTAL( 9, K26:K32, K51:K61, K71:K78)</f>
        <v>15154655</v>
      </c>
      <c r="L82" s="61">
        <f>SUBTOTAL( 9, L26:L32, L51:L61, L71:L78)</f>
        <v>23067618</v>
      </c>
      <c r="P82" s="27"/>
    </row>
    <row r="83" spans="2:16" ht="12.75" customHeight="1" x14ac:dyDescent="0.3">
      <c r="B83" s="47">
        <v>346</v>
      </c>
      <c r="C83" s="66" t="str">
        <f>VLOOKUP( $B83, T_Aop[], 5, 1)</f>
        <v>Đ</v>
      </c>
      <c r="D83" s="743" t="str">
        <f>VLOOKUP( $B83, T_Aop[], 6, 1)</f>
        <v>NETO PRILIV GOTOVINE (561 – 562)</v>
      </c>
      <c r="E83" s="743"/>
      <c r="F83" s="743"/>
      <c r="G83" s="743"/>
      <c r="H83" s="743"/>
      <c r="I83" s="179">
        <f>VLOOKUP( $B83, T_Aop[], 4, 1)</f>
        <v>563</v>
      </c>
      <c r="J83" s="572"/>
      <c r="K83" s="67">
        <f>IF( SUBTOTAL( 9, K21:K25, K35:K50, K64:K70) - SUBTOTAL( 9, K26:K32, K51:K61, K71:K78) &lt;= 0, 0, ABS( SUBTOTAL( 9, K21:K25, K35:K50, K64:K70) - SUBTOTAL( 9, K26:K32, K51:K61, K71:K78)))</f>
        <v>52754</v>
      </c>
      <c r="L83" s="68">
        <f>IF( SUBTOTAL( 9, L21:L25, L35:L50, L64:L70) - SUBTOTAL( 9, L26:L32, L51:L61, L71:L78) &lt;= 0, 0, ABS( SUBTOTAL( 9, L21:L25, L35:L50, L64:L70) - SUBTOTAL( 9, L26:L32, L51:L61, L71:L78)))</f>
        <v>0</v>
      </c>
      <c r="P83" s="27"/>
    </row>
    <row r="84" spans="2:16" ht="12.75" customHeight="1" x14ac:dyDescent="0.3">
      <c r="B84" s="47">
        <v>347</v>
      </c>
      <c r="C84" s="58" t="str">
        <f>VLOOKUP( $B84, T_Aop[], 5, 1)</f>
        <v>E</v>
      </c>
      <c r="D84" s="742" t="str">
        <f>VLOOKUP( $B84, T_Aop[], 6, 1)</f>
        <v>NETO ODLIV GOTOVINE (562 – 561)</v>
      </c>
      <c r="E84" s="742"/>
      <c r="F84" s="742"/>
      <c r="G84" s="742"/>
      <c r="H84" s="742"/>
      <c r="I84" s="178">
        <f>VLOOKUP( $B84, T_Aop[], 4, 1)</f>
        <v>564</v>
      </c>
      <c r="J84" s="571"/>
      <c r="K84" s="60">
        <f>IF( SUBTOTAL( 9, K21:K25, K35:K50, K64:K70) - SUBTOTAL( 9, K26:K32, K51:K61, K71:K78) &gt;= 0, 0, ABS( SUBTOTAL( 9, K21:K25, K35:K50, K64:K70) - SUBTOTAL( 9, K26:K32, K51:K61, K71:K78)))</f>
        <v>0</v>
      </c>
      <c r="L84" s="61">
        <f>IF( SUBTOTAL( 9, L21:L25, L35:L50, L64:L70) - SUBTOTAL( 9, L26:L32, L51:L61, L71:L78) &gt;= 0, 0, ABS( SUBTOTAL( 9, L21:L25, L35:L50, L64:L70) - SUBTOTAL( 9, L26:L32, L51:L61, L71:L78)))</f>
        <v>2825469</v>
      </c>
      <c r="P84" s="27"/>
    </row>
    <row r="85" spans="2:16" ht="12.75" customHeight="1" x14ac:dyDescent="0.3">
      <c r="B85" s="47">
        <v>348</v>
      </c>
      <c r="C85" s="66" t="str">
        <f>VLOOKUP( $B85, T_Aop[], 5, 1)</f>
        <v>Ž</v>
      </c>
      <c r="D85" s="743" t="str">
        <f>VLOOKUP( $B85, T_Aop[], 6, 1)</f>
        <v xml:space="preserve">GOTOVINA NA POČETKU OBRAČUNSKOG PERIODA </v>
      </c>
      <c r="E85" s="743"/>
      <c r="F85" s="743"/>
      <c r="G85" s="743"/>
      <c r="H85" s="743"/>
      <c r="I85" s="179">
        <f>VLOOKUP( $B85, T_Aop[], 4, 1)</f>
        <v>565</v>
      </c>
      <c r="J85" s="530"/>
      <c r="K85" s="161">
        <v>197935</v>
      </c>
      <c r="L85" s="162">
        <v>2953513</v>
      </c>
      <c r="P85" s="27"/>
    </row>
    <row r="86" spans="2:16" ht="12.75" customHeight="1" x14ac:dyDescent="0.3">
      <c r="B86" s="47">
        <v>349</v>
      </c>
      <c r="C86" s="58" t="str">
        <f>VLOOKUP( $B86, T_Aop[], 5, 1)</f>
        <v>Z</v>
      </c>
      <c r="D86" s="742" t="str">
        <f>VLOOKUP( $B86, T_Aop[], 6, 1)</f>
        <v>POZITIVNE KURSNE RAZLIKE PO OSNOVU PRERAČUNA GOTOVINE</v>
      </c>
      <c r="E86" s="742"/>
      <c r="F86" s="742"/>
      <c r="G86" s="742"/>
      <c r="H86" s="742"/>
      <c r="I86" s="178">
        <f>VLOOKUP( $B86, T_Aop[], 4, 1)</f>
        <v>566</v>
      </c>
      <c r="J86" s="531"/>
      <c r="K86" s="81"/>
      <c r="L86" s="82"/>
      <c r="P86" s="27"/>
    </row>
    <row r="87" spans="2:16" ht="12.75" customHeight="1" x14ac:dyDescent="0.3">
      <c r="B87" s="47">
        <v>350</v>
      </c>
      <c r="C87" s="66" t="str">
        <f>VLOOKUP( $B87, T_Aop[], 5, 1)</f>
        <v>I</v>
      </c>
      <c r="D87" s="743" t="str">
        <f>VLOOKUP( $B87, T_Aop[], 6, 1)</f>
        <v>NEGATIVNE KURSNE RAZLIKE PO OSNOVU PRERAČUNA GOTOVINE</v>
      </c>
      <c r="E87" s="743"/>
      <c r="F87" s="743"/>
      <c r="G87" s="743"/>
      <c r="H87" s="743"/>
      <c r="I87" s="179">
        <f>VLOOKUP( $B87, T_Aop[], 4, 1)</f>
        <v>567</v>
      </c>
      <c r="J87" s="530"/>
      <c r="K87" s="161"/>
      <c r="L87" s="162"/>
      <c r="P87" s="27"/>
    </row>
    <row r="88" spans="2:16" ht="12.75" customHeight="1" x14ac:dyDescent="0.3">
      <c r="B88" s="47">
        <v>351</v>
      </c>
      <c r="C88" s="191" t="str">
        <f>VLOOKUP( $B88, T_Aop[], 5, 1)</f>
        <v>J</v>
      </c>
      <c r="D88" s="752" t="str">
        <f>VLOOKUP( $B88, T_Aop[], 6, 1)</f>
        <v>GOTOVINA NA KRAJU OBRAČUNSKOG PERIODA (565 + 563 – 564 + 566 – 567)</v>
      </c>
      <c r="E88" s="752"/>
      <c r="F88" s="752"/>
      <c r="G88" s="752"/>
      <c r="H88" s="752"/>
      <c r="I88" s="414">
        <f>VLOOKUP( $B88, T_Aop[], 4, 1)</f>
        <v>568</v>
      </c>
      <c r="J88" s="532"/>
      <c r="K88" s="415">
        <f>SUBTOTAL( 9, K21:K25, K35:K50, K64:K70,K85,K86) - SUBTOTAL( 9, K26:K32, K51:K61, K71:K78, K87)</f>
        <v>250689</v>
      </c>
      <c r="L88" s="416">
        <f>SUBTOTAL( 9, L21:L25, L35:L50, L64:L70,L85,L86) - SUBTOTAL( 9, L26:L32, L51:L61, L71:L78, L87)</f>
        <v>128044</v>
      </c>
      <c r="P88" s="27"/>
    </row>
    <row r="89" spans="2:16" ht="3" customHeight="1" x14ac:dyDescent="0.3"/>
    <row r="90" spans="2:16" ht="12" customHeight="1" x14ac:dyDescent="0.3">
      <c r="C90" s="180" t="str">
        <f>Podnozje_U</f>
        <v>U:</v>
      </c>
      <c r="D90" s="419" t="str">
        <f>Podatak_U</f>
        <v>Banja Luci</v>
      </c>
      <c r="E90"/>
      <c r="F90" s="1" t="str">
        <f>Podnozje_Lice_sa_licencom</f>
        <v>Lice sa licencom:</v>
      </c>
      <c r="G90" s="1" t="str">
        <f>Podatak_Lice_sa_licencom</f>
        <v>Ljupko Miletić</v>
      </c>
      <c r="I90" s="37" t="str">
        <f>Podnozje_MP</f>
        <v>(M.P.)</v>
      </c>
      <c r="J90" s="14"/>
      <c r="K90" s="750" t="str">
        <f>Podnozje_Direktor</f>
        <v>Lice ovlašćeno za zastupanje:</v>
      </c>
      <c r="L90" s="750"/>
    </row>
    <row r="91" spans="2:16" ht="21.75" customHeight="1" x14ac:dyDescent="0.3">
      <c r="C91" s="28"/>
      <c r="D91" s="127"/>
      <c r="E91"/>
      <c r="F91" s="13" t="str">
        <f>Podnozje_Broj_licence</f>
        <v>Broj licence:</v>
      </c>
      <c r="G91" s="13" t="str">
        <f>Podatak_Broj_Licence</f>
        <v>SR-1057/26</v>
      </c>
      <c r="H91" s="424"/>
      <c r="I91" s="424"/>
      <c r="J91" s="208"/>
      <c r="K91" s="751" t="str">
        <f>Podatak_Direktor</f>
        <v>Aleksandar Bajić</v>
      </c>
      <c r="L91" s="751"/>
    </row>
    <row r="92" spans="2:16" ht="20.25" customHeight="1" x14ac:dyDescent="0.3">
      <c r="C92" s="180" t="str">
        <f>Podnozje_Dana</f>
        <v>Dana:</v>
      </c>
      <c r="D92" s="418" t="str">
        <f>Podatak_Dana</f>
        <v>31.07.2026.</v>
      </c>
      <c r="E92"/>
      <c r="F92" s="753"/>
      <c r="G92" s="753"/>
      <c r="K92" s="753"/>
      <c r="L92" s="753"/>
    </row>
    <row r="93" spans="2:16" ht="15.25" customHeight="1" x14ac:dyDescent="0.3">
      <c r="F93" s="40"/>
      <c r="G93" s="40"/>
      <c r="H93" s="40"/>
      <c r="I93" s="9"/>
      <c r="J93" s="37"/>
      <c r="K93" s="37"/>
    </row>
    <row r="94" spans="2:16" x14ac:dyDescent="0.3"/>
    <row r="95" spans="2:16" x14ac:dyDescent="0.3"/>
    <row r="96" spans="2:16" x14ac:dyDescent="0.3"/>
    <row r="97" x14ac:dyDescent="0.3"/>
    <row r="98" x14ac:dyDescent="0.3"/>
    <row r="99" x14ac:dyDescent="0.3"/>
    <row r="100" x14ac:dyDescent="0.3"/>
  </sheetData>
  <sheetProtection algorithmName="SHA-512" hashValue="v8MHJxp5zYNIkhosAWgX7ggYKAoVuc8kFBE30lOh2HX6LjNVMXrIOjCUjWmxJVSQsKtIq6JwRMEw/Lf/ZM4Bnw==" saltValue="juYoCX/1V5kJVa9xRrCN9Q==" spinCount="100000" sheet="1" objects="1" scenarios="1"/>
  <mergeCells count="90">
    <mergeCell ref="K18:L18"/>
    <mergeCell ref="K92:L92"/>
    <mergeCell ref="F92:G92"/>
    <mergeCell ref="C5:E6"/>
    <mergeCell ref="C9:E9"/>
    <mergeCell ref="C18:C19"/>
    <mergeCell ref="I18:I19"/>
    <mergeCell ref="D18:H19"/>
    <mergeCell ref="D20:H20"/>
    <mergeCell ref="D21:H21"/>
    <mergeCell ref="D22:H22"/>
    <mergeCell ref="D23:H23"/>
    <mergeCell ref="D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9:H39"/>
    <mergeCell ref="D40:H40"/>
    <mergeCell ref="D41:H41"/>
    <mergeCell ref="D42:H42"/>
    <mergeCell ref="D70:H70"/>
    <mergeCell ref="D44:H44"/>
    <mergeCell ref="D45:H45"/>
    <mergeCell ref="D71:H71"/>
    <mergeCell ref="D72:H72"/>
    <mergeCell ref="D46:H46"/>
    <mergeCell ref="D47:H47"/>
    <mergeCell ref="D77:H77"/>
    <mergeCell ref="D50:H50"/>
    <mergeCell ref="D51:H51"/>
    <mergeCell ref="D66:H66"/>
    <mergeCell ref="D67:H67"/>
    <mergeCell ref="D52:H52"/>
    <mergeCell ref="D53:H53"/>
    <mergeCell ref="D54:H54"/>
    <mergeCell ref="D56:H56"/>
    <mergeCell ref="D57:H57"/>
    <mergeCell ref="D78:H78"/>
    <mergeCell ref="D73:H73"/>
    <mergeCell ref="D74:H74"/>
    <mergeCell ref="D75:H75"/>
    <mergeCell ref="D76:H76"/>
    <mergeCell ref="D38:H38"/>
    <mergeCell ref="D48:H48"/>
    <mergeCell ref="D43:H43"/>
    <mergeCell ref="K90:L90"/>
    <mergeCell ref="K91:L91"/>
    <mergeCell ref="D88:H88"/>
    <mergeCell ref="D86:H86"/>
    <mergeCell ref="D83:H83"/>
    <mergeCell ref="D84:H84"/>
    <mergeCell ref="D85:H85"/>
    <mergeCell ref="D87:H87"/>
    <mergeCell ref="D81:H81"/>
    <mergeCell ref="D82:H82"/>
    <mergeCell ref="D79:H79"/>
    <mergeCell ref="D80:H80"/>
    <mergeCell ref="D69:H69"/>
    <mergeCell ref="K10:L10"/>
    <mergeCell ref="D68:H68"/>
    <mergeCell ref="D62:H62"/>
    <mergeCell ref="D63:H63"/>
    <mergeCell ref="D64:H64"/>
    <mergeCell ref="D55:H55"/>
    <mergeCell ref="D65:H65"/>
    <mergeCell ref="D59:H59"/>
    <mergeCell ref="D60:H60"/>
    <mergeCell ref="D61:H61"/>
    <mergeCell ref="D49:H49"/>
    <mergeCell ref="D58:H58"/>
    <mergeCell ref="C14:L14"/>
    <mergeCell ref="C15:L15"/>
    <mergeCell ref="C16:L16"/>
    <mergeCell ref="J18:J19"/>
    <mergeCell ref="C13:F13"/>
    <mergeCell ref="C7:F7"/>
    <mergeCell ref="D8:F8"/>
    <mergeCell ref="C10:F10"/>
    <mergeCell ref="C11:F11"/>
    <mergeCell ref="C12:F12"/>
  </mergeCells>
  <phoneticPr fontId="2" type="noConversion"/>
  <dataValidations xWindow="1273" yWindow="821" count="3">
    <dataValidation type="whole" operator="greaterThanOrEqual" allowBlank="1" showInputMessage="1" showErrorMessage="1" errorTitle="Graška" error="Unose se vrijednosti u konvertibilnim markama, bez decimalnih mjesta. Nije dozvoljen unos negativnih brojeva." sqref="K36:L50 K65:L70 K27:L32 K23:L25 K52:L61 L85:L87 K72:L78 K85:K87" xr:uid="{00000000-0002-0000-0500-000000000000}">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K26:L26 K71:L71 K51:L51 K33:L35 K21:L21 K62:L64 K88:L88 K79:L84 K21 L21 K88 L88" xr:uid="{00000000-0002-0000-0500-000001000000}">
      <formula1>0</formula1>
    </dataValidation>
    <dataValidation type="decimal" operator="greaterThanOrEqual" allowBlank="1" showInputMessage="1" showErrorMessage="1" errorTitle="Greška" error="Unesite broj napomene!" sqref="J21:J88" xr:uid="{2E73AB90-725A-44D3-BE50-EC9F504CDBF5}">
      <formula1>0</formula1>
    </dataValidation>
  </dataValidations>
  <pageMargins left="0.39370078740157483" right="0.39370078740157483" top="0.39370078740157483" bottom="0.39370078740157483" header="0.31496062992125984" footer="0.23622047244094491"/>
  <pageSetup paperSize="9" orientation="landscape" r:id="rId1"/>
  <headerFooter alignWithMargins="0">
    <oddFooter>&amp;R&amp;"Verdana,Regular"&amp;8Strana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5669" r:id="rId4" name="Navigacija">
              <controlPr defaultSize="0" print="0" autoFill="0" autoPict="0">
                <anchor moveWithCells="1" sizeWithCells="1">
                  <from>
                    <xdr:col>0</xdr:col>
                    <xdr:colOff>254000</xdr:colOff>
                    <xdr:row>0</xdr:row>
                    <xdr:rowOff>31750</xdr:rowOff>
                  </from>
                  <to>
                    <xdr:col>11</xdr:col>
                    <xdr:colOff>381000</xdr:colOff>
                    <xdr:row>3</xdr:row>
                    <xdr:rowOff>107950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04">
    <tabColor rgb="FFB2B2B2"/>
  </sheetPr>
  <dimension ref="A1:IU101"/>
  <sheetViews>
    <sheetView showGridLines="0" showRowColHeaders="0" zoomScaleNormal="100" zoomScaleSheetLayoutView="100" workbookViewId="0">
      <pane xSplit="13" ySplit="4" topLeftCell="N5" activePane="bottomRight" state="frozen"/>
      <selection activeCell="K31" sqref="K31"/>
      <selection pane="topRight" activeCell="K31" sqref="K31"/>
      <selection pane="bottomLeft" activeCell="K31" sqref="K31"/>
      <selection pane="bottomRight" activeCell="J28" sqref="J28"/>
    </sheetView>
  </sheetViews>
  <sheetFormatPr defaultColWidth="0" defaultRowHeight="13" zeroHeight="1" x14ac:dyDescent="0.3"/>
  <cols>
    <col min="1" max="1" width="4.8984375" style="8" customWidth="1"/>
    <col min="2" max="2" width="5.296875" style="8" hidden="1" customWidth="1"/>
    <col min="3" max="3" width="19.59765625" style="8" customWidth="1"/>
    <col min="4" max="8" width="17" style="8" customWidth="1"/>
    <col min="9" max="9" width="7.09765625" style="8" customWidth="1"/>
    <col min="10" max="11" width="14.296875" style="8" customWidth="1"/>
    <col min="12" max="12" width="14.296875" style="8" hidden="1" customWidth="1"/>
    <col min="13" max="13" width="8.8984375" style="8" hidden="1" customWidth="1"/>
    <col min="14" max="14" width="5.69921875" style="8" customWidth="1"/>
    <col min="15" max="15" width="11.3984375" style="8" hidden="1" customWidth="1"/>
    <col min="16" max="255" width="9.09765625" style="8" hidden="1" customWidth="1"/>
    <col min="256" max="16384" width="2.69921875" style="8" hidden="1"/>
  </cols>
  <sheetData>
    <row r="1" spans="3:11" x14ac:dyDescent="0.3">
      <c r="C1" s="18"/>
      <c r="D1" s="18"/>
      <c r="E1" s="18"/>
      <c r="F1" s="18"/>
      <c r="G1" s="18"/>
      <c r="H1" s="18"/>
      <c r="I1" s="18"/>
      <c r="J1" s="18"/>
      <c r="K1" s="18"/>
    </row>
    <row r="2" spans="3:11" x14ac:dyDescent="0.3">
      <c r="C2" s="18"/>
      <c r="D2" s="18"/>
      <c r="E2" s="18"/>
      <c r="F2" s="18"/>
      <c r="G2" s="18"/>
      <c r="H2" s="18"/>
      <c r="I2" s="18"/>
      <c r="J2" s="18"/>
      <c r="K2" s="18"/>
    </row>
    <row r="3" spans="3:11" x14ac:dyDescent="0.3">
      <c r="C3" s="18"/>
      <c r="D3" s="18"/>
      <c r="E3" s="18"/>
      <c r="F3" s="18"/>
      <c r="G3" s="18"/>
      <c r="H3" s="18"/>
      <c r="I3" s="18"/>
      <c r="J3" s="18"/>
      <c r="K3" s="18"/>
    </row>
    <row r="4" spans="3:11" x14ac:dyDescent="0.3">
      <c r="C4" s="18"/>
      <c r="D4" s="18"/>
      <c r="E4" s="18"/>
      <c r="F4" s="18"/>
      <c r="G4" s="18"/>
      <c r="H4" s="18"/>
      <c r="I4" s="18"/>
      <c r="J4" s="18"/>
      <c r="K4" s="18"/>
    </row>
    <row r="5" spans="3:11" ht="12.75" customHeight="1" x14ac:dyDescent="0.3">
      <c r="C5" s="637" t="str">
        <f>Zaglavlje_Naziv_preduzeca</f>
        <v xml:space="preserve">Naziv privrednog društva, zadruge, drugog pravnog lica ili preduzetnika: </v>
      </c>
      <c r="D5" s="637"/>
      <c r="E5" s="637"/>
      <c r="J5" s="756" t="str">
        <f>Podatak_MB</f>
        <v>01040103</v>
      </c>
      <c r="K5" s="756"/>
    </row>
    <row r="6" spans="3:11" x14ac:dyDescent="0.3">
      <c r="C6" s="637"/>
      <c r="D6" s="637"/>
      <c r="E6" s="637"/>
      <c r="F6" s="9"/>
      <c r="K6" s="421" t="str">
        <f>Zaglavlje_MB</f>
        <v>Matični broj</v>
      </c>
    </row>
    <row r="7" spans="3:11" ht="12.75" customHeight="1" x14ac:dyDescent="0.3">
      <c r="C7" s="657" t="str">
        <f>Podatak_Naziv_preduzeca</f>
        <v>Čistoća AD Banja Luka</v>
      </c>
      <c r="D7" s="657"/>
      <c r="E7" s="657"/>
      <c r="F7" s="17"/>
      <c r="K7" s="392" t="str">
        <f>Podatak_Sifra_djelatnosti</f>
        <v>38.11</v>
      </c>
    </row>
    <row r="8" spans="3:11" x14ac:dyDescent="0.3">
      <c r="C8" s="125" t="str">
        <f>Zaglavlje_Sjediste</f>
        <v>Sjedište:</v>
      </c>
      <c r="D8" s="768" t="str">
        <f>Podatak_Sjediste</f>
        <v>Braće Podgornika 2 Banja Luka</v>
      </c>
      <c r="E8" s="768"/>
      <c r="F8" s="17"/>
      <c r="K8" s="421" t="str">
        <f>Zaglavlje_Sifra_djelatnosti</f>
        <v>Šifra djelatnosti</v>
      </c>
    </row>
    <row r="9" spans="3:11" x14ac:dyDescent="0.3">
      <c r="C9" s="656" t="str">
        <f>Zaglavlje_Ziro_racun</f>
        <v>Račun kod ovlašćene organizacije za platni promet:</v>
      </c>
      <c r="D9" s="656"/>
      <c r="E9" s="656"/>
      <c r="F9" s="244"/>
      <c r="K9" s="392" t="str">
        <f>Podatak_JIB</f>
        <v>4400849160004</v>
      </c>
    </row>
    <row r="10" spans="3:11" x14ac:dyDescent="0.3">
      <c r="C10" s="660" t="str">
        <f>Podatak_Ziro_racun_1</f>
        <v>555-007-00011375-82</v>
      </c>
      <c r="D10" s="660"/>
      <c r="E10" s="660"/>
      <c r="F10" s="244"/>
      <c r="K10" s="243" t="str">
        <f>Zaglavlje_JIB</f>
        <v>JIB</v>
      </c>
    </row>
    <row r="11" spans="3:11" x14ac:dyDescent="0.3">
      <c r="C11" s="660" t="str">
        <f>Podatak_Ziro_racun_2</f>
        <v>194-106-28988001-34</v>
      </c>
      <c r="D11" s="660"/>
      <c r="E11" s="660"/>
      <c r="F11" s="244"/>
      <c r="K11" s="246"/>
    </row>
    <row r="12" spans="3:11" x14ac:dyDescent="0.3">
      <c r="C12" s="722" t="str">
        <f>Podatak_Ziro_racun_3</f>
        <v>562-100-80000948-45</v>
      </c>
      <c r="D12" s="722"/>
      <c r="E12" s="722"/>
      <c r="F12" s="14"/>
    </row>
    <row r="13" spans="3:11" x14ac:dyDescent="0.3">
      <c r="C13" s="722" t="str">
        <f>Podatak_Ziro_racun_4</f>
        <v>551-790-22198545-77</v>
      </c>
      <c r="D13" s="722"/>
      <c r="E13" s="722"/>
      <c r="F13" s="18"/>
      <c r="G13" s="18"/>
      <c r="H13" s="18"/>
      <c r="I13" s="18"/>
      <c r="J13"/>
      <c r="K13"/>
    </row>
    <row r="14" spans="3:11" ht="15.5" x14ac:dyDescent="0.3">
      <c r="C14" s="748" t="str">
        <f>IF( Id_Konsolidovani, Nazivi_bilansa_Konsolidovani_naziv &amp; LOWER( Nazivi_bilansa_Aneks), Nazivi_bilansa_Aneks)</f>
        <v>Aneks</v>
      </c>
      <c r="D14" s="748"/>
      <c r="E14" s="748"/>
      <c r="F14" s="748"/>
      <c r="G14" s="748"/>
      <c r="H14" s="748"/>
      <c r="I14" s="748"/>
      <c r="J14" s="748"/>
      <c r="K14" s="748"/>
    </row>
    <row r="15" spans="3:11" x14ac:dyDescent="0.3">
      <c r="C15" s="749" t="str">
        <f>Nazivi_bilansa_Aneks1</f>
        <v>(Dodatni računovodstveni izvještaj)</v>
      </c>
      <c r="D15" s="749"/>
      <c r="E15" s="749"/>
      <c r="F15" s="749"/>
      <c r="G15" s="749"/>
      <c r="H15" s="749"/>
      <c r="I15" s="749"/>
      <c r="J15" s="749"/>
      <c r="K15" s="749"/>
    </row>
    <row r="16" spans="3:11" x14ac:dyDescent="0.3">
      <c r="C16" s="749" t="str">
        <f>Datumi_Datum_Aneks</f>
        <v>za period od 01.01. do 30.06.2026. godine</v>
      </c>
      <c r="D16" s="749"/>
      <c r="E16" s="749"/>
      <c r="F16" s="749"/>
      <c r="G16" s="749"/>
      <c r="H16" s="749"/>
      <c r="I16" s="749"/>
      <c r="J16" s="749"/>
      <c r="K16" s="749"/>
    </row>
    <row r="17" spans="2:15" x14ac:dyDescent="0.3">
      <c r="C17" s="41"/>
      <c r="D17" s="41"/>
      <c r="E17" s="41"/>
      <c r="F17" s="41"/>
      <c r="G17" s="41"/>
      <c r="H17" s="41"/>
      <c r="I17" s="41"/>
      <c r="J17" s="41"/>
      <c r="K17" s="21" t="str">
        <f>Tabele_zaglavlje_Valuta</f>
        <v>- u konvertibilnim markama -</v>
      </c>
    </row>
    <row r="18" spans="2:15" x14ac:dyDescent="0.3">
      <c r="C18" s="729" t="str">
        <f>Tabele_zaglavlje_Grupa_racuna</f>
        <v>Grupa računa, račun</v>
      </c>
      <c r="D18" s="731" t="str">
        <f>Tabele_zaglavlje_Pozicija</f>
        <v>POZICIJA</v>
      </c>
      <c r="E18" s="731"/>
      <c r="F18" s="731"/>
      <c r="G18" s="731"/>
      <c r="H18" s="731"/>
      <c r="I18" s="726" t="str">
        <f>Tabele_zaglavlje_Oznaka_aop</f>
        <v>Oznaka za AOP</v>
      </c>
      <c r="J18" s="731" t="str">
        <f>Tabele_zaglavlje_Iznos</f>
        <v>Iznos</v>
      </c>
      <c r="K18" s="763"/>
    </row>
    <row r="19" spans="2:15" ht="26" x14ac:dyDescent="0.3">
      <c r="C19" s="730"/>
      <c r="D19" s="732"/>
      <c r="E19" s="732"/>
      <c r="F19" s="732"/>
      <c r="G19" s="732"/>
      <c r="H19" s="732"/>
      <c r="I19" s="727"/>
      <c r="J19" s="42" t="str">
        <f>Tabele_zaglavlje_Tekuca_godina</f>
        <v>Tekuća godina</v>
      </c>
      <c r="K19" s="43" t="str">
        <f>Tabele_zaglavlje_Prethodna_godina</f>
        <v>Prethodna godina</v>
      </c>
      <c r="O19" s="134" t="s">
        <v>490</v>
      </c>
    </row>
    <row r="20" spans="2:15" x14ac:dyDescent="0.3">
      <c r="B20" s="44" t="s">
        <v>123</v>
      </c>
      <c r="C20" s="69">
        <v>1</v>
      </c>
      <c r="D20" s="733">
        <v>2</v>
      </c>
      <c r="E20" s="733"/>
      <c r="F20" s="733"/>
      <c r="G20" s="733"/>
      <c r="H20" s="733"/>
      <c r="I20" s="70">
        <v>3</v>
      </c>
      <c r="J20" s="76">
        <v>4</v>
      </c>
      <c r="K20" s="77">
        <v>5</v>
      </c>
    </row>
    <row r="21" spans="2:15" x14ac:dyDescent="0.3">
      <c r="B21" s="47">
        <v>352</v>
      </c>
      <c r="C21" s="71" t="str">
        <f>VLOOKUP( $B21, T_Aop[], 5, 1)</f>
        <v>010</v>
      </c>
      <c r="D21" s="764" t="str">
        <f>VLOOKUP( $B21, T_Aop[], 6, 1)</f>
        <v>Ulaganja u istraživanje i razvoj (dugovni promet bez početnog stanja)</v>
      </c>
      <c r="E21" s="764"/>
      <c r="F21" s="764"/>
      <c r="G21" s="764"/>
      <c r="H21" s="764"/>
      <c r="I21" s="190">
        <f>VLOOKUP( $B21, T_Aop[], 4, 1)</f>
        <v>601</v>
      </c>
      <c r="J21" s="205"/>
      <c r="K21" s="206"/>
      <c r="O21" s="27"/>
    </row>
    <row r="22" spans="2:15" ht="26" x14ac:dyDescent="0.3">
      <c r="B22" s="47">
        <v>353</v>
      </c>
      <c r="C22" s="58" t="str">
        <f>VLOOKUP( $B22, T_Aop[], 5, 1)</f>
        <v>201, dio 200</v>
      </c>
      <c r="D22" s="724" t="str">
        <f>VLOOKUP( $B22, T_Aop[], 6, 1)</f>
        <v>Kupci iz Republike Srpske i kupci - povezana pravna lica iz RS (dugovni promet bez početnog stanja)</v>
      </c>
      <c r="E22" s="724"/>
      <c r="F22" s="724"/>
      <c r="G22" s="724"/>
      <c r="H22" s="724"/>
      <c r="I22" s="59">
        <f>VLOOKUP( $B22, T_Aop[], 4, 1)</f>
        <v>602</v>
      </c>
      <c r="J22" s="155">
        <v>10364624</v>
      </c>
      <c r="K22" s="156">
        <v>8768095</v>
      </c>
      <c r="O22" s="133" t="s">
        <v>313</v>
      </c>
    </row>
    <row r="23" spans="2:15" ht="25.5" customHeight="1" x14ac:dyDescent="0.3">
      <c r="B23" s="47">
        <v>354</v>
      </c>
      <c r="C23" s="62" t="str">
        <f>VLOOKUP( $B23, T_Aop[], 5, 1)</f>
        <v>202, dio 200</v>
      </c>
      <c r="D23" s="757" t="str">
        <f>VLOOKUP( $B23, T_Aop[], 6, 1)</f>
        <v>Kupci iz Federacije BiH i kupci - povezana pravna lica iz FBiH (dugovni promet bez početnog stanja)</v>
      </c>
      <c r="E23" s="758"/>
      <c r="F23" s="758"/>
      <c r="G23" s="758"/>
      <c r="H23" s="759"/>
      <c r="I23" s="75">
        <f>VLOOKUP( $B23, T_Aop[], 4, 1)</f>
        <v>603</v>
      </c>
      <c r="J23" s="157">
        <v>239607</v>
      </c>
      <c r="K23" s="158">
        <v>220370</v>
      </c>
      <c r="O23" s="133" t="s">
        <v>313</v>
      </c>
    </row>
    <row r="24" spans="2:15" ht="25.5" customHeight="1" x14ac:dyDescent="0.3">
      <c r="B24" s="47">
        <v>355</v>
      </c>
      <c r="C24" s="58" t="str">
        <f>VLOOKUP( $B24, T_Aop[], 5, 1)</f>
        <v>203, dio 200</v>
      </c>
      <c r="D24" s="760" t="str">
        <f>VLOOKUP( $B24, T_Aop[], 6, 1)</f>
        <v>Kupci iz Brčko Distrikta BiH i kupci - povezana pravna lica iz BD (dugovni promet bez početnog stanja)</v>
      </c>
      <c r="E24" s="761"/>
      <c r="F24" s="761"/>
      <c r="G24" s="761"/>
      <c r="H24" s="762"/>
      <c r="I24" s="59">
        <f>VLOOKUP( $B24, T_Aop[], 4, 1)</f>
        <v>604</v>
      </c>
      <c r="J24" s="155">
        <v>756</v>
      </c>
      <c r="K24" s="156">
        <v>1855</v>
      </c>
      <c r="O24" s="133" t="s">
        <v>313</v>
      </c>
    </row>
    <row r="25" spans="2:15" ht="26" x14ac:dyDescent="0.3">
      <c r="B25" s="47">
        <v>356</v>
      </c>
      <c r="C25" s="62" t="str">
        <f>VLOOKUP( $B25, T_Aop[], 5, 1)</f>
        <v>432, dio 431</v>
      </c>
      <c r="D25" s="757" t="str">
        <f>VLOOKUP( $B25, T_Aop[], 6, 1)</f>
        <v>Dobavljači iz Republike Srpske i dobavljači - povezana pravna lica iz RS (potražni promet bez početnog stanja)</v>
      </c>
      <c r="E25" s="758"/>
      <c r="F25" s="758"/>
      <c r="G25" s="758"/>
      <c r="H25" s="759"/>
      <c r="I25" s="75">
        <f>VLOOKUP( $B25, T_Aop[], 4, 1)</f>
        <v>605</v>
      </c>
      <c r="J25" s="157">
        <v>5399356</v>
      </c>
      <c r="K25" s="158">
        <v>4536524</v>
      </c>
      <c r="O25" s="133" t="s">
        <v>313</v>
      </c>
    </row>
    <row r="26" spans="2:15" ht="26" x14ac:dyDescent="0.3">
      <c r="B26" s="47">
        <v>357</v>
      </c>
      <c r="C26" s="58" t="str">
        <f>VLOOKUP( $B26, T_Aop[], 5, 1)</f>
        <v>433, dio 431</v>
      </c>
      <c r="D26" s="760" t="str">
        <f>VLOOKUP( $B26, T_Aop[], 6, 1)</f>
        <v>Dobavljači iz Federacije BiH i dobavljači - povezana pravna lica iz FBiH (potražni promet bez početnog stanja)</v>
      </c>
      <c r="E26" s="761"/>
      <c r="F26" s="761"/>
      <c r="G26" s="761"/>
      <c r="H26" s="762"/>
      <c r="I26" s="59">
        <f>VLOOKUP( $B26, T_Aop[], 4, 1)</f>
        <v>606</v>
      </c>
      <c r="J26" s="155">
        <v>758560</v>
      </c>
      <c r="K26" s="156">
        <v>155678</v>
      </c>
      <c r="O26" s="133" t="s">
        <v>313</v>
      </c>
    </row>
    <row r="27" spans="2:15" ht="26" x14ac:dyDescent="0.3">
      <c r="B27" s="47">
        <v>358</v>
      </c>
      <c r="C27" s="62" t="str">
        <f>VLOOKUP( $B27, T_Aop[], 5, 1)</f>
        <v>434, dio 431</v>
      </c>
      <c r="D27" s="757" t="str">
        <f>VLOOKUP( $B27, T_Aop[], 6, 1)</f>
        <v>Dobavljači iz Brčko Distrikta BiH i dobavljači - povezana pravna lica iz DB (potražni promet bez početnog stanja)</v>
      </c>
      <c r="E27" s="758"/>
      <c r="F27" s="758"/>
      <c r="G27" s="758"/>
      <c r="H27" s="759"/>
      <c r="I27" s="75">
        <f>VLOOKUP( $B27, T_Aop[], 4, 1)</f>
        <v>607</v>
      </c>
      <c r="J27" s="157"/>
      <c r="K27" s="158">
        <v>37445</v>
      </c>
      <c r="O27" s="133" t="s">
        <v>313</v>
      </c>
    </row>
    <row r="28" spans="2:15" ht="25.5" customHeight="1" x14ac:dyDescent="0.3">
      <c r="B28" s="47">
        <v>359</v>
      </c>
      <c r="C28" s="58" t="str">
        <f>VLOOKUP( $B28, T_Aop[], 5, 1)</f>
        <v>601, dio 600, dio 605</v>
      </c>
      <c r="D28" s="760" t="str">
        <f>VLOOKUP( $B28, T_Aop[], 6, 1)</f>
        <v>Prihodi od prodaje robe u Republici Srpskoj i prihodi od prodaje robe povezanim pravnim licima u RS</v>
      </c>
      <c r="E28" s="761"/>
      <c r="F28" s="761"/>
      <c r="G28" s="761"/>
      <c r="H28" s="762"/>
      <c r="I28" s="59">
        <f>VLOOKUP( $B28, T_Aop[], 4, 1)</f>
        <v>608</v>
      </c>
      <c r="J28" s="155">
        <v>114212</v>
      </c>
      <c r="K28" s="156">
        <v>144724</v>
      </c>
      <c r="O28" s="133" t="s">
        <v>313</v>
      </c>
    </row>
    <row r="29" spans="2:15" ht="25.5" customHeight="1" x14ac:dyDescent="0.3">
      <c r="B29" s="47">
        <v>360</v>
      </c>
      <c r="C29" s="62" t="str">
        <f>VLOOKUP( $B29, T_Aop[], 5, 1)</f>
        <v>602, dio 600, dio 605</v>
      </c>
      <c r="D29" s="757" t="str">
        <f>VLOOKUP( $B29, T_Aop[], 6, 1)</f>
        <v>Prihodi od prodaje robe u Federaciji BiH i prihodi od prodaje robe povezanim pravnim licima u FBiH</v>
      </c>
      <c r="E29" s="758"/>
      <c r="F29" s="758"/>
      <c r="G29" s="758"/>
      <c r="H29" s="759"/>
      <c r="I29" s="75">
        <f>VLOOKUP( $B29, T_Aop[], 4, 1)</f>
        <v>609</v>
      </c>
      <c r="J29" s="157"/>
      <c r="K29" s="158"/>
      <c r="O29" s="133" t="s">
        <v>313</v>
      </c>
    </row>
    <row r="30" spans="2:15" ht="25.5" customHeight="1" x14ac:dyDescent="0.3">
      <c r="B30" s="47">
        <v>361</v>
      </c>
      <c r="C30" s="58" t="str">
        <f>VLOOKUP( $B30, T_Aop[], 5, 1)</f>
        <v>603, dio 600, dio 605</v>
      </c>
      <c r="D30" s="760" t="str">
        <f>VLOOKUP( $B30, T_Aop[], 6, 1)</f>
        <v>Prihodi od prodaje robe u Brčko Distriktu BiH i prihodi od prodaje robe povezanim pravnim licima u BD</v>
      </c>
      <c r="E30" s="761"/>
      <c r="F30" s="761"/>
      <c r="G30" s="761"/>
      <c r="H30" s="762"/>
      <c r="I30" s="59">
        <f>VLOOKUP( $B30, T_Aop[], 4, 1)</f>
        <v>610</v>
      </c>
      <c r="J30" s="155"/>
      <c r="K30" s="156"/>
      <c r="O30" s="133" t="s">
        <v>313</v>
      </c>
    </row>
    <row r="31" spans="2:15" ht="25.5" customHeight="1" x14ac:dyDescent="0.3">
      <c r="B31" s="47">
        <v>362</v>
      </c>
      <c r="C31" s="62" t="str">
        <f>VLOOKUP( $B31, T_Aop[], 5, 1)</f>
        <v>611, dio 610, dio 615</v>
      </c>
      <c r="D31" s="757" t="str">
        <f>VLOOKUP( $B31, T_Aop[], 6, 1)</f>
        <v>Prihodi od prodaje proizvoda u Republici Srpskoj i prihodi od prodaje proizvoda povezanim pravnim licima u Republici Srpskoj</v>
      </c>
      <c r="E31" s="758"/>
      <c r="F31" s="758"/>
      <c r="G31" s="758"/>
      <c r="H31" s="759"/>
      <c r="I31" s="75">
        <f>VLOOKUP( $B31, T_Aop[], 4, 1)</f>
        <v>611</v>
      </c>
      <c r="J31" s="157"/>
      <c r="K31" s="158"/>
      <c r="O31"/>
    </row>
    <row r="32" spans="2:15" ht="25.5" customHeight="1" x14ac:dyDescent="0.3">
      <c r="B32" s="47">
        <v>363</v>
      </c>
      <c r="C32" s="58" t="str">
        <f>VLOOKUP( $B32, T_Aop[], 5, 1)</f>
        <v>612, dio 610, dio 615</v>
      </c>
      <c r="D32" s="760" t="str">
        <f>VLOOKUP( $B32, T_Aop[], 6, 1)</f>
        <v>Prihodi od prodaje proizvoda u Federaciji BiH i prihodi od prodaje proizvoda povezanim pravnim licima u Federaciji BiH</v>
      </c>
      <c r="E32" s="761"/>
      <c r="F32" s="761"/>
      <c r="G32" s="761"/>
      <c r="H32" s="762"/>
      <c r="I32" s="59">
        <f>VLOOKUP( $B32, T_Aop[], 4, 1)</f>
        <v>612</v>
      </c>
      <c r="J32" s="155"/>
      <c r="K32" s="156"/>
      <c r="O32"/>
    </row>
    <row r="33" spans="2:15" ht="25.5" customHeight="1" x14ac:dyDescent="0.3">
      <c r="B33" s="47">
        <v>364</v>
      </c>
      <c r="C33" s="62" t="str">
        <f>VLOOKUP( $B33, T_Aop[], 5, 1)</f>
        <v>613, dio 610, dio 615</v>
      </c>
      <c r="D33" s="757" t="str">
        <f>VLOOKUP( $B33, T_Aop[], 6, 1)</f>
        <v>Prihodi od prodaje proizvoda u Brčko Distriktu BiH i prihodi od prodaje učinaka povezanim pravnim licima u Brčko Distriktu BiH</v>
      </c>
      <c r="E33" s="758"/>
      <c r="F33" s="758"/>
      <c r="G33" s="758"/>
      <c r="H33" s="759"/>
      <c r="I33" s="75">
        <f>VLOOKUP( $B33, T_Aop[], 4, 1)</f>
        <v>613</v>
      </c>
      <c r="J33" s="157"/>
      <c r="K33" s="158"/>
      <c r="O33" s="133" t="s">
        <v>313</v>
      </c>
    </row>
    <row r="34" spans="2:15" ht="25.5" customHeight="1" x14ac:dyDescent="0.3">
      <c r="B34" s="47">
        <v>365</v>
      </c>
      <c r="C34" s="58" t="str">
        <f>VLOOKUP( $B34, T_Aop[], 5, 1)</f>
        <v>621, dio 620, dio 625</v>
      </c>
      <c r="D34" s="760" t="str">
        <f>VLOOKUP( $B34, T_Aop[], 6, 1)</f>
        <v xml:space="preserve">Prihodi od pruženih usluga u Republici Srpskoj i prihodi od pruženih usluga povezanim pravnim licima u Republici Srpskoj  </v>
      </c>
      <c r="E34" s="761"/>
      <c r="F34" s="761"/>
      <c r="G34" s="761"/>
      <c r="H34" s="762"/>
      <c r="I34" s="59">
        <f>VLOOKUP( $B34, T_Aop[], 4, 1)</f>
        <v>614</v>
      </c>
      <c r="J34" s="155">
        <v>9649679</v>
      </c>
      <c r="K34" s="156">
        <v>8151159</v>
      </c>
      <c r="O34" s="133" t="s">
        <v>313</v>
      </c>
    </row>
    <row r="35" spans="2:15" ht="25.5" customHeight="1" x14ac:dyDescent="0.3">
      <c r="B35" s="47">
        <v>366</v>
      </c>
      <c r="C35" s="62" t="str">
        <f>VLOOKUP( $B35, T_Aop[], 5, 1)</f>
        <v>622, dio 620, dio 625</v>
      </c>
      <c r="D35" s="757" t="str">
        <f>VLOOKUP( $B35, T_Aop[], 6, 1)</f>
        <v>Prihodi od pruženih usluga u Federaciji BiH i prihodi od pruženih usluga povezanim pravnim licima u Federaciji BiH</v>
      </c>
      <c r="E35" s="758"/>
      <c r="F35" s="758"/>
      <c r="G35" s="758"/>
      <c r="H35" s="759"/>
      <c r="I35" s="75">
        <f>VLOOKUP( $B35, T_Aop[], 4, 1)</f>
        <v>615</v>
      </c>
      <c r="J35" s="157">
        <v>22542</v>
      </c>
      <c r="K35" s="158">
        <v>23567</v>
      </c>
      <c r="O35" s="133" t="s">
        <v>313</v>
      </c>
    </row>
    <row r="36" spans="2:15" ht="25.5" customHeight="1" x14ac:dyDescent="0.3">
      <c r="B36" s="47">
        <v>367</v>
      </c>
      <c r="C36" s="58" t="str">
        <f>VLOOKUP( $B36, T_Aop[], 5, 1)</f>
        <v>623, dio 620, dio 625</v>
      </c>
      <c r="D36" s="760" t="str">
        <f>VLOOKUP( $B36, T_Aop[], 6, 1)</f>
        <v>Prihodi od pruženih usluga u Brčko Distriktu BiH i prihodi od pruženih usluga povezanim pravnim licima u Brčko Distriktu BiH</v>
      </c>
      <c r="E36" s="761"/>
      <c r="F36" s="761"/>
      <c r="G36" s="761"/>
      <c r="H36" s="762"/>
      <c r="I36" s="59">
        <f>VLOOKUP( $B36, T_Aop[], 4, 1)</f>
        <v>616</v>
      </c>
      <c r="J36" s="155"/>
      <c r="K36" s="156">
        <v>930</v>
      </c>
      <c r="O36" s="27"/>
    </row>
    <row r="37" spans="2:15" ht="12.75" customHeight="1" x14ac:dyDescent="0.3">
      <c r="B37" s="47">
        <v>368</v>
      </c>
      <c r="C37" s="188">
        <f>VLOOKUP( $B37, T_Aop[], 5, 1)</f>
        <v>65</v>
      </c>
      <c r="D37" s="703" t="str">
        <f>VLOOKUP( $B37, T_Aop[], 6, 1)</f>
        <v>OSTALI POSLOVNI PRIHODI (618 + 621 + 622 + 623 + 624 + 625 + 626 + 627 + 628)</v>
      </c>
      <c r="E37" s="704"/>
      <c r="F37" s="704"/>
      <c r="G37" s="704"/>
      <c r="H37" s="705"/>
      <c r="I37" s="189">
        <f>VLOOKUP( $B37, T_Aop[], 4, 1)</f>
        <v>617</v>
      </c>
      <c r="J37" s="64">
        <f>SUBTOTAL( 9, J38, J41:J48)</f>
        <v>70930</v>
      </c>
      <c r="K37" s="65">
        <f>SUBTOTAL( 9, K38, K41:K48)</f>
        <v>71919</v>
      </c>
      <c r="O37" s="27"/>
    </row>
    <row r="38" spans="2:15" ht="12.75" customHeight="1" x14ac:dyDescent="0.3">
      <c r="B38" s="47">
        <v>369</v>
      </c>
      <c r="C38" s="58">
        <f>VLOOKUP( $B38, T_Aop[], 5, 1)</f>
        <v>650</v>
      </c>
      <c r="D38" s="760" t="str">
        <f>VLOOKUP( $B38, T_Aop[], 6, 1)</f>
        <v xml:space="preserve">  a) Prihodi od premija, subvencija, dotacija, regresa, podsticaja i slično</v>
      </c>
      <c r="E38" s="761"/>
      <c r="F38" s="761"/>
      <c r="G38" s="761"/>
      <c r="H38" s="762"/>
      <c r="I38" s="59">
        <f>VLOOKUP( $B38, T_Aop[], 4, 1)</f>
        <v>618</v>
      </c>
      <c r="J38" s="155"/>
      <c r="K38" s="156"/>
      <c r="O38" s="27"/>
    </row>
    <row r="39" spans="2:15" ht="25.5" customHeight="1" x14ac:dyDescent="0.3">
      <c r="B39" s="47">
        <v>370</v>
      </c>
      <c r="C39" s="62" t="str">
        <f>VLOOKUP( $B39, T_Aop[], 5, 1)</f>
        <v>dio 650</v>
      </c>
      <c r="D39" s="757" t="str">
        <f>VLOOKUP( $B39, T_Aop[], 6, 1)</f>
        <v xml:space="preserve">    Od toga: prihodi po osnovu subvencija na proizvode1 (subvencije koje se mogu prikazati po jedinici proizvoda, npr. vozna karta, brašno, hljeb, mlijeko i dr.)</v>
      </c>
      <c r="E39" s="758"/>
      <c r="F39" s="758"/>
      <c r="G39" s="758"/>
      <c r="H39" s="759"/>
      <c r="I39" s="75">
        <f>VLOOKUP( $B39, T_Aop[], 4, 1)</f>
        <v>619</v>
      </c>
      <c r="J39" s="157"/>
      <c r="K39" s="158"/>
      <c r="O39" s="27"/>
    </row>
    <row r="40" spans="2:15" ht="25.5" customHeight="1" x14ac:dyDescent="0.3">
      <c r="B40" s="47">
        <v>371</v>
      </c>
      <c r="C40" s="58" t="str">
        <f>VLOOKUP( $B40, T_Aop[], 5, 1)</f>
        <v>dio 650</v>
      </c>
      <c r="D40" s="760" t="str">
        <f>VLOOKUP( $B40, T_Aop[], 6, 1)</f>
        <v xml:space="preserve">    Od toga: prihodi po osnovu subvencija na proizvodnju2 (na zapošljavanje, platu, kamatnu stopu, za smanjenje zagađenja i dr.)</v>
      </c>
      <c r="E40" s="761"/>
      <c r="F40" s="761"/>
      <c r="G40" s="761"/>
      <c r="H40" s="762"/>
      <c r="I40" s="59">
        <f>VLOOKUP( $B40, T_Aop[], 4, 1)</f>
        <v>620</v>
      </c>
      <c r="J40" s="155"/>
      <c r="K40" s="156"/>
      <c r="O40" s="27"/>
    </row>
    <row r="41" spans="2:15" ht="12.75" customHeight="1" x14ac:dyDescent="0.3">
      <c r="B41" s="47">
        <v>372</v>
      </c>
      <c r="C41" s="62">
        <f>VLOOKUP( $B41, T_Aop[], 5, 1)</f>
        <v>651</v>
      </c>
      <c r="D41" s="757" t="str">
        <f>VLOOKUP( $B41, T_Aop[], 6, 1)</f>
        <v xml:space="preserve">  b) Prihod od zakupnina</v>
      </c>
      <c r="E41" s="758"/>
      <c r="F41" s="758"/>
      <c r="G41" s="758"/>
      <c r="H41" s="759"/>
      <c r="I41" s="75">
        <f>VLOOKUP( $B41, T_Aop[], 4, 1)</f>
        <v>621</v>
      </c>
      <c r="J41" s="157">
        <v>10049</v>
      </c>
      <c r="K41" s="158">
        <v>8935</v>
      </c>
      <c r="O41" s="133" t="s">
        <v>313</v>
      </c>
    </row>
    <row r="42" spans="2:15" ht="12.75" customHeight="1" x14ac:dyDescent="0.3">
      <c r="B42" s="47">
        <v>373</v>
      </c>
      <c r="C42" s="58">
        <f>VLOOKUP( $B42, T_Aop[], 5, 1)</f>
        <v>652</v>
      </c>
      <c r="D42" s="760" t="str">
        <f>VLOOKUP( $B42, T_Aop[], 6, 1)</f>
        <v xml:space="preserve">  v) Prihod od donacija</v>
      </c>
      <c r="E42" s="761"/>
      <c r="F42" s="761"/>
      <c r="G42" s="761"/>
      <c r="H42" s="762"/>
      <c r="I42" s="59">
        <f>VLOOKUP( $B42, T_Aop[], 4, 1)</f>
        <v>622</v>
      </c>
      <c r="J42" s="155">
        <v>10187</v>
      </c>
      <c r="K42" s="156">
        <v>14525</v>
      </c>
      <c r="O42" s="133" t="s">
        <v>313</v>
      </c>
    </row>
    <row r="43" spans="2:15" ht="12.75" customHeight="1" x14ac:dyDescent="0.3">
      <c r="B43" s="47">
        <v>374</v>
      </c>
      <c r="C43" s="62">
        <f>VLOOKUP( $B43, T_Aop[], 5, 1)</f>
        <v>653</v>
      </c>
      <c r="D43" s="757" t="str">
        <f>VLOOKUP( $B43, T_Aop[], 6, 1)</f>
        <v xml:space="preserve">  g) Prihod od članarina</v>
      </c>
      <c r="E43" s="758"/>
      <c r="F43" s="758"/>
      <c r="G43" s="758"/>
      <c r="H43" s="759"/>
      <c r="I43" s="75">
        <f>VLOOKUP( $B43, T_Aop[], 4, 1)</f>
        <v>623</v>
      </c>
      <c r="J43" s="157"/>
      <c r="K43" s="158"/>
      <c r="O43" s="27"/>
    </row>
    <row r="44" spans="2:15" ht="12.75" customHeight="1" x14ac:dyDescent="0.3">
      <c r="B44" s="47">
        <v>375</v>
      </c>
      <c r="C44" s="58">
        <f>VLOOKUP( $B44, T_Aop[], 5, 1)</f>
        <v>654</v>
      </c>
      <c r="D44" s="760" t="str">
        <f>VLOOKUP( $B44, T_Aop[], 6, 1)</f>
        <v xml:space="preserve">  d) Prihod od tantijema i licencnih prava</v>
      </c>
      <c r="E44" s="761"/>
      <c r="F44" s="761"/>
      <c r="G44" s="761"/>
      <c r="H44" s="762"/>
      <c r="I44" s="59">
        <f>VLOOKUP( $B44, T_Aop[], 4, 1)</f>
        <v>624</v>
      </c>
      <c r="J44" s="155"/>
      <c r="K44" s="156"/>
      <c r="O44" s="27"/>
    </row>
    <row r="45" spans="2:15" ht="12.75" customHeight="1" x14ac:dyDescent="0.3">
      <c r="B45" s="47">
        <v>376</v>
      </c>
      <c r="C45" s="62">
        <f>VLOOKUP( $B45, T_Aop[], 5, 1)</f>
        <v>655</v>
      </c>
      <c r="D45" s="757" t="str">
        <f>VLOOKUP( $B45, T_Aop[], 6, 1)</f>
        <v xml:space="preserve">  đ) Prihod iz namjenskih izvora finansiranja (iz budžeta, fondova i dr.)</v>
      </c>
      <c r="E45" s="758"/>
      <c r="F45" s="758"/>
      <c r="G45" s="758"/>
      <c r="H45" s="759"/>
      <c r="I45" s="75">
        <f>VLOOKUP( $B45, T_Aop[], 4, 1)</f>
        <v>625</v>
      </c>
      <c r="J45" s="157">
        <v>40617</v>
      </c>
      <c r="K45" s="158">
        <v>40535</v>
      </c>
      <c r="O45" s="27"/>
    </row>
    <row r="46" spans="2:15" ht="12.75" customHeight="1" x14ac:dyDescent="0.3">
      <c r="B46" s="47">
        <v>377</v>
      </c>
      <c r="C46" s="58" t="str">
        <f>VLOOKUP( $B46, T_Aop[], 5, 1)</f>
        <v>656</v>
      </c>
      <c r="D46" s="760" t="str">
        <f>VLOOKUP( $B46, T_Aop[], 6, 1)</f>
        <v xml:space="preserve">  e) Prihodi od dividendi</v>
      </c>
      <c r="E46" s="761"/>
      <c r="F46" s="761"/>
      <c r="G46" s="761"/>
      <c r="H46" s="762"/>
      <c r="I46" s="59">
        <f>VLOOKUP( $B46, T_Aop[], 4, 1)</f>
        <v>626</v>
      </c>
      <c r="J46" s="155"/>
      <c r="K46" s="156"/>
      <c r="O46" s="27"/>
    </row>
    <row r="47" spans="2:15" ht="12.75" customHeight="1" x14ac:dyDescent="0.3">
      <c r="B47" s="47">
        <v>378</v>
      </c>
      <c r="C47" s="62" t="str">
        <f>VLOOKUP( $B47, T_Aop[], 5, 1)</f>
        <v>657</v>
      </c>
      <c r="D47" s="757" t="str">
        <f>VLOOKUP( $B47, T_Aop[], 6, 1)</f>
        <v xml:space="preserve">  ž) Prihodi od aktiviranja ili potrošnje robe, gotovih proizvoda ili usluga</v>
      </c>
      <c r="E47" s="758"/>
      <c r="F47" s="758"/>
      <c r="G47" s="758"/>
      <c r="H47" s="759"/>
      <c r="I47" s="75">
        <f>VLOOKUP( $B47, T_Aop[], 4, 1)</f>
        <v>627</v>
      </c>
      <c r="J47" s="157"/>
      <c r="K47" s="158"/>
      <c r="O47" s="27"/>
    </row>
    <row r="48" spans="2:15" ht="12.75" customHeight="1" x14ac:dyDescent="0.3">
      <c r="B48" s="47">
        <v>379</v>
      </c>
      <c r="C48" s="58">
        <f>VLOOKUP( $B48, T_Aop[], 5, 1)</f>
        <v>659</v>
      </c>
      <c r="D48" s="760" t="str">
        <f>VLOOKUP( $B48, T_Aop[], 6, 1)</f>
        <v xml:space="preserve">  z) Ostali poslovni prihodi po drugim osnovima</v>
      </c>
      <c r="E48" s="761"/>
      <c r="F48" s="761"/>
      <c r="G48" s="761"/>
      <c r="H48" s="762"/>
      <c r="I48" s="59">
        <f>VLOOKUP( $B48, T_Aop[], 4, 1)</f>
        <v>628</v>
      </c>
      <c r="J48" s="155">
        <v>10077</v>
      </c>
      <c r="K48" s="156">
        <v>7924</v>
      </c>
      <c r="O48" s="27"/>
    </row>
    <row r="49" spans="2:15" ht="12.75" customHeight="1" x14ac:dyDescent="0.3">
      <c r="B49" s="47">
        <v>380</v>
      </c>
      <c r="C49" s="188" t="str">
        <f>VLOOKUP( $B49, T_Aop[], 5, 1)</f>
        <v>66 + 67</v>
      </c>
      <c r="D49" s="703" t="str">
        <f>VLOOKUP( $B49, T_Aop[], 6, 1)</f>
        <v>FINANSIJSKI I OSTALI PRIHODI</v>
      </c>
      <c r="E49" s="704"/>
      <c r="F49" s="704"/>
      <c r="G49" s="704"/>
      <c r="H49" s="705"/>
      <c r="I49" s="189">
        <f>VLOOKUP( $B49, T_Aop[], 4, 1)</f>
        <v>629</v>
      </c>
      <c r="J49" s="203">
        <v>552190</v>
      </c>
      <c r="K49" s="204">
        <v>2283946</v>
      </c>
      <c r="O49" s="27"/>
    </row>
    <row r="50" spans="2:15" ht="12.75" customHeight="1" x14ac:dyDescent="0.3">
      <c r="B50" s="47">
        <v>381</v>
      </c>
      <c r="C50" s="58" t="str">
        <f>VLOOKUP( $B50, T_Aop[], 5, 1)</f>
        <v>dio 670</v>
      </c>
      <c r="D50" s="760" t="str">
        <f>VLOOKUP( $B50, T_Aop[], 6, 1)</f>
        <v xml:space="preserve">    Od toga: dobici po osnovu prodaje nekretnina, postrojenja i opreme </v>
      </c>
      <c r="E50" s="761"/>
      <c r="F50" s="761"/>
      <c r="G50" s="761"/>
      <c r="H50" s="762"/>
      <c r="I50" s="59">
        <f>VLOOKUP( $B50, T_Aop[], 4, 1)</f>
        <v>630</v>
      </c>
      <c r="J50" s="155">
        <v>313</v>
      </c>
      <c r="K50" s="156"/>
      <c r="O50" s="27"/>
    </row>
    <row r="51" spans="2:15" ht="12.75" customHeight="1" x14ac:dyDescent="0.3">
      <c r="B51" s="47">
        <v>382</v>
      </c>
      <c r="C51" s="62" t="str">
        <f>VLOOKUP( $B51, T_Aop[], 5, 1)</f>
        <v>678</v>
      </c>
      <c r="D51" s="757" t="str">
        <f>VLOOKUP( $B51, T_Aop[], 6, 1)</f>
        <v xml:space="preserve">  Dobici od derivatnih finansijskih instrumenata</v>
      </c>
      <c r="E51" s="758"/>
      <c r="F51" s="758"/>
      <c r="G51" s="758"/>
      <c r="H51" s="759"/>
      <c r="I51" s="75">
        <f>VLOOKUP( $B51, T_Aop[], 4, 1)</f>
        <v>631</v>
      </c>
      <c r="J51" s="157"/>
      <c r="K51" s="158"/>
      <c r="O51" s="54"/>
    </row>
    <row r="52" spans="2:15" ht="12.75" customHeight="1" x14ac:dyDescent="0.3">
      <c r="B52" s="47">
        <v>383</v>
      </c>
      <c r="C52" s="187">
        <f>VLOOKUP( $B52, T_Aop[], 5, 1)</f>
        <v>52</v>
      </c>
      <c r="D52" s="706" t="str">
        <f>VLOOKUP( $B52, T_Aop[], 6, 1)</f>
        <v>TROŠKOVI PLATA, NAKNADA PLATA I OSTALIH LIČNIH PRIMANJA</v>
      </c>
      <c r="E52" s="707"/>
      <c r="F52" s="707"/>
      <c r="G52" s="707"/>
      <c r="H52" s="708"/>
      <c r="I52" s="178">
        <f>VLOOKUP( $B52, T_Aop[], 4, 1)</f>
        <v>632</v>
      </c>
      <c r="J52" s="81">
        <v>3170777</v>
      </c>
      <c r="K52" s="82">
        <v>2961774</v>
      </c>
      <c r="O52" s="27"/>
    </row>
    <row r="53" spans="2:15" ht="12.75" customHeight="1" x14ac:dyDescent="0.3">
      <c r="B53" s="47">
        <v>384</v>
      </c>
      <c r="C53" s="62" t="str">
        <f>VLOOKUP( $B53, T_Aop[], 5, 1)</f>
        <v>522 + 523</v>
      </c>
      <c r="D53" s="757" t="str">
        <f>VLOOKUP( $B53, T_Aop[], 6, 1)</f>
        <v xml:space="preserve">  Troškovi bruto naknada članovima upravnog, nadzornog, odbora za reviziju i dr.</v>
      </c>
      <c r="E53" s="758"/>
      <c r="F53" s="758"/>
      <c r="G53" s="758"/>
      <c r="H53" s="759"/>
      <c r="I53" s="75">
        <f>VLOOKUP( $B53, T_Aop[], 4, 1)</f>
        <v>633</v>
      </c>
      <c r="J53" s="157">
        <v>17491</v>
      </c>
      <c r="K53" s="204">
        <v>15825</v>
      </c>
      <c r="O53" s="27"/>
    </row>
    <row r="54" spans="2:15" ht="12.75" customHeight="1" x14ac:dyDescent="0.3">
      <c r="B54" s="47">
        <v>385</v>
      </c>
      <c r="C54" s="58">
        <f>VLOOKUP( $B54, T_Aop[], 5, 1)</f>
        <v>525</v>
      </c>
      <c r="D54" s="760" t="str">
        <f>VLOOKUP( $B54, T_Aop[], 6, 1)</f>
        <v xml:space="preserve">  Troškovi zaposlenih na službenom putu</v>
      </c>
      <c r="E54" s="761"/>
      <c r="F54" s="761"/>
      <c r="G54" s="761"/>
      <c r="H54" s="762"/>
      <c r="I54" s="59">
        <f>VLOOKUP( $B54, T_Aop[], 4, 1)</f>
        <v>634</v>
      </c>
      <c r="J54" s="155">
        <v>385</v>
      </c>
      <c r="K54" s="156">
        <v>748</v>
      </c>
      <c r="O54" s="27"/>
    </row>
    <row r="55" spans="2:15" ht="12.75" customHeight="1" x14ac:dyDescent="0.3">
      <c r="B55" s="47">
        <v>386</v>
      </c>
      <c r="C55" s="62" t="str">
        <f>VLOOKUP( $B55, T_Aop[], 5, 1)</f>
        <v>dio 525</v>
      </c>
      <c r="D55" s="757" t="str">
        <f>VLOOKUP( $B55, T_Aop[], 6, 1)</f>
        <v xml:space="preserve">    Od toga: dnevnice</v>
      </c>
      <c r="E55" s="758"/>
      <c r="F55" s="758"/>
      <c r="G55" s="758"/>
      <c r="H55" s="759"/>
      <c r="I55" s="75">
        <f>VLOOKUP( $B55, T_Aop[], 4, 1)</f>
        <v>635</v>
      </c>
      <c r="J55" s="157">
        <v>359</v>
      </c>
      <c r="K55" s="158">
        <v>583</v>
      </c>
      <c r="O55" s="27"/>
    </row>
    <row r="56" spans="2:15" ht="12.75" customHeight="1" x14ac:dyDescent="0.3">
      <c r="B56" s="47">
        <v>387</v>
      </c>
      <c r="C56" s="187">
        <f>VLOOKUP( $B56, T_Aop[], 5, 1)</f>
        <v>53</v>
      </c>
      <c r="D56" s="706" t="str">
        <f>VLOOKUP( $B56, T_Aop[], 6, 1)</f>
        <v>TROŠKOVI PROIZVODNIH USLUGA (637 + 638 + 639 + 640 + 641 + 642 + 643 + 644)</v>
      </c>
      <c r="E56" s="707"/>
      <c r="F56" s="707"/>
      <c r="G56" s="707"/>
      <c r="H56" s="708"/>
      <c r="I56" s="178">
        <f>VLOOKUP( $B56, T_Aop[], 4, 1)</f>
        <v>636</v>
      </c>
      <c r="J56" s="560">
        <f>SUBTOTAL( 9, J57:J64)</f>
        <v>2606046</v>
      </c>
      <c r="K56" s="493">
        <f>SUBTOTAL( 9, K57:K64)</f>
        <v>2495790</v>
      </c>
      <c r="O56" s="27"/>
    </row>
    <row r="57" spans="2:15" ht="12.75" customHeight="1" x14ac:dyDescent="0.3">
      <c r="B57" s="47">
        <v>388</v>
      </c>
      <c r="C57" s="62">
        <f>VLOOKUP( $B57, T_Aop[], 5, 1)</f>
        <v>530</v>
      </c>
      <c r="D57" s="757" t="str">
        <f>VLOOKUP( $B57, T_Aop[], 6, 1)</f>
        <v xml:space="preserve">  a) Troškovi usluga na izradi učinaka</v>
      </c>
      <c r="E57" s="758"/>
      <c r="F57" s="758"/>
      <c r="G57" s="758"/>
      <c r="H57" s="759"/>
      <c r="I57" s="75">
        <f>VLOOKUP( $B57, T_Aop[], 4, 1)</f>
        <v>637</v>
      </c>
      <c r="J57" s="157">
        <v>298076</v>
      </c>
      <c r="K57" s="158">
        <v>246097</v>
      </c>
      <c r="O57" s="27"/>
    </row>
    <row r="58" spans="2:15" x14ac:dyDescent="0.3">
      <c r="B58" s="47">
        <v>389</v>
      </c>
      <c r="C58" s="58">
        <f>VLOOKUP( $B58, T_Aop[], 5, 1)</f>
        <v>531</v>
      </c>
      <c r="D58" s="760" t="str">
        <f>VLOOKUP( $B58, T_Aop[], 6, 1)</f>
        <v xml:space="preserve">  b) Troškovi transportnih usluga</v>
      </c>
      <c r="E58" s="761"/>
      <c r="F58" s="761"/>
      <c r="G58" s="761"/>
      <c r="H58" s="762"/>
      <c r="I58" s="59">
        <f>VLOOKUP( $B58, T_Aop[], 4, 1)</f>
        <v>638</v>
      </c>
      <c r="J58" s="155">
        <v>58228</v>
      </c>
      <c r="K58" s="156">
        <v>50589</v>
      </c>
      <c r="O58" s="27"/>
    </row>
    <row r="59" spans="2:15" ht="12.75" customHeight="1" x14ac:dyDescent="0.3">
      <c r="B59" s="47">
        <v>390</v>
      </c>
      <c r="C59" s="62" t="str">
        <f>VLOOKUP( $B59, T_Aop[], 5, 1)</f>
        <v>dio 532</v>
      </c>
      <c r="D59" s="757" t="str">
        <f>VLOOKUP( $B59, T_Aop[], 6, 1)</f>
        <v xml:space="preserve">  v) Troškovi za usluge tekućeg održavanja osnovnih sredstava</v>
      </c>
      <c r="E59" s="758"/>
      <c r="F59" s="758"/>
      <c r="G59" s="758"/>
      <c r="H59" s="759"/>
      <c r="I59" s="75">
        <f>VLOOKUP( $B59, T_Aop[], 4, 1)</f>
        <v>639</v>
      </c>
      <c r="J59" s="157">
        <v>110150</v>
      </c>
      <c r="K59" s="158">
        <v>88858</v>
      </c>
      <c r="O59" s="27"/>
    </row>
    <row r="60" spans="2:15" ht="12.75" customHeight="1" x14ac:dyDescent="0.3">
      <c r="B60" s="47">
        <v>391</v>
      </c>
      <c r="C60" s="58" t="str">
        <f>VLOOKUP( $B60, T_Aop[], 5, 1)</f>
        <v>dio 532</v>
      </c>
      <c r="D60" s="760" t="str">
        <f>VLOOKUP( $B60, T_Aop[], 6, 1)</f>
        <v xml:space="preserve">  g) Troškovi za usluge investicionog održavanja osnovnih sredstava</v>
      </c>
      <c r="E60" s="761"/>
      <c r="F60" s="761"/>
      <c r="G60" s="761"/>
      <c r="H60" s="762"/>
      <c r="I60" s="59">
        <f>VLOOKUP( $B60, T_Aop[], 4, 1)</f>
        <v>640</v>
      </c>
      <c r="J60" s="155"/>
      <c r="K60" s="156"/>
      <c r="O60" s="27"/>
    </row>
    <row r="61" spans="2:15" ht="12.75" customHeight="1" x14ac:dyDescent="0.3">
      <c r="B61" s="47">
        <v>392</v>
      </c>
      <c r="C61" s="62">
        <f>VLOOKUP( $B61, T_Aop[], 5, 1)</f>
        <v>533</v>
      </c>
      <c r="D61" s="757" t="str">
        <f>VLOOKUP( $B61, T_Aop[], 6, 1)</f>
        <v xml:space="preserve">  d) Troškovi zakupa</v>
      </c>
      <c r="E61" s="758"/>
      <c r="F61" s="758"/>
      <c r="G61" s="758"/>
      <c r="H61" s="759"/>
      <c r="I61" s="75">
        <f>VLOOKUP( $B61, T_Aop[], 4, 1)</f>
        <v>641</v>
      </c>
      <c r="J61" s="157">
        <v>880350</v>
      </c>
      <c r="K61" s="158">
        <v>815260</v>
      </c>
      <c r="O61" s="27"/>
    </row>
    <row r="62" spans="2:15" ht="12.75" customHeight="1" x14ac:dyDescent="0.3">
      <c r="B62" s="47">
        <v>393</v>
      </c>
      <c r="C62" s="58" t="str">
        <f>VLOOKUP( $B62, T_Aop[], 5, 1)</f>
        <v>534 + 535</v>
      </c>
      <c r="D62" s="760" t="str">
        <f>VLOOKUP( $B62, T_Aop[], 6, 1)</f>
        <v xml:space="preserve">  đ) Troškovi sajmova, reklame i propagande</v>
      </c>
      <c r="E62" s="761"/>
      <c r="F62" s="761"/>
      <c r="G62" s="761"/>
      <c r="H62" s="762"/>
      <c r="I62" s="59">
        <f>VLOOKUP( $B62, T_Aop[], 4, 1)</f>
        <v>642</v>
      </c>
      <c r="J62" s="155">
        <v>143579</v>
      </c>
      <c r="K62" s="156">
        <v>169821</v>
      </c>
      <c r="O62" s="27"/>
    </row>
    <row r="63" spans="2:15" ht="12.75" customHeight="1" x14ac:dyDescent="0.3">
      <c r="B63" s="47">
        <v>394</v>
      </c>
      <c r="C63" s="62" t="str">
        <f>VLOOKUP( $B63, T_Aop[], 5, 1)</f>
        <v>536 + 537</v>
      </c>
      <c r="D63" s="757" t="str">
        <f>VLOOKUP( $B63, T_Aop[], 6, 1)</f>
        <v xml:space="preserve">  e) Troškovi istraživanja i razvoja koji se ne kapitalizuju</v>
      </c>
      <c r="E63" s="758"/>
      <c r="F63" s="758"/>
      <c r="G63" s="758"/>
      <c r="H63" s="759"/>
      <c r="I63" s="75">
        <f>VLOOKUP( $B63, T_Aop[], 4, 1)</f>
        <v>643</v>
      </c>
      <c r="J63" s="157"/>
      <c r="K63" s="158"/>
      <c r="O63" s="27"/>
    </row>
    <row r="64" spans="2:15" x14ac:dyDescent="0.3">
      <c r="B64" s="47">
        <v>395</v>
      </c>
      <c r="C64" s="58">
        <f>VLOOKUP( $B64, T_Aop[], 5, 1)</f>
        <v>539</v>
      </c>
      <c r="D64" s="760" t="str">
        <f>VLOOKUP( $B64, T_Aop[], 6, 1)</f>
        <v xml:space="preserve">  ž) Troškovi ostalih usluga</v>
      </c>
      <c r="E64" s="761"/>
      <c r="F64" s="761"/>
      <c r="G64" s="761"/>
      <c r="H64" s="762"/>
      <c r="I64" s="59">
        <f>VLOOKUP( $B64, T_Aop[], 4, 1)</f>
        <v>644</v>
      </c>
      <c r="J64" s="155">
        <v>1115663</v>
      </c>
      <c r="K64" s="156">
        <v>1125165</v>
      </c>
      <c r="O64" s="27"/>
    </row>
    <row r="65" spans="2:15" ht="12.75" customHeight="1" x14ac:dyDescent="0.3">
      <c r="B65" s="47">
        <v>396</v>
      </c>
      <c r="C65" s="62" t="str">
        <f>VLOOKUP( $B65, T_Aop[], 5, 1)</f>
        <v>dio 539</v>
      </c>
      <c r="D65" s="757" t="str">
        <f>VLOOKUP( $B65, T_Aop[], 6, 1)</f>
        <v xml:space="preserve">    Od toga: bruto iznosi naknada po ugovorima sa fizičkim licima van radnog odnosa</v>
      </c>
      <c r="E65" s="758"/>
      <c r="F65" s="758"/>
      <c r="G65" s="758"/>
      <c r="H65" s="759"/>
      <c r="I65" s="75">
        <f>VLOOKUP( $B65, T_Aop[], 4, 1)</f>
        <v>645</v>
      </c>
      <c r="J65" s="157"/>
      <c r="K65" s="158"/>
      <c r="O65" s="27"/>
    </row>
    <row r="66" spans="2:15" ht="12.75" customHeight="1" x14ac:dyDescent="0.3">
      <c r="B66" s="47">
        <v>397</v>
      </c>
      <c r="C66" s="187">
        <f>VLOOKUP( $B66, T_Aop[], 5, 1)</f>
        <v>55</v>
      </c>
      <c r="D66" s="706" t="str">
        <f>VLOOKUP( $B66, T_Aop[], 6, 1)</f>
        <v>NEMATERIJALNI TROŠKOVI (647 + 650 + 651 + 652 + 653 + 654 + 655 + 656)</v>
      </c>
      <c r="E66" s="707"/>
      <c r="F66" s="707"/>
      <c r="G66" s="707"/>
      <c r="H66" s="708"/>
      <c r="I66" s="178">
        <f>VLOOKUP( $B66, T_Aop[], 4, 1)</f>
        <v>646</v>
      </c>
      <c r="J66" s="560">
        <f>SUBTOTAL( 9, J67, J70:J76)</f>
        <v>344792</v>
      </c>
      <c r="K66" s="493">
        <f>SUBTOTAL( 9, K67, K70:K76)</f>
        <v>324911</v>
      </c>
      <c r="O66" s="27"/>
    </row>
    <row r="67" spans="2:15" ht="12.75" customHeight="1" x14ac:dyDescent="0.3">
      <c r="B67" s="47">
        <v>398</v>
      </c>
      <c r="C67" s="62">
        <f>VLOOKUP( $B67, T_Aop[], 5, 1)</f>
        <v>550</v>
      </c>
      <c r="D67" s="757" t="str">
        <f>VLOOKUP( $B67, T_Aop[], 6, 1)</f>
        <v xml:space="preserve">  a) Troškovi ostalih usluga</v>
      </c>
      <c r="E67" s="758"/>
      <c r="F67" s="758"/>
      <c r="G67" s="758"/>
      <c r="H67" s="759"/>
      <c r="I67" s="75">
        <f>VLOOKUP( $B67, T_Aop[], 4, 1)</f>
        <v>647</v>
      </c>
      <c r="J67" s="157">
        <v>125814</v>
      </c>
      <c r="K67" s="158">
        <v>99494</v>
      </c>
      <c r="O67" s="27"/>
    </row>
    <row r="68" spans="2:15" ht="12.75" customHeight="1" x14ac:dyDescent="0.3">
      <c r="B68" s="47">
        <v>399</v>
      </c>
      <c r="C68" s="58" t="str">
        <f>VLOOKUP( $B68, T_Aop[], 5, 1)</f>
        <v>dio 550</v>
      </c>
      <c r="D68" s="760" t="str">
        <f>VLOOKUP( $B68, T_Aop[], 6, 1)</f>
        <v xml:space="preserve">    Od toga: troškovi stručnog obrazovanja i usavršavanja zaposlenih</v>
      </c>
      <c r="E68" s="761"/>
      <c r="F68" s="761"/>
      <c r="G68" s="761"/>
      <c r="H68" s="762"/>
      <c r="I68" s="59">
        <f>VLOOKUP( $B68, T_Aop[], 4, 1)</f>
        <v>648</v>
      </c>
      <c r="J68" s="155">
        <v>4699</v>
      </c>
      <c r="K68" s="156">
        <v>9645</v>
      </c>
      <c r="O68" s="27"/>
    </row>
    <row r="69" spans="2:15" ht="12.75" customHeight="1" x14ac:dyDescent="0.3">
      <c r="B69" s="47">
        <v>400</v>
      </c>
      <c r="C69" s="62" t="str">
        <f>VLOOKUP( $B69, T_Aop[], 5, 1)</f>
        <v>dio 550</v>
      </c>
      <c r="D69" s="757" t="str">
        <f>VLOOKUP( $B69, T_Aop[], 6, 1)</f>
        <v xml:space="preserve">    Od toga: bruto iznosi naknada po ugovorima sa fizičkim licima van radnog odnosa</v>
      </c>
      <c r="E69" s="758"/>
      <c r="F69" s="758"/>
      <c r="G69" s="758"/>
      <c r="H69" s="759"/>
      <c r="I69" s="75">
        <f>VLOOKUP( $B69, T_Aop[], 4, 1)</f>
        <v>649</v>
      </c>
      <c r="J69" s="157"/>
      <c r="K69" s="158"/>
      <c r="O69" s="27"/>
    </row>
    <row r="70" spans="2:15" ht="12.75" customHeight="1" x14ac:dyDescent="0.3">
      <c r="B70" s="47">
        <v>401</v>
      </c>
      <c r="C70" s="58">
        <f>VLOOKUP( $B70, T_Aop[], 5, 1)</f>
        <v>551</v>
      </c>
      <c r="D70" s="760" t="str">
        <f>VLOOKUP( $B70, T_Aop[], 6, 1)</f>
        <v xml:space="preserve">  b) Troškovi reprezentacije</v>
      </c>
      <c r="E70" s="761"/>
      <c r="F70" s="761"/>
      <c r="G70" s="761"/>
      <c r="H70" s="762"/>
      <c r="I70" s="59">
        <f>VLOOKUP( $B70, T_Aop[], 4, 1)</f>
        <v>650</v>
      </c>
      <c r="J70" s="155">
        <v>21835</v>
      </c>
      <c r="K70" s="156">
        <v>13691</v>
      </c>
      <c r="O70" s="27"/>
    </row>
    <row r="71" spans="2:15" ht="12.75" customHeight="1" x14ac:dyDescent="0.3">
      <c r="B71" s="47">
        <v>402</v>
      </c>
      <c r="C71" s="62">
        <f>VLOOKUP( $B71, T_Aop[], 5, 1)</f>
        <v>552</v>
      </c>
      <c r="D71" s="757" t="str">
        <f>VLOOKUP( $B71, T_Aop[], 6, 1)</f>
        <v xml:space="preserve">  v) Troškovi premije osiguranja</v>
      </c>
      <c r="E71" s="758"/>
      <c r="F71" s="758"/>
      <c r="G71" s="758"/>
      <c r="H71" s="759"/>
      <c r="I71" s="75">
        <f>VLOOKUP( $B71, T_Aop[], 4, 1)</f>
        <v>651</v>
      </c>
      <c r="J71" s="157">
        <v>45234</v>
      </c>
      <c r="K71" s="158">
        <v>47299</v>
      </c>
      <c r="O71"/>
    </row>
    <row r="72" spans="2:15" ht="12.75" customHeight="1" x14ac:dyDescent="0.3">
      <c r="B72" s="47">
        <v>403</v>
      </c>
      <c r="C72" s="58">
        <f>VLOOKUP( $B72, T_Aop[], 5, 1)</f>
        <v>553</v>
      </c>
      <c r="D72" s="760" t="str">
        <f>VLOOKUP( $B72, T_Aop[], 6, 1)</f>
        <v xml:space="preserve">  g) Troškovi platnog prometa</v>
      </c>
      <c r="E72" s="761"/>
      <c r="F72" s="761"/>
      <c r="G72" s="761"/>
      <c r="H72" s="762"/>
      <c r="I72" s="59">
        <f>VLOOKUP( $B72, T_Aop[], 4, 1)</f>
        <v>652</v>
      </c>
      <c r="J72" s="155">
        <v>9582</v>
      </c>
      <c r="K72" s="156">
        <v>8355</v>
      </c>
      <c r="O72"/>
    </row>
    <row r="73" spans="2:15" ht="12.75" customHeight="1" x14ac:dyDescent="0.3">
      <c r="B73" s="47">
        <v>404</v>
      </c>
      <c r="C73" s="62">
        <f>VLOOKUP( $B73, T_Aop[], 5, 1)</f>
        <v>554</v>
      </c>
      <c r="D73" s="757" t="str">
        <f>VLOOKUP( $B73, T_Aop[], 6, 1)</f>
        <v xml:space="preserve">  d) Troškovi članarina</v>
      </c>
      <c r="E73" s="758"/>
      <c r="F73" s="758"/>
      <c r="G73" s="758"/>
      <c r="H73" s="759"/>
      <c r="I73" s="75">
        <f>VLOOKUP( $B73, T_Aop[], 4, 1)</f>
        <v>653</v>
      </c>
      <c r="J73" s="157">
        <v>2846</v>
      </c>
      <c r="K73" s="158">
        <v>4473</v>
      </c>
      <c r="O73"/>
    </row>
    <row r="74" spans="2:15" ht="12.75" customHeight="1" x14ac:dyDescent="0.3">
      <c r="B74" s="47">
        <v>405</v>
      </c>
      <c r="C74" s="58" t="str">
        <f>VLOOKUP( $B74, T_Aop[], 5, 1)</f>
        <v>dio 555</v>
      </c>
      <c r="D74" s="760" t="str">
        <f>VLOOKUP( $B74, T_Aop[], 6, 1)</f>
        <v xml:space="preserve">  đ) Troškovi poreza na proizvode3, carine, boravišne takse, porez na igre na sreću i sl.</v>
      </c>
      <c r="E74" s="761"/>
      <c r="F74" s="761"/>
      <c r="G74" s="761"/>
      <c r="H74" s="762"/>
      <c r="I74" s="59">
        <f>VLOOKUP( $B74, T_Aop[], 4, 1)</f>
        <v>654</v>
      </c>
      <c r="J74" s="155"/>
      <c r="K74" s="156"/>
      <c r="O74" s="27"/>
    </row>
    <row r="75" spans="2:15" ht="25.5" customHeight="1" x14ac:dyDescent="0.3">
      <c r="B75" s="47">
        <v>406</v>
      </c>
      <c r="C75" s="62" t="str">
        <f>VLOOKUP( $B75, T_Aop[], 5, 1)</f>
        <v>dio 555</v>
      </c>
      <c r="D75" s="757" t="str">
        <f>VLOOKUP( $B75, T_Aop[], 6, 1)</f>
        <v xml:space="preserve">  e) Troškovi poreza na proizvodnju4: na imovinu, na zemljište, za korišćenje voda i šuma, za protivpožarnu zaštitu i sl.</v>
      </c>
      <c r="E75" s="758"/>
      <c r="F75" s="758"/>
      <c r="G75" s="758"/>
      <c r="H75" s="759"/>
      <c r="I75" s="75">
        <f>VLOOKUP( $B75, T_Aop[], 4, 1)</f>
        <v>655</v>
      </c>
      <c r="J75" s="157">
        <v>37446</v>
      </c>
      <c r="K75" s="158">
        <v>31924</v>
      </c>
      <c r="O75" s="27"/>
    </row>
    <row r="76" spans="2:15" ht="12.75" customHeight="1" x14ac:dyDescent="0.3">
      <c r="B76" s="47">
        <v>407</v>
      </c>
      <c r="C76" s="58">
        <f>VLOOKUP( $B76, T_Aop[], 5, 1)</f>
        <v>559</v>
      </c>
      <c r="D76" s="760" t="str">
        <f>VLOOKUP( $B76, T_Aop[], 6, 1)</f>
        <v xml:space="preserve">  ž) Ostali nematerijalni troškovi</v>
      </c>
      <c r="E76" s="761"/>
      <c r="F76" s="761"/>
      <c r="G76" s="761"/>
      <c r="H76" s="762"/>
      <c r="I76" s="59">
        <f>VLOOKUP( $B76, T_Aop[], 4, 1)</f>
        <v>656</v>
      </c>
      <c r="J76" s="155">
        <v>102035</v>
      </c>
      <c r="K76" s="156">
        <v>119675</v>
      </c>
      <c r="O76" s="27"/>
    </row>
    <row r="77" spans="2:15" ht="12.75" customHeight="1" x14ac:dyDescent="0.3">
      <c r="B77" s="47">
        <v>408</v>
      </c>
      <c r="C77" s="62">
        <f>VLOOKUP( $B77, T_Aop[], 5, 1)</f>
        <v>0</v>
      </c>
      <c r="D77" s="757" t="str">
        <f>VLOOKUP( $B77, T_Aop[], 6, 1)</f>
        <v>OBAVEZE I POTRAŽIVANJA</v>
      </c>
      <c r="E77" s="758"/>
      <c r="F77" s="758"/>
      <c r="G77" s="758"/>
      <c r="H77" s="759"/>
      <c r="I77" s="75">
        <f>VLOOKUP( $B77, T_Aop[], 4, 1)</f>
        <v>657</v>
      </c>
      <c r="J77" s="157"/>
      <c r="K77" s="158"/>
      <c r="O77" s="27"/>
    </row>
    <row r="78" spans="2:15" ht="12.75" customHeight="1" x14ac:dyDescent="0.3">
      <c r="B78" s="47">
        <v>409</v>
      </c>
      <c r="C78" s="58" t="str">
        <f>VLOOKUP( $B78, T_Aop[], 5, 1)</f>
        <v>47, osim 479</v>
      </c>
      <c r="D78" s="760" t="str">
        <f>VLOOKUP( $B78, T_Aop[], 6, 1)</f>
        <v xml:space="preserve">  Obračunati (fakturisani) porez na dodatu vrijednost (kumulativan promet konta)</v>
      </c>
      <c r="E78" s="761"/>
      <c r="F78" s="761"/>
      <c r="G78" s="761"/>
      <c r="H78" s="762"/>
      <c r="I78" s="59">
        <f>VLOOKUP( $B78, T_Aop[], 4, 1)</f>
        <v>658</v>
      </c>
      <c r="J78" s="155">
        <v>1664756</v>
      </c>
      <c r="K78" s="156">
        <v>1425000</v>
      </c>
      <c r="O78" s="133" t="s">
        <v>313</v>
      </c>
    </row>
    <row r="79" spans="2:15" ht="12.75" customHeight="1" x14ac:dyDescent="0.3">
      <c r="B79" s="47">
        <v>410</v>
      </c>
      <c r="C79" s="62" t="str">
        <f>VLOOKUP( $B79, T_Aop[], 5, 1)</f>
        <v>27, osim 279</v>
      </c>
      <c r="D79" s="757" t="str">
        <f>VLOOKUP( $B79, T_Aop[], 6, 1)</f>
        <v xml:space="preserve">  Ulazni porez na dodatu vrijednost (kumulativan promet konta)</v>
      </c>
      <c r="E79" s="758"/>
      <c r="F79" s="758"/>
      <c r="G79" s="758"/>
      <c r="H79" s="759"/>
      <c r="I79" s="75">
        <f>VLOOKUP( $B79, T_Aop[], 4, 1)</f>
        <v>659</v>
      </c>
      <c r="J79" s="157">
        <v>765051</v>
      </c>
      <c r="K79" s="158">
        <v>713732</v>
      </c>
      <c r="O79" s="27"/>
    </row>
    <row r="80" spans="2:15" ht="12.75" customHeight="1" x14ac:dyDescent="0.3">
      <c r="B80" s="47">
        <v>411</v>
      </c>
      <c r="C80" s="58">
        <f>VLOOKUP( $B80, T_Aop[], 5, 1)</f>
        <v>479</v>
      </c>
      <c r="D80" s="760" t="str">
        <f>VLOOKUP( $B80, T_Aop[], 6, 1)</f>
        <v xml:space="preserve">  Obaveze za PDV po osnovu razlike između obračunatog i akontacionog PDV-a (saldo konta)</v>
      </c>
      <c r="E80" s="761"/>
      <c r="F80" s="761"/>
      <c r="G80" s="761"/>
      <c r="H80" s="762"/>
      <c r="I80" s="59">
        <f>VLOOKUP( $B80, T_Aop[], 4, 1)</f>
        <v>660</v>
      </c>
      <c r="J80" s="155">
        <v>183805</v>
      </c>
      <c r="K80" s="156">
        <v>51357</v>
      </c>
      <c r="O80" s="27"/>
    </row>
    <row r="81" spans="2:15" ht="12.75" customHeight="1" x14ac:dyDescent="0.3">
      <c r="B81" s="47">
        <v>412</v>
      </c>
      <c r="C81" s="62">
        <f>VLOOKUP( $B81, T_Aop[], 5, 1)</f>
        <v>279</v>
      </c>
      <c r="D81" s="757" t="str">
        <f>VLOOKUP( $B81, T_Aop[], 6, 1)</f>
        <v xml:space="preserve">  Potraživanja po osnovu razlike između akontacionog i obračunatog PDV-a (saldo konta)</v>
      </c>
      <c r="E81" s="758"/>
      <c r="F81" s="758"/>
      <c r="G81" s="758"/>
      <c r="H81" s="759"/>
      <c r="I81" s="75">
        <f>VLOOKUP( $B81, T_Aop[], 4, 1)</f>
        <v>661</v>
      </c>
      <c r="J81" s="157"/>
      <c r="K81" s="158"/>
      <c r="O81" s="27"/>
    </row>
    <row r="82" spans="2:15" ht="12.75" customHeight="1" x14ac:dyDescent="0.3">
      <c r="B82" s="47">
        <v>413</v>
      </c>
      <c r="C82" s="58">
        <f>VLOOKUP( $B82, T_Aop[], 5, 1)</f>
        <v>271</v>
      </c>
      <c r="D82" s="760" t="str">
        <f>VLOOKUP( $B82, T_Aop[], 6, 1)</f>
        <v xml:space="preserve">  PDV plaćen pri uvozu (kumulativan promet konta)</v>
      </c>
      <c r="E82" s="761"/>
      <c r="F82" s="761"/>
      <c r="G82" s="761"/>
      <c r="H82" s="762"/>
      <c r="I82" s="59">
        <f>VLOOKUP( $B82, T_Aop[], 4, 1)</f>
        <v>662</v>
      </c>
      <c r="J82" s="155">
        <v>5202</v>
      </c>
      <c r="K82" s="156"/>
      <c r="O82" s="27"/>
    </row>
    <row r="83" spans="2:15" ht="12.75" customHeight="1" x14ac:dyDescent="0.3">
      <c r="B83" s="47">
        <v>414</v>
      </c>
      <c r="C83" s="62">
        <f>VLOOKUP( $B83, T_Aop[], 5, 1)</f>
        <v>484</v>
      </c>
      <c r="D83" s="757" t="str">
        <f>VLOOKUP( $B83, T_Aop[], 6, 1)</f>
        <v xml:space="preserve">  Obaveze za PDV plaćen pri uvozu (kumulativan promet konta)</v>
      </c>
      <c r="E83" s="758"/>
      <c r="F83" s="758"/>
      <c r="G83" s="758"/>
      <c r="H83" s="759"/>
      <c r="I83" s="75">
        <f>VLOOKUP( $B83, T_Aop[], 4, 1)</f>
        <v>663</v>
      </c>
      <c r="J83" s="157">
        <v>5202</v>
      </c>
      <c r="K83" s="158"/>
      <c r="O83" s="27"/>
    </row>
    <row r="84" spans="2:15" ht="12.75" customHeight="1" x14ac:dyDescent="0.3">
      <c r="B84" s="47">
        <v>415</v>
      </c>
      <c r="C84" s="58">
        <f>VLOOKUP( $B84, T_Aop[], 5, 1)</f>
        <v>480</v>
      </c>
      <c r="D84" s="760" t="str">
        <f>VLOOKUP( $B84, T_Aop[], 6, 1)</f>
        <v xml:space="preserve">  Obaveze za akcize (kumulativan promet konta)</v>
      </c>
      <c r="E84" s="761"/>
      <c r="F84" s="761"/>
      <c r="G84" s="761"/>
      <c r="H84" s="762"/>
      <c r="I84" s="59">
        <f>VLOOKUP( $B84, T_Aop[], 4, 1)</f>
        <v>664</v>
      </c>
      <c r="J84" s="155"/>
      <c r="K84" s="156"/>
      <c r="O84" s="27"/>
    </row>
    <row r="85" spans="2:15" ht="12.75" customHeight="1" x14ac:dyDescent="0.3">
      <c r="B85" s="47">
        <v>416</v>
      </c>
      <c r="C85" s="62" t="str">
        <f>VLOOKUP( $B85, T_Aop[], 5, 1)</f>
        <v>nema konta</v>
      </c>
      <c r="D85" s="757" t="str">
        <f>VLOOKUP( $B85, T_Aop[], 6, 1)</f>
        <v xml:space="preserve">  Prihodi ostvareni na bazi podugovaranja</v>
      </c>
      <c r="E85" s="758"/>
      <c r="F85" s="758"/>
      <c r="G85" s="758"/>
      <c r="H85" s="759"/>
      <c r="I85" s="75">
        <f>VLOOKUP( $B85, T_Aop[], 4, 1)</f>
        <v>665</v>
      </c>
      <c r="J85" s="157"/>
      <c r="K85" s="158"/>
      <c r="O85" s="27"/>
    </row>
    <row r="86" spans="2:15" ht="12.75" customHeight="1" x14ac:dyDescent="0.3">
      <c r="B86" s="47">
        <v>417</v>
      </c>
      <c r="C86" s="58" t="str">
        <f>VLOOKUP( $B86, T_Aop[], 5, 1)</f>
        <v>nema konta</v>
      </c>
      <c r="D86" s="760" t="str">
        <f>VLOOKUP( $B86, T_Aop[], 6, 1)</f>
        <v xml:space="preserve">  Plaćanja podugovaračima za rad, isporučene proizvode i usluge</v>
      </c>
      <c r="E86" s="761"/>
      <c r="F86" s="761"/>
      <c r="G86" s="761"/>
      <c r="H86" s="762"/>
      <c r="I86" s="59">
        <f>VLOOKUP( $B86, T_Aop[], 4, 1)</f>
        <v>666</v>
      </c>
      <c r="J86" s="155">
        <v>298076</v>
      </c>
      <c r="K86" s="156"/>
      <c r="O86" s="27"/>
    </row>
    <row r="87" spans="2:15" ht="12.75" customHeight="1" x14ac:dyDescent="0.3">
      <c r="B87" s="47">
        <v>418</v>
      </c>
      <c r="C87" s="547" t="str">
        <f>VLOOKUP( $B87, T_Aop[], 5, 1)</f>
        <v>nema konta</v>
      </c>
      <c r="D87" s="765" t="str">
        <f>VLOOKUP( $B87, T_Aop[], 6, 1)</f>
        <v xml:space="preserve">  Ukupan broj odrađenih časova rada (efektivni časovi rada bez bolovanja, godišnjih odmora, državnih praznika i sl.)</v>
      </c>
      <c r="E87" s="766"/>
      <c r="F87" s="766"/>
      <c r="G87" s="766"/>
      <c r="H87" s="767"/>
      <c r="I87" s="548">
        <f>VLOOKUP( $B87, T_Aop[], 4, 1)</f>
        <v>667</v>
      </c>
      <c r="J87" s="549">
        <v>172784</v>
      </c>
      <c r="K87" s="550">
        <v>176148</v>
      </c>
      <c r="O87" s="27"/>
    </row>
    <row r="88" spans="2:15" ht="12.75" customHeight="1" x14ac:dyDescent="0.3">
      <c r="B88" s="47"/>
      <c r="C88" s="562"/>
      <c r="D88" s="563"/>
      <c r="E88" s="563"/>
      <c r="F88" s="563"/>
      <c r="G88" s="563"/>
      <c r="H88" s="563"/>
      <c r="I88" s="564"/>
      <c r="J88" s="565"/>
      <c r="K88" s="565"/>
      <c r="O88" s="27"/>
    </row>
    <row r="89" spans="2:15" ht="21.75" customHeight="1" x14ac:dyDescent="0.3">
      <c r="B89" s="47">
        <v>419</v>
      </c>
      <c r="C89" s="755" t="str">
        <f>Prevod!G107</f>
        <v>1 Subvencije na proizvode obuhvataju subvencije koje se mogu iskazati po jedinici proizvoda, tj. iznos ovih subvencija zavisi od obima proizvodnje (npr. vozna karta, brašno, hljeb, mlijeko i sl.).</v>
      </c>
      <c r="D89" s="755"/>
      <c r="E89" s="755"/>
      <c r="F89" s="755"/>
      <c r="G89" s="755"/>
      <c r="H89" s="755"/>
      <c r="I89" s="755"/>
      <c r="J89" s="755"/>
      <c r="K89" s="755"/>
      <c r="O89" s="27"/>
    </row>
    <row r="90" spans="2:15" ht="21.75" customHeight="1" x14ac:dyDescent="0.3">
      <c r="B90" s="47">
        <v>420</v>
      </c>
      <c r="C90" s="755" t="str">
        <f>Prevod!G108</f>
        <v>2 Subvencije na proizvodnju obuhvataju subvencije koje se ne mogu iskazati po jedinici proizvoda ili usluge  (npr. zapošljavanje, platu, kamatnu stopu, za smanjenje zagađenja i sl.).</v>
      </c>
      <c r="D90" s="755"/>
      <c r="E90" s="755"/>
      <c r="F90" s="755"/>
      <c r="G90" s="755"/>
      <c r="H90" s="755"/>
      <c r="I90" s="755"/>
      <c r="J90" s="755"/>
      <c r="K90" s="755"/>
      <c r="O90" s="27"/>
    </row>
    <row r="91" spans="2:15" ht="23.65" customHeight="1" x14ac:dyDescent="0.3">
      <c r="B91" s="47">
        <v>421</v>
      </c>
      <c r="C91" s="755" t="str">
        <f>Prevod!G109</f>
        <v>3 Porezi na proizvode zavise od količine ili vrijednosti proizvedenih dobara i usluga (npr. carine, boravišne takse, porez na igre na sreću i sl.).</v>
      </c>
      <c r="D91" s="755"/>
      <c r="E91" s="755"/>
      <c r="F91" s="755"/>
      <c r="G91" s="755"/>
      <c r="H91" s="755"/>
      <c r="I91" s="755"/>
      <c r="J91" s="755"/>
      <c r="K91" s="755"/>
      <c r="O91" s="27"/>
    </row>
    <row r="92" spans="2:15" ht="21.75" customHeight="1" x14ac:dyDescent="0.3">
      <c r="B92" s="47">
        <v>422</v>
      </c>
      <c r="C92" s="755" t="str">
        <f>Prevod!G110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D92" s="755"/>
      <c r="E92" s="755"/>
      <c r="F92" s="755"/>
      <c r="G92" s="755"/>
      <c r="H92" s="755"/>
      <c r="I92" s="755"/>
      <c r="J92" s="755"/>
      <c r="K92" s="755"/>
      <c r="O92" s="27"/>
    </row>
    <row r="93" spans="2:15" ht="23.65" customHeight="1" x14ac:dyDescent="0.3">
      <c r="C93" s="37"/>
      <c r="D93" s="40"/>
      <c r="E93" s="40"/>
      <c r="F93" s="40"/>
      <c r="G93" s="40"/>
      <c r="H93" s="40"/>
      <c r="I93" s="233"/>
      <c r="J93" s="37"/>
      <c r="K93" s="37"/>
    </row>
    <row r="94" spans="2:15" x14ac:dyDescent="0.3">
      <c r="C94" s="180" t="str">
        <f>Podnozje_U</f>
        <v>U:</v>
      </c>
      <c r="D94" s="419" t="str">
        <f>Podatak_U</f>
        <v>Banja Luci</v>
      </c>
      <c r="E94"/>
      <c r="F94" s="1" t="str">
        <f>Podnozje_Lice_sa_licencom</f>
        <v>Lice sa licencom:</v>
      </c>
      <c r="G94" s="1" t="str">
        <f>Podatak_Lice_sa_licencom</f>
        <v>Ljupko Miletić</v>
      </c>
      <c r="H94" s="37" t="str">
        <f>Podnozje_MP</f>
        <v>(M.P.)</v>
      </c>
      <c r="J94" s="750" t="str">
        <f>Podnozje_Direktor</f>
        <v>Lice ovlašćeno za zastupanje:</v>
      </c>
      <c r="K94" s="750"/>
      <c r="L94" s="750"/>
    </row>
    <row r="95" spans="2:15" x14ac:dyDescent="0.3">
      <c r="C95" s="28"/>
      <c r="D95" s="127"/>
      <c r="E95"/>
      <c r="F95" s="13" t="str">
        <f>Podnozje_Broj_licence</f>
        <v>Broj licence:</v>
      </c>
      <c r="G95" s="13" t="str">
        <f>Podatak_Broj_Licence</f>
        <v>SR-1057/26</v>
      </c>
      <c r="H95" s="78"/>
      <c r="I95" s="78"/>
      <c r="J95" s="751" t="str">
        <f>Podatak_Direktor</f>
        <v>Aleksandar Bajić</v>
      </c>
      <c r="K95" s="751"/>
      <c r="L95" s="9"/>
    </row>
    <row r="96" spans="2:15" x14ac:dyDescent="0.3">
      <c r="C96" s="180" t="str">
        <f>Podnozje_Dana</f>
        <v>Dana:</v>
      </c>
      <c r="D96" s="418" t="str">
        <f>Podatak_Dana</f>
        <v>31.07.2026.</v>
      </c>
      <c r="E96"/>
      <c r="F96" s="680"/>
      <c r="G96" s="680"/>
      <c r="J96" s="680"/>
      <c r="K96" s="680"/>
    </row>
    <row r="97" spans="6:11" x14ac:dyDescent="0.3">
      <c r="G97" s="39"/>
      <c r="H97" s="37"/>
      <c r="I97" s="181"/>
      <c r="J97" s="39"/>
      <c r="K97" s="39"/>
    </row>
    <row r="98" spans="6:11" hidden="1" x14ac:dyDescent="0.3">
      <c r="F98" s="40"/>
      <c r="G98" s="40"/>
      <c r="H98" s="40"/>
      <c r="I98" s="9"/>
      <c r="J98" s="37"/>
      <c r="K98" s="37"/>
    </row>
    <row r="99" spans="6:11" x14ac:dyDescent="0.3"/>
    <row r="100" spans="6:11" x14ac:dyDescent="0.3"/>
    <row r="101" spans="6:11" x14ac:dyDescent="0.3"/>
  </sheetData>
  <sheetProtection algorithmName="SHA-512" hashValue="TCUyHFUs3AzygGNTnmzExLRugv79lEEkIQ/JyFaRZtbiQ328w+3Um9E8ay3njFBcuT+RaMF2p1uz0yUICxDJAA==" saltValue="k6tz6EI3T3tCZ9n3lJ/IGg==" spinCount="100000" sheet="1" objects="1" scenarios="1"/>
  <mergeCells count="92">
    <mergeCell ref="C13:E13"/>
    <mergeCell ref="C5:E6"/>
    <mergeCell ref="C7:E7"/>
    <mergeCell ref="D8:E8"/>
    <mergeCell ref="C9:E9"/>
    <mergeCell ref="C10:E10"/>
    <mergeCell ref="C11:E11"/>
    <mergeCell ref="C12:E12"/>
    <mergeCell ref="D87:H87"/>
    <mergeCell ref="D81:H81"/>
    <mergeCell ref="D82:H82"/>
    <mergeCell ref="D83:H83"/>
    <mergeCell ref="D84:H84"/>
    <mergeCell ref="D85:H85"/>
    <mergeCell ref="D86:H86"/>
    <mergeCell ref="D59:H59"/>
    <mergeCell ref="D60:H60"/>
    <mergeCell ref="D80:H80"/>
    <mergeCell ref="D68:H68"/>
    <mergeCell ref="D69:H69"/>
    <mergeCell ref="D70:H70"/>
    <mergeCell ref="D71:H71"/>
    <mergeCell ref="D72:H72"/>
    <mergeCell ref="D74:H74"/>
    <mergeCell ref="D73:H73"/>
    <mergeCell ref="D75:H75"/>
    <mergeCell ref="D76:H76"/>
    <mergeCell ref="D77:H77"/>
    <mergeCell ref="D78:H78"/>
    <mergeCell ref="D79:H79"/>
    <mergeCell ref="D20:H20"/>
    <mergeCell ref="C14:K14"/>
    <mergeCell ref="C15:K15"/>
    <mergeCell ref="C16:K16"/>
    <mergeCell ref="D28:H28"/>
    <mergeCell ref="I18:I19"/>
    <mergeCell ref="J18:K18"/>
    <mergeCell ref="C18:C19"/>
    <mergeCell ref="D18:H19"/>
    <mergeCell ref="D21:H21"/>
    <mergeCell ref="D22:H22"/>
    <mergeCell ref="D23:H23"/>
    <mergeCell ref="D24:H24"/>
    <mergeCell ref="D27:H27"/>
    <mergeCell ref="D25:H25"/>
    <mergeCell ref="D26:H26"/>
    <mergeCell ref="D31:H31"/>
    <mergeCell ref="D32:H32"/>
    <mergeCell ref="D54:H54"/>
    <mergeCell ref="D43:H43"/>
    <mergeCell ref="D44:H44"/>
    <mergeCell ref="D45:H45"/>
    <mergeCell ref="D46:H46"/>
    <mergeCell ref="D47:H47"/>
    <mergeCell ref="D48:H48"/>
    <mergeCell ref="D49:H49"/>
    <mergeCell ref="D50:H50"/>
    <mergeCell ref="D51:H51"/>
    <mergeCell ref="D52:H52"/>
    <mergeCell ref="D53:H53"/>
    <mergeCell ref="J96:K96"/>
    <mergeCell ref="F96:G96"/>
    <mergeCell ref="J94:L94"/>
    <mergeCell ref="J95:K95"/>
    <mergeCell ref="D42:H42"/>
    <mergeCell ref="D67:H67"/>
    <mergeCell ref="D55:H55"/>
    <mergeCell ref="D61:H61"/>
    <mergeCell ref="D62:H62"/>
    <mergeCell ref="D63:H63"/>
    <mergeCell ref="D64:H64"/>
    <mergeCell ref="D65:H65"/>
    <mergeCell ref="D66:H66"/>
    <mergeCell ref="D56:H56"/>
    <mergeCell ref="D57:H57"/>
    <mergeCell ref="D58:H58"/>
    <mergeCell ref="C92:K92"/>
    <mergeCell ref="C89:K89"/>
    <mergeCell ref="C90:K90"/>
    <mergeCell ref="C91:K91"/>
    <mergeCell ref="J5:K5"/>
    <mergeCell ref="D29:H29"/>
    <mergeCell ref="D37:H37"/>
    <mergeCell ref="D38:H38"/>
    <mergeCell ref="D39:H39"/>
    <mergeCell ref="D40:H40"/>
    <mergeCell ref="D41:H41"/>
    <mergeCell ref="D30:H30"/>
    <mergeCell ref="D33:H33"/>
    <mergeCell ref="D34:H34"/>
    <mergeCell ref="D35:H35"/>
    <mergeCell ref="D36:H36"/>
  </mergeCells>
  <phoneticPr fontId="2" type="noConversion"/>
  <dataValidations xWindow="1237" yWindow="723" count="2">
    <dataValidation type="whole" operator="greaterThanOrEqual" allowBlank="1" showInputMessage="1" showErrorMessage="1" errorTitle="Greška" error="Unose se vrijednosti u konvertibilnim markama, bez decimalnih mjesta. Nije dozvoljen unos negativnih brojeva." sqref="J21:K36 J38:K55 J57:K65 J67:K88" xr:uid="{00000000-0002-0000-0600-000000000000}">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J37:K37 J56:K56 J66:K66" xr:uid="{00000000-0002-0000-0600-000001000000}">
      <formula1>0</formula1>
    </dataValidation>
  </dataValidations>
  <pageMargins left="0.39370078740157483" right="0.39370078740157483" top="0.39370078740157483" bottom="0.39370078740157483" header="0.31496062992125984" footer="0.23622047244094491"/>
  <pageSetup paperSize="9" orientation="landscape" r:id="rId1"/>
  <headerFooter alignWithMargins="0">
    <oddFooter>&amp;R&amp;"Verdana,Regular"&amp;8Strana &amp;P od &amp;N</oddFooter>
  </headerFooter>
  <rowBreaks count="1" manualBreakCount="1">
    <brk id="5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31079" r:id="rId4" name="Navigacija">
              <controlPr defaultSize="0" print="0" autoFill="0" autoPict="0">
                <anchor moveWithCells="1" sizeWithCells="1">
                  <from>
                    <xdr:col>2</xdr:col>
                    <xdr:colOff>19050</xdr:colOff>
                    <xdr:row>0</xdr:row>
                    <xdr:rowOff>38100</xdr:rowOff>
                  </from>
                  <to>
                    <xdr:col>10</xdr:col>
                    <xdr:colOff>850900</xdr:colOff>
                    <xdr:row>3</xdr:row>
                    <xdr:rowOff>146050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0000"/>
  </sheetPr>
  <dimension ref="A1:I110"/>
  <sheetViews>
    <sheetView showGridLines="0" workbookViewId="0">
      <pane xSplit="2" ySplit="1" topLeftCell="C88" activePane="bottomRight" state="frozen"/>
      <selection activeCell="C12" sqref="C12:O12"/>
      <selection pane="topRight" activeCell="C12" sqref="C12:O12"/>
      <selection pane="bottomLeft" activeCell="C12" sqref="C12:O12"/>
      <selection pane="bottomRight" activeCell="B97" sqref="B97"/>
    </sheetView>
  </sheetViews>
  <sheetFormatPr defaultRowHeight="13" x14ac:dyDescent="0.3"/>
  <cols>
    <col min="1" max="1" width="16.09765625" customWidth="1"/>
    <col min="2" max="2" width="27.3984375" customWidth="1"/>
    <col min="3" max="3" width="46.296875" customWidth="1"/>
    <col min="4" max="5" width="42.69921875" customWidth="1"/>
    <col min="6" max="7" width="38.296875" customWidth="1"/>
    <col min="8" max="8" width="31.296875" customWidth="1"/>
    <col min="9" max="9" width="12.59765625" customWidth="1"/>
  </cols>
  <sheetData>
    <row r="1" spans="1:9" ht="14.5" x14ac:dyDescent="0.3">
      <c r="A1" s="2" t="s">
        <v>109</v>
      </c>
      <c r="B1" s="2" t="s">
        <v>124</v>
      </c>
      <c r="C1" s="2" t="s">
        <v>105</v>
      </c>
      <c r="D1" s="2" t="s">
        <v>108</v>
      </c>
      <c r="E1" s="2" t="s">
        <v>106</v>
      </c>
      <c r="F1" s="2" t="s">
        <v>2109</v>
      </c>
      <c r="G1" s="36" t="s">
        <v>250</v>
      </c>
      <c r="H1" s="2" t="s">
        <v>136</v>
      </c>
      <c r="I1" s="2" t="s">
        <v>395</v>
      </c>
    </row>
    <row r="2" spans="1:9" x14ac:dyDescent="0.3">
      <c r="A2" s="1" t="s">
        <v>206</v>
      </c>
      <c r="B2" s="1" t="s">
        <v>207</v>
      </c>
      <c r="C2" s="1" t="s">
        <v>296</v>
      </c>
      <c r="D2" s="1" t="s">
        <v>297</v>
      </c>
      <c r="E2" s="1" t="s">
        <v>298</v>
      </c>
      <c r="F2" t="s">
        <v>2110</v>
      </c>
      <c r="G2" s="7" t="str">
        <f t="shared" ref="G2:G34" si="0">CHOOSE( ID_Jezik, C2, D2, E2,F2)</f>
        <v>Podaci u zaglavlju:</v>
      </c>
      <c r="H2" s="7" t="str">
        <f>SUBSTITUTE(A2&amp;"_"&amp;B2," ","_")</f>
        <v>Objasnjenja_Zaglavlje</v>
      </c>
      <c r="I2">
        <f t="shared" ref="I2:I33" si="1">COUNTIF($B$2:$B$1034,"="&amp;B2)</f>
        <v>1</v>
      </c>
    </row>
    <row r="3" spans="1:9" x14ac:dyDescent="0.3">
      <c r="A3" s="1" t="s">
        <v>206</v>
      </c>
      <c r="B3" s="1" t="s">
        <v>208</v>
      </c>
      <c r="C3" s="1" t="s">
        <v>340</v>
      </c>
      <c r="D3" s="1" t="s">
        <v>341</v>
      </c>
      <c r="E3" s="1" t="s">
        <v>299</v>
      </c>
      <c r="F3" t="s">
        <v>2111</v>
      </c>
      <c r="G3" s="7" t="str">
        <f t="shared" si="0"/>
        <v>Podaci ispod izvještaja:</v>
      </c>
      <c r="H3" s="7" t="str">
        <f t="shared" ref="H3:H52" si="2">SUBSTITUTE(A3&amp;"_"&amp;B3," ","_")</f>
        <v>Objasnjenja_Podnozje</v>
      </c>
      <c r="I3">
        <f t="shared" si="1"/>
        <v>1</v>
      </c>
    </row>
    <row r="4" spans="1:9" x14ac:dyDescent="0.3">
      <c r="A4" s="1" t="s">
        <v>206</v>
      </c>
      <c r="B4" s="1" t="s">
        <v>209</v>
      </c>
      <c r="C4" s="1" t="s">
        <v>232</v>
      </c>
      <c r="D4" s="1" t="s">
        <v>272</v>
      </c>
      <c r="E4" s="1" t="s">
        <v>233</v>
      </c>
      <c r="F4" t="s">
        <v>2112</v>
      </c>
      <c r="G4" s="7" t="str">
        <f t="shared" si="0"/>
        <v>Naziv banke</v>
      </c>
      <c r="H4" s="7" t="str">
        <f t="shared" si="2"/>
        <v>Objasnjenja_Banka</v>
      </c>
      <c r="I4">
        <f t="shared" si="1"/>
        <v>1</v>
      </c>
    </row>
    <row r="5" spans="1:9" x14ac:dyDescent="0.3">
      <c r="A5" s="1" t="s">
        <v>206</v>
      </c>
      <c r="B5" s="1" t="s">
        <v>210</v>
      </c>
      <c r="C5" s="1" t="s">
        <v>211</v>
      </c>
      <c r="D5" s="1" t="s">
        <v>273</v>
      </c>
      <c r="E5" s="1" t="s">
        <v>107</v>
      </c>
      <c r="F5" t="s">
        <v>2113</v>
      </c>
      <c r="G5" s="7" t="str">
        <f t="shared" si="0"/>
        <v>Računi u banci:</v>
      </c>
      <c r="H5" s="7" t="str">
        <f t="shared" si="2"/>
        <v>Objasnjenja_Bankovni_racun</v>
      </c>
      <c r="I5" s="3">
        <f t="shared" si="1"/>
        <v>1</v>
      </c>
    </row>
    <row r="6" spans="1:9" x14ac:dyDescent="0.3">
      <c r="A6" s="1" t="s">
        <v>206</v>
      </c>
      <c r="B6" s="1" t="s">
        <v>2759</v>
      </c>
      <c r="C6" s="1" t="s">
        <v>212</v>
      </c>
      <c r="D6" s="1" t="s">
        <v>2756</v>
      </c>
      <c r="E6" s="1" t="s">
        <v>2757</v>
      </c>
      <c r="F6" s="433" t="s">
        <v>2758</v>
      </c>
      <c r="G6" s="7" t="str">
        <f>CHOOSE( ID_Jezik, C6, D6, E6,F6)</f>
        <v>Kontakt podaci:</v>
      </c>
      <c r="H6" s="7" t="str">
        <f t="shared" ref="H6:H11" si="3">SUBSTITUTE(A6&amp;"_"&amp;B6," ","_")</f>
        <v>Objasnjenja_Kontakti</v>
      </c>
      <c r="I6" s="3">
        <f t="shared" si="1"/>
        <v>1</v>
      </c>
    </row>
    <row r="7" spans="1:9" x14ac:dyDescent="0.3">
      <c r="A7" s="1" t="s">
        <v>206</v>
      </c>
      <c r="B7" s="1" t="s">
        <v>429</v>
      </c>
      <c r="C7" s="1" t="s">
        <v>401</v>
      </c>
      <c r="D7" s="1" t="s">
        <v>428</v>
      </c>
      <c r="E7" s="1" t="s">
        <v>403</v>
      </c>
      <c r="F7" t="s">
        <v>2114</v>
      </c>
      <c r="G7" s="7" t="str">
        <f t="shared" si="0"/>
        <v>Glavni račun:</v>
      </c>
      <c r="H7" s="7" t="str">
        <f t="shared" si="3"/>
        <v>Objasnjenja_Glavni_racun</v>
      </c>
      <c r="I7" s="3">
        <f t="shared" si="1"/>
        <v>1</v>
      </c>
    </row>
    <row r="8" spans="1:9" x14ac:dyDescent="0.3">
      <c r="A8" s="1" t="s">
        <v>206</v>
      </c>
      <c r="B8" s="1" t="s">
        <v>267</v>
      </c>
      <c r="C8" s="1" t="s">
        <v>267</v>
      </c>
      <c r="D8" s="1" t="s">
        <v>274</v>
      </c>
      <c r="E8" s="1" t="s">
        <v>268</v>
      </c>
      <c r="F8" t="s">
        <v>2115</v>
      </c>
      <c r="G8" s="7" t="str">
        <f t="shared" si="0"/>
        <v>Navigacija</v>
      </c>
      <c r="H8" s="7" t="str">
        <f t="shared" si="3"/>
        <v>Objasnjenja_Navigacija</v>
      </c>
      <c r="I8" s="3">
        <f t="shared" si="1"/>
        <v>1</v>
      </c>
    </row>
    <row r="9" spans="1:9" x14ac:dyDescent="0.3">
      <c r="A9" s="1" t="s">
        <v>206</v>
      </c>
      <c r="B9" s="1" t="s">
        <v>182</v>
      </c>
      <c r="C9" s="1" t="s">
        <v>182</v>
      </c>
      <c r="D9" s="1" t="s">
        <v>433</v>
      </c>
      <c r="E9" s="1" t="s">
        <v>430</v>
      </c>
      <c r="F9" t="s">
        <v>2116</v>
      </c>
      <c r="G9" s="7" t="str">
        <f t="shared" si="0"/>
        <v>Dan</v>
      </c>
      <c r="H9" s="7" t="str">
        <f t="shared" si="3"/>
        <v>Objasnjenja_Dan</v>
      </c>
      <c r="I9" s="3">
        <f t="shared" si="1"/>
        <v>1</v>
      </c>
    </row>
    <row r="10" spans="1:9" x14ac:dyDescent="0.3">
      <c r="A10" s="1" t="s">
        <v>206</v>
      </c>
      <c r="B10" s="1" t="s">
        <v>181</v>
      </c>
      <c r="C10" s="1" t="s">
        <v>181</v>
      </c>
      <c r="D10" s="1" t="s">
        <v>434</v>
      </c>
      <c r="E10" s="1" t="s">
        <v>431</v>
      </c>
      <c r="F10" t="s">
        <v>2117</v>
      </c>
      <c r="G10" s="7" t="str">
        <f t="shared" si="0"/>
        <v>Mjesec</v>
      </c>
      <c r="H10" s="7" t="str">
        <f t="shared" si="3"/>
        <v>Objasnjenja_Mjesec</v>
      </c>
      <c r="I10" s="3">
        <f t="shared" si="1"/>
        <v>1</v>
      </c>
    </row>
    <row r="11" spans="1:9" x14ac:dyDescent="0.3">
      <c r="A11" s="1" t="s">
        <v>206</v>
      </c>
      <c r="B11" s="1" t="s">
        <v>177</v>
      </c>
      <c r="C11" s="1" t="s">
        <v>177</v>
      </c>
      <c r="D11" s="1" t="s">
        <v>435</v>
      </c>
      <c r="E11" s="1" t="s">
        <v>432</v>
      </c>
      <c r="F11" t="s">
        <v>2118</v>
      </c>
      <c r="G11" s="7" t="str">
        <f t="shared" si="0"/>
        <v>Godina</v>
      </c>
      <c r="H11" s="7" t="str">
        <f t="shared" si="3"/>
        <v>Objasnjenja_Godina</v>
      </c>
      <c r="I11" s="3">
        <f t="shared" si="1"/>
        <v>1</v>
      </c>
    </row>
    <row r="12" spans="1:9" x14ac:dyDescent="0.3">
      <c r="A12" s="1" t="s">
        <v>213</v>
      </c>
      <c r="B12" s="1" t="s">
        <v>214</v>
      </c>
      <c r="C12" s="1" t="s">
        <v>215</v>
      </c>
      <c r="D12" s="1" t="s">
        <v>228</v>
      </c>
      <c r="E12" s="1" t="s">
        <v>223</v>
      </c>
      <c r="F12" t="s">
        <v>2119</v>
      </c>
      <c r="G12" s="7" t="str">
        <f t="shared" si="0"/>
        <v>Adresa i broj:</v>
      </c>
      <c r="H12" s="7" t="str">
        <f t="shared" si="2"/>
        <v>Kontakt_Adresa</v>
      </c>
      <c r="I12" s="3">
        <f t="shared" si="1"/>
        <v>1</v>
      </c>
    </row>
    <row r="13" spans="1:9" x14ac:dyDescent="0.3">
      <c r="A13" s="1" t="s">
        <v>213</v>
      </c>
      <c r="B13" s="1" t="s">
        <v>220</v>
      </c>
      <c r="C13" s="1" t="s">
        <v>217</v>
      </c>
      <c r="D13" s="1" t="s">
        <v>229</v>
      </c>
      <c r="E13" s="1" t="s">
        <v>225</v>
      </c>
      <c r="F13" t="s">
        <v>2120</v>
      </c>
      <c r="G13" s="7" t="str">
        <f t="shared" si="0"/>
        <v>Internet adresa:</v>
      </c>
      <c r="H13" s="7" t="str">
        <f t="shared" si="2"/>
        <v>Kontakt_web</v>
      </c>
      <c r="I13" s="3">
        <f t="shared" si="1"/>
        <v>1</v>
      </c>
    </row>
    <row r="14" spans="1:9" x14ac:dyDescent="0.3">
      <c r="A14" s="1" t="s">
        <v>213</v>
      </c>
      <c r="B14" s="1" t="s">
        <v>216</v>
      </c>
      <c r="C14" s="1" t="s">
        <v>300</v>
      </c>
      <c r="D14" s="1" t="s">
        <v>301</v>
      </c>
      <c r="E14" s="1" t="s">
        <v>224</v>
      </c>
      <c r="F14" t="s">
        <v>2121</v>
      </c>
      <c r="G14" s="7" t="str">
        <f t="shared" si="0"/>
        <v>Adresa e-pošte (email):</v>
      </c>
      <c r="H14" s="7" t="str">
        <f t="shared" si="2"/>
        <v>Kontakt_email</v>
      </c>
      <c r="I14" s="3">
        <f t="shared" si="1"/>
        <v>1</v>
      </c>
    </row>
    <row r="15" spans="1:9" x14ac:dyDescent="0.3">
      <c r="A15" s="1" t="s">
        <v>213</v>
      </c>
      <c r="B15" s="1" t="s">
        <v>221</v>
      </c>
      <c r="C15" s="1" t="s">
        <v>218</v>
      </c>
      <c r="D15" s="1" t="s">
        <v>230</v>
      </c>
      <c r="E15" s="1" t="s">
        <v>226</v>
      </c>
      <c r="F15" t="s">
        <v>2122</v>
      </c>
      <c r="G15" s="7" t="str">
        <f t="shared" si="0"/>
        <v>Telefon:</v>
      </c>
      <c r="H15" s="7" t="str">
        <f t="shared" si="2"/>
        <v>Kontakt_tel</v>
      </c>
      <c r="I15" s="3">
        <f t="shared" si="1"/>
        <v>1</v>
      </c>
    </row>
    <row r="16" spans="1:9" x14ac:dyDescent="0.3">
      <c r="A16" s="1" t="s">
        <v>213</v>
      </c>
      <c r="B16" s="1" t="s">
        <v>222</v>
      </c>
      <c r="C16" s="1" t="s">
        <v>219</v>
      </c>
      <c r="D16" s="1" t="s">
        <v>231</v>
      </c>
      <c r="E16" s="1" t="s">
        <v>227</v>
      </c>
      <c r="F16" t="s">
        <v>2123</v>
      </c>
      <c r="G16" s="7" t="str">
        <f t="shared" si="0"/>
        <v>Faks:</v>
      </c>
      <c r="H16" s="7" t="str">
        <f t="shared" si="2"/>
        <v>Kontakt_fax</v>
      </c>
      <c r="I16" s="3">
        <f t="shared" si="1"/>
        <v>1</v>
      </c>
    </row>
    <row r="17" spans="1:9" x14ac:dyDescent="0.3">
      <c r="A17" s="1" t="s">
        <v>261</v>
      </c>
      <c r="B17" s="1" t="s">
        <v>185</v>
      </c>
      <c r="C17" s="1" t="s">
        <v>247</v>
      </c>
      <c r="D17" s="1" t="s">
        <v>277</v>
      </c>
      <c r="E17" s="1" t="s">
        <v>247</v>
      </c>
      <c r="F17" t="s">
        <v>2124</v>
      </c>
      <c r="G17" s="1" t="str">
        <f t="shared" si="0"/>
        <v>Izaberite jezik | Choose language</v>
      </c>
      <c r="H17" s="7" t="str">
        <f t="shared" si="2"/>
        <v>Osnovno_Izaberite_jezik</v>
      </c>
      <c r="I17">
        <f t="shared" si="1"/>
        <v>1</v>
      </c>
    </row>
    <row r="18" spans="1:9" x14ac:dyDescent="0.3">
      <c r="A18" s="1" t="s">
        <v>261</v>
      </c>
      <c r="B18" s="1" t="s">
        <v>452</v>
      </c>
      <c r="C18" s="1" t="s">
        <v>455</v>
      </c>
      <c r="D18" s="1" t="s">
        <v>454</v>
      </c>
      <c r="E18" s="1" t="s">
        <v>453</v>
      </c>
      <c r="F18" t="s">
        <v>2125</v>
      </c>
      <c r="G18" s="7" t="str">
        <f t="shared" si="0"/>
        <v>Izvještajni period:</v>
      </c>
      <c r="H18" s="7" t="str">
        <f>SUBSTITUTE(A18&amp;"_"&amp;B18," ","_")</f>
        <v>Osnovno_Izvjestajni_period</v>
      </c>
      <c r="I18" s="3">
        <f t="shared" si="1"/>
        <v>1</v>
      </c>
    </row>
    <row r="19" spans="1:9" x14ac:dyDescent="0.3">
      <c r="A19" s="1" t="s">
        <v>261</v>
      </c>
      <c r="B19" s="1" t="s">
        <v>424</v>
      </c>
      <c r="C19" s="1" t="s">
        <v>397</v>
      </c>
      <c r="D19" s="1" t="s">
        <v>426</v>
      </c>
      <c r="E19" s="1" t="s">
        <v>404</v>
      </c>
      <c r="F19" t="s">
        <v>2126</v>
      </c>
      <c r="G19" s="7" t="str">
        <f t="shared" si="0"/>
        <v>Početak izvještajnog perioda:</v>
      </c>
      <c r="H19" s="7" t="str">
        <f t="shared" si="2"/>
        <v>Osnovno_Pocetak_perioda</v>
      </c>
      <c r="I19">
        <f t="shared" si="1"/>
        <v>1</v>
      </c>
    </row>
    <row r="20" spans="1:9" x14ac:dyDescent="0.3">
      <c r="A20" s="1" t="s">
        <v>261</v>
      </c>
      <c r="B20" s="1" t="s">
        <v>425</v>
      </c>
      <c r="C20" s="1" t="s">
        <v>396</v>
      </c>
      <c r="D20" s="1" t="s">
        <v>427</v>
      </c>
      <c r="E20" s="1" t="s">
        <v>405</v>
      </c>
      <c r="F20" t="s">
        <v>2127</v>
      </c>
      <c r="G20" s="7" t="str">
        <f t="shared" si="0"/>
        <v>Kraj izvještajnog perioda:</v>
      </c>
      <c r="H20" s="7" t="str">
        <f t="shared" si="2"/>
        <v>Osnovno_Kraj_perioda</v>
      </c>
      <c r="I20">
        <f t="shared" si="1"/>
        <v>1</v>
      </c>
    </row>
    <row r="21" spans="1:9" x14ac:dyDescent="0.3">
      <c r="A21" s="1" t="s">
        <v>261</v>
      </c>
      <c r="B21" s="1" t="s">
        <v>303</v>
      </c>
      <c r="C21" s="1" t="s">
        <v>479</v>
      </c>
      <c r="D21" s="1" t="s">
        <v>480</v>
      </c>
      <c r="E21" s="1" t="s">
        <v>481</v>
      </c>
      <c r="F21" t="s">
        <v>2128</v>
      </c>
      <c r="G21" s="7" t="str">
        <f t="shared" si="0"/>
        <v>Vrsta izvještaja:</v>
      </c>
      <c r="H21" s="7" t="str">
        <f>SUBSTITUTE(A21&amp;"_"&amp;B21," ","_")</f>
        <v>Osnovno_Vrsta_izvjestaja</v>
      </c>
      <c r="I21" s="3">
        <f t="shared" si="1"/>
        <v>1</v>
      </c>
    </row>
    <row r="22" spans="1:9" x14ac:dyDescent="0.3">
      <c r="A22" s="1" t="s">
        <v>234</v>
      </c>
      <c r="B22" s="1" t="s">
        <v>235</v>
      </c>
      <c r="C22" s="1" t="s">
        <v>179</v>
      </c>
      <c r="D22" s="1" t="s">
        <v>243</v>
      </c>
      <c r="E22" s="1" t="s">
        <v>239</v>
      </c>
      <c r="F22" t="s">
        <v>2129</v>
      </c>
      <c r="G22" s="7" t="str">
        <f t="shared" si="0"/>
        <v>Prvi kvartal</v>
      </c>
      <c r="H22" s="7" t="str">
        <f t="shared" si="2"/>
        <v>Vrsta_izvjestaja_Prvi_kvartal</v>
      </c>
      <c r="I22" s="3">
        <f t="shared" si="1"/>
        <v>1</v>
      </c>
    </row>
    <row r="23" spans="1:9" x14ac:dyDescent="0.3">
      <c r="A23" s="1" t="s">
        <v>234</v>
      </c>
      <c r="B23" s="1" t="s">
        <v>236</v>
      </c>
      <c r="C23" s="1" t="s">
        <v>178</v>
      </c>
      <c r="D23" s="1" t="s">
        <v>244</v>
      </c>
      <c r="E23" s="1" t="s">
        <v>241</v>
      </c>
      <c r="F23" t="s">
        <v>2130</v>
      </c>
      <c r="G23" s="7" t="str">
        <f t="shared" si="0"/>
        <v>Polugodišnji</v>
      </c>
      <c r="H23" s="7" t="str">
        <f t="shared" si="2"/>
        <v>Vrsta_izvjestaja_Polugodisnji</v>
      </c>
      <c r="I23" s="3">
        <f t="shared" si="1"/>
        <v>1</v>
      </c>
    </row>
    <row r="24" spans="1:9" x14ac:dyDescent="0.3">
      <c r="A24" s="1" t="s">
        <v>234</v>
      </c>
      <c r="B24" s="1" t="s">
        <v>237</v>
      </c>
      <c r="C24" s="1" t="s">
        <v>180</v>
      </c>
      <c r="D24" s="1" t="s">
        <v>245</v>
      </c>
      <c r="E24" s="1" t="s">
        <v>240</v>
      </c>
      <c r="F24" t="s">
        <v>2131</v>
      </c>
      <c r="G24" s="7" t="str">
        <f t="shared" si="0"/>
        <v>Treći kvartal</v>
      </c>
      <c r="H24" s="7" t="str">
        <f t="shared" si="2"/>
        <v>Vrsta_izvjestaja_Treci_kvartal</v>
      </c>
      <c r="I24" s="3">
        <f t="shared" si="1"/>
        <v>1</v>
      </c>
    </row>
    <row r="25" spans="1:9" x14ac:dyDescent="0.3">
      <c r="A25" s="1" t="s">
        <v>234</v>
      </c>
      <c r="B25" s="1" t="s">
        <v>238</v>
      </c>
      <c r="C25" s="1" t="s">
        <v>175</v>
      </c>
      <c r="D25" s="1" t="s">
        <v>246</v>
      </c>
      <c r="E25" s="1" t="s">
        <v>242</v>
      </c>
      <c r="F25" t="s">
        <v>2132</v>
      </c>
      <c r="G25" s="7" t="str">
        <f t="shared" si="0"/>
        <v>Godišnji</v>
      </c>
      <c r="H25" s="7" t="str">
        <f t="shared" si="2"/>
        <v>Vrsta_izvjestaja_Godisnji</v>
      </c>
      <c r="I25" s="3">
        <f t="shared" si="1"/>
        <v>1</v>
      </c>
    </row>
    <row r="26" spans="1:9" x14ac:dyDescent="0.3">
      <c r="A26" s="1" t="s">
        <v>234</v>
      </c>
      <c r="B26" s="1" t="s">
        <v>475</v>
      </c>
      <c r="C26" s="1" t="s">
        <v>476</v>
      </c>
      <c r="D26" s="1" t="s">
        <v>477</v>
      </c>
      <c r="E26" s="1" t="s">
        <v>478</v>
      </c>
      <c r="F26" t="s">
        <v>2133</v>
      </c>
      <c r="G26" s="7" t="str">
        <f t="shared" si="0"/>
        <v>Specifični</v>
      </c>
      <c r="H26" s="7" t="str">
        <f>SUBSTITUTE(A26&amp;"_"&amp;B26," ","_")</f>
        <v>Vrsta_izvjestaja_Specificni</v>
      </c>
      <c r="I26" s="3">
        <f t="shared" si="1"/>
        <v>1</v>
      </c>
    </row>
    <row r="27" spans="1:9" x14ac:dyDescent="0.3">
      <c r="A27" t="s">
        <v>207</v>
      </c>
      <c r="B27" t="s">
        <v>125</v>
      </c>
      <c r="C27" t="s">
        <v>2747</v>
      </c>
      <c r="D27" t="s">
        <v>2744</v>
      </c>
      <c r="E27" t="s">
        <v>2745</v>
      </c>
      <c r="F27" t="s">
        <v>2746</v>
      </c>
      <c r="G27" t="str">
        <f t="shared" si="0"/>
        <v>Matični broj</v>
      </c>
      <c r="H27" t="str">
        <f t="shared" si="2"/>
        <v>Zaglavlje_MB</v>
      </c>
      <c r="I27">
        <f t="shared" si="1"/>
        <v>1</v>
      </c>
    </row>
    <row r="28" spans="1:9" x14ac:dyDescent="0.3">
      <c r="A28" t="s">
        <v>207</v>
      </c>
      <c r="B28" t="s">
        <v>126</v>
      </c>
      <c r="C28" t="s">
        <v>2748</v>
      </c>
      <c r="D28" t="s">
        <v>2749</v>
      </c>
      <c r="E28" t="s">
        <v>2750</v>
      </c>
      <c r="F28" t="s">
        <v>2751</v>
      </c>
      <c r="G28" t="str">
        <f t="shared" si="0"/>
        <v>Šifra djelatnosti</v>
      </c>
      <c r="H28" t="str">
        <f t="shared" si="2"/>
        <v>Zaglavlje_Sifra_djelatnosti</v>
      </c>
      <c r="I28">
        <f t="shared" si="1"/>
        <v>1</v>
      </c>
    </row>
    <row r="29" spans="1:9" x14ac:dyDescent="0.3">
      <c r="A29" t="s">
        <v>207</v>
      </c>
      <c r="B29" t="s">
        <v>127</v>
      </c>
      <c r="C29" t="s">
        <v>2772</v>
      </c>
      <c r="D29" t="s">
        <v>2773</v>
      </c>
      <c r="E29" t="s">
        <v>104</v>
      </c>
      <c r="F29" t="s">
        <v>2134</v>
      </c>
      <c r="G29" t="str">
        <f t="shared" si="0"/>
        <v xml:space="preserve">Naziv privrednog društva, zadruge, drugog pravnog lica ili preduzetnika: </v>
      </c>
      <c r="H29" t="str">
        <f t="shared" si="2"/>
        <v>Zaglavlje_Naziv_preduzeca</v>
      </c>
      <c r="I29">
        <f t="shared" si="1"/>
        <v>1</v>
      </c>
    </row>
    <row r="30" spans="1:9" x14ac:dyDescent="0.3">
      <c r="A30" t="s">
        <v>207</v>
      </c>
      <c r="B30" t="s">
        <v>128</v>
      </c>
      <c r="C30" t="s">
        <v>102</v>
      </c>
      <c r="D30" t="s">
        <v>113</v>
      </c>
      <c r="E30" t="s">
        <v>103</v>
      </c>
      <c r="F30" t="s">
        <v>2135</v>
      </c>
      <c r="G30" t="str">
        <f t="shared" si="0"/>
        <v>Sjedište:</v>
      </c>
      <c r="H30" t="str">
        <f t="shared" si="2"/>
        <v>Zaglavlje_Sjediste</v>
      </c>
      <c r="I30">
        <f t="shared" si="1"/>
        <v>1</v>
      </c>
    </row>
    <row r="31" spans="1:9" x14ac:dyDescent="0.3">
      <c r="A31" t="s">
        <v>207</v>
      </c>
      <c r="B31" t="s">
        <v>55</v>
      </c>
      <c r="C31" t="s">
        <v>55</v>
      </c>
      <c r="D31" t="s">
        <v>1123</v>
      </c>
      <c r="E31" t="s">
        <v>1124</v>
      </c>
      <c r="F31" t="s">
        <v>2136</v>
      </c>
      <c r="G31" t="str">
        <f t="shared" si="0"/>
        <v>JIB</v>
      </c>
      <c r="H31" t="str">
        <f t="shared" si="2"/>
        <v>Zaglavlje_JIB</v>
      </c>
      <c r="I31">
        <f t="shared" si="1"/>
        <v>1</v>
      </c>
    </row>
    <row r="32" spans="1:9" x14ac:dyDescent="0.3">
      <c r="A32" t="s">
        <v>207</v>
      </c>
      <c r="B32" t="s">
        <v>129</v>
      </c>
      <c r="C32" t="s">
        <v>1125</v>
      </c>
      <c r="D32" t="s">
        <v>1126</v>
      </c>
      <c r="E32" t="s">
        <v>107</v>
      </c>
      <c r="F32" t="s">
        <v>2137</v>
      </c>
      <c r="G32" t="str">
        <f t="shared" si="0"/>
        <v>Račun kod ovlašćene organizacije za platni promet:</v>
      </c>
      <c r="H32" t="str">
        <f t="shared" si="2"/>
        <v>Zaglavlje_Ziro_racun</v>
      </c>
      <c r="I32">
        <f t="shared" si="1"/>
        <v>1</v>
      </c>
    </row>
    <row r="33" spans="1:9" x14ac:dyDescent="0.3">
      <c r="A33" t="s">
        <v>393</v>
      </c>
      <c r="B33" t="s">
        <v>462</v>
      </c>
      <c r="C33" t="s">
        <v>459</v>
      </c>
      <c r="D33" t="s">
        <v>461</v>
      </c>
      <c r="E33" t="s">
        <v>460</v>
      </c>
      <c r="F33" t="s">
        <v>2138</v>
      </c>
      <c r="G33" s="3" t="str">
        <f t="shared" si="0"/>
        <v>Konsolidovan izvještaj:</v>
      </c>
      <c r="H33" s="3" t="str">
        <f>SUBSTITUTE(A33&amp;"_"&amp;B33," ","_")</f>
        <v>Konsolidovani_Konsolidavani_Izvjestaj</v>
      </c>
      <c r="I33" s="3">
        <f t="shared" si="1"/>
        <v>1</v>
      </c>
    </row>
    <row r="34" spans="1:9" x14ac:dyDescent="0.3">
      <c r="A34" t="s">
        <v>393</v>
      </c>
      <c r="B34" t="s">
        <v>393</v>
      </c>
      <c r="C34" t="s">
        <v>456</v>
      </c>
      <c r="D34" t="s">
        <v>458</v>
      </c>
      <c r="E34" t="s">
        <v>457</v>
      </c>
      <c r="F34" t="s">
        <v>2139</v>
      </c>
      <c r="G34" s="3" t="str">
        <f t="shared" si="0"/>
        <v>Preduzeće konsolidacije</v>
      </c>
      <c r="H34" s="3" t="str">
        <f>SUBSTITUTE(A34&amp;"_"&amp;B34," ","_")</f>
        <v>Konsolidovani_Konsolidovani</v>
      </c>
      <c r="I34" s="3">
        <f t="shared" ref="I34:I65" si="4">COUNTIF($B$2:$B$1034,"="&amp;B34)</f>
        <v>1</v>
      </c>
    </row>
    <row r="35" spans="1:9" x14ac:dyDescent="0.3">
      <c r="A35" t="s">
        <v>208</v>
      </c>
      <c r="B35" t="s">
        <v>63</v>
      </c>
      <c r="C35" t="s">
        <v>696</v>
      </c>
      <c r="D35" t="s">
        <v>114</v>
      </c>
      <c r="E35" t="s">
        <v>54</v>
      </c>
      <c r="F35" t="s">
        <v>2140</v>
      </c>
      <c r="G35" t="str">
        <f t="shared" ref="G35:G70" si="5">CHOOSE( ID_Jezik, C35, D35, E35,F35)</f>
        <v>U:</v>
      </c>
      <c r="H35" t="str">
        <f t="shared" si="2"/>
        <v>Podnozje_U</v>
      </c>
      <c r="I35">
        <f t="shared" si="4"/>
        <v>1</v>
      </c>
    </row>
    <row r="36" spans="1:9" x14ac:dyDescent="0.3">
      <c r="A36" t="s">
        <v>208</v>
      </c>
      <c r="B36" t="s">
        <v>64</v>
      </c>
      <c r="C36" t="s">
        <v>1314</v>
      </c>
      <c r="D36" t="s">
        <v>1313</v>
      </c>
      <c r="E36" t="s">
        <v>697</v>
      </c>
      <c r="F36" t="s">
        <v>2141</v>
      </c>
      <c r="G36" t="str">
        <f t="shared" si="5"/>
        <v>Dana:</v>
      </c>
      <c r="H36" t="str">
        <f t="shared" si="2"/>
        <v>Podnozje_Dana</v>
      </c>
      <c r="I36">
        <f t="shared" si="4"/>
        <v>1</v>
      </c>
    </row>
    <row r="37" spans="1:9" x14ac:dyDescent="0.3">
      <c r="A37" t="s">
        <v>208</v>
      </c>
      <c r="B37" t="s">
        <v>130</v>
      </c>
      <c r="C37" t="s">
        <v>111</v>
      </c>
      <c r="D37" t="s">
        <v>115</v>
      </c>
      <c r="E37" t="s">
        <v>438</v>
      </c>
      <c r="F37" t="s">
        <v>2142</v>
      </c>
      <c r="G37" t="str">
        <f t="shared" si="5"/>
        <v>Lice sa licencom:</v>
      </c>
      <c r="H37" t="str">
        <f t="shared" si="2"/>
        <v>Podnozje_Lice_sa_licencom</v>
      </c>
      <c r="I37">
        <f t="shared" si="4"/>
        <v>1</v>
      </c>
    </row>
    <row r="38" spans="1:9" x14ac:dyDescent="0.3">
      <c r="A38" t="s">
        <v>208</v>
      </c>
      <c r="B38" t="s">
        <v>436</v>
      </c>
      <c r="C38" t="s">
        <v>402</v>
      </c>
      <c r="D38" t="s">
        <v>437</v>
      </c>
      <c r="E38" t="s">
        <v>698</v>
      </c>
      <c r="F38" t="s">
        <v>2143</v>
      </c>
      <c r="G38" s="3" t="str">
        <f t="shared" si="5"/>
        <v>Broj licence:</v>
      </c>
      <c r="H38" s="3" t="str">
        <f>SUBSTITUTE(A38&amp;"_"&amp;B38," ","_")</f>
        <v>Podnozje_Broj_licence</v>
      </c>
      <c r="I38" s="3">
        <f t="shared" si="4"/>
        <v>1</v>
      </c>
    </row>
    <row r="39" spans="1:9" x14ac:dyDescent="0.3">
      <c r="A39" t="s">
        <v>208</v>
      </c>
      <c r="B39" t="s">
        <v>65</v>
      </c>
      <c r="C39" t="s">
        <v>695</v>
      </c>
      <c r="D39" t="s">
        <v>694</v>
      </c>
      <c r="E39" t="s">
        <v>406</v>
      </c>
      <c r="F39" t="s">
        <v>2144</v>
      </c>
      <c r="G39" t="str">
        <f t="shared" si="5"/>
        <v>Lice ovlašćeno za zastupanje:</v>
      </c>
      <c r="H39" t="str">
        <f t="shared" si="2"/>
        <v>Podnozje_Direktor</v>
      </c>
      <c r="I39">
        <f t="shared" si="4"/>
        <v>1</v>
      </c>
    </row>
    <row r="40" spans="1:9" x14ac:dyDescent="0.3">
      <c r="A40" t="s">
        <v>208</v>
      </c>
      <c r="B40" t="s">
        <v>3030</v>
      </c>
      <c r="D40" t="s">
        <v>3026</v>
      </c>
      <c r="E40" t="s">
        <v>3036</v>
      </c>
      <c r="F40">
        <v>1</v>
      </c>
      <c r="G40">
        <f t="shared" si="5"/>
        <v>0</v>
      </c>
      <c r="H40" t="str">
        <f>SUBSTITUTE(A40&amp;"_"&amp;B40," ","_")</f>
        <v>Podnozje_Napomena_1.</v>
      </c>
      <c r="I40">
        <f t="shared" si="4"/>
        <v>1</v>
      </c>
    </row>
    <row r="41" spans="1:9" x14ac:dyDescent="0.3">
      <c r="A41" t="s">
        <v>208</v>
      </c>
      <c r="B41" t="s">
        <v>3031</v>
      </c>
      <c r="D41" t="s">
        <v>3027</v>
      </c>
      <c r="E41" t="s">
        <v>3035</v>
      </c>
      <c r="F41">
        <v>2</v>
      </c>
      <c r="G41">
        <f t="shared" si="5"/>
        <v>0</v>
      </c>
      <c r="H41" t="str">
        <f>SUBSTITUTE(A41&amp;"_"&amp;B41," ","_")</f>
        <v>Podnozje_Napomena_2.</v>
      </c>
      <c r="I41">
        <f t="shared" si="4"/>
        <v>1</v>
      </c>
    </row>
    <row r="42" spans="1:9" x14ac:dyDescent="0.3">
      <c r="A42" t="s">
        <v>208</v>
      </c>
      <c r="B42" t="s">
        <v>3032</v>
      </c>
      <c r="D42" t="s">
        <v>3028</v>
      </c>
      <c r="E42" t="s">
        <v>3037</v>
      </c>
      <c r="F42">
        <v>3</v>
      </c>
      <c r="G42">
        <f t="shared" si="5"/>
        <v>0</v>
      </c>
      <c r="H42" t="str">
        <f>SUBSTITUTE(A42&amp;"_"&amp;B42," ","_")</f>
        <v>Podnozje_Napomena_3.</v>
      </c>
      <c r="I42">
        <f t="shared" si="4"/>
        <v>1</v>
      </c>
    </row>
    <row r="43" spans="1:9" x14ac:dyDescent="0.3">
      <c r="A43" t="s">
        <v>208</v>
      </c>
      <c r="B43" t="s">
        <v>3033</v>
      </c>
      <c r="D43" t="s">
        <v>3029</v>
      </c>
      <c r="E43" t="s">
        <v>3034</v>
      </c>
      <c r="F43">
        <v>4</v>
      </c>
      <c r="G43">
        <f t="shared" si="5"/>
        <v>0</v>
      </c>
      <c r="H43" t="str">
        <f>SUBSTITUTE(A43&amp;"_"&amp;B43," ","_")</f>
        <v>Podnozje_Napomena_4.</v>
      </c>
      <c r="I43">
        <f t="shared" si="4"/>
        <v>1</v>
      </c>
    </row>
    <row r="44" spans="1:9" x14ac:dyDescent="0.3">
      <c r="A44" t="s">
        <v>208</v>
      </c>
      <c r="B44" t="s">
        <v>131</v>
      </c>
      <c r="C44" t="s">
        <v>112</v>
      </c>
      <c r="D44" t="s">
        <v>116</v>
      </c>
      <c r="E44" t="s">
        <v>201</v>
      </c>
      <c r="F44" t="s">
        <v>116</v>
      </c>
      <c r="G44" t="str">
        <f t="shared" si="5"/>
        <v>(M.P.)</v>
      </c>
      <c r="H44" t="str">
        <f t="shared" si="2"/>
        <v>Podnozje_MP</v>
      </c>
      <c r="I44">
        <f t="shared" si="4"/>
        <v>1</v>
      </c>
    </row>
    <row r="45" spans="1:9" x14ac:dyDescent="0.3">
      <c r="A45" t="s">
        <v>110</v>
      </c>
      <c r="B45" t="s">
        <v>722</v>
      </c>
      <c r="C45" t="s">
        <v>723</v>
      </c>
      <c r="D45" t="s">
        <v>724</v>
      </c>
      <c r="E45" t="s">
        <v>725</v>
      </c>
      <c r="F45" t="s">
        <v>2145</v>
      </c>
      <c r="G45" s="3" t="str">
        <f t="shared" si="5"/>
        <v xml:space="preserve">Konsolidovani </v>
      </c>
      <c r="H45" t="str">
        <f t="shared" si="2"/>
        <v>Nazivi_bilansa_Konsolidovani_naziv</v>
      </c>
      <c r="I45">
        <f t="shared" si="4"/>
        <v>1</v>
      </c>
    </row>
    <row r="46" spans="1:9" x14ac:dyDescent="0.3">
      <c r="A46" t="s">
        <v>110</v>
      </c>
      <c r="B46" t="s">
        <v>132</v>
      </c>
      <c r="C46" t="s">
        <v>16</v>
      </c>
      <c r="D46" t="s">
        <v>117</v>
      </c>
      <c r="E46" t="s">
        <v>14</v>
      </c>
      <c r="F46" t="s">
        <v>2146</v>
      </c>
      <c r="G46" t="str">
        <f t="shared" si="5"/>
        <v>Bilans stanja</v>
      </c>
      <c r="H46" t="str">
        <f t="shared" si="2"/>
        <v>Nazivi_bilansa_BS</v>
      </c>
      <c r="I46">
        <f t="shared" si="4"/>
        <v>1</v>
      </c>
    </row>
    <row r="47" spans="1:9" x14ac:dyDescent="0.3">
      <c r="A47" t="s">
        <v>110</v>
      </c>
      <c r="B47" t="s">
        <v>150</v>
      </c>
      <c r="C47" t="s">
        <v>156</v>
      </c>
      <c r="D47" t="s">
        <v>186</v>
      </c>
      <c r="E47" t="s">
        <v>202</v>
      </c>
      <c r="F47" t="s">
        <v>2147</v>
      </c>
      <c r="G47" s="3" t="str">
        <f t="shared" si="5"/>
        <v>(Izvještaj o finansijskom položaju)</v>
      </c>
      <c r="H47" s="3" t="str">
        <f t="shared" si="2"/>
        <v>Nazivi_bilansa_BS1</v>
      </c>
      <c r="I47" s="3">
        <f t="shared" si="4"/>
        <v>1</v>
      </c>
    </row>
    <row r="48" spans="1:9" x14ac:dyDescent="0.3">
      <c r="A48" t="s">
        <v>110</v>
      </c>
      <c r="B48" t="s">
        <v>255</v>
      </c>
      <c r="C48" t="s">
        <v>17</v>
      </c>
      <c r="D48" t="s">
        <v>118</v>
      </c>
      <c r="E48" t="s">
        <v>15</v>
      </c>
      <c r="F48" t="s">
        <v>2148</v>
      </c>
      <c r="G48" t="str">
        <f t="shared" si="5"/>
        <v>Bilans uspjeha</v>
      </c>
      <c r="H48" t="str">
        <f t="shared" si="2"/>
        <v>Nazivi_bilansa_BUa</v>
      </c>
      <c r="I48">
        <f t="shared" si="4"/>
        <v>1</v>
      </c>
    </row>
    <row r="49" spans="1:9" x14ac:dyDescent="0.3">
      <c r="A49" t="s">
        <v>110</v>
      </c>
      <c r="B49" t="s">
        <v>263</v>
      </c>
      <c r="C49" t="s">
        <v>154</v>
      </c>
      <c r="D49" t="s">
        <v>187</v>
      </c>
      <c r="E49" t="s">
        <v>309</v>
      </c>
      <c r="F49" t="s">
        <v>2149</v>
      </c>
      <c r="G49" s="3" t="str">
        <f t="shared" si="5"/>
        <v>(Izvještaj o ukupnom rezultatu u periodu)</v>
      </c>
      <c r="H49" s="3" t="str">
        <f t="shared" si="2"/>
        <v>Nazivi_bilansa_BUa1</v>
      </c>
      <c r="I49" s="3">
        <f t="shared" si="4"/>
        <v>1</v>
      </c>
    </row>
    <row r="50" spans="1:9" x14ac:dyDescent="0.3">
      <c r="A50" t="s">
        <v>110</v>
      </c>
      <c r="B50" t="s">
        <v>264</v>
      </c>
      <c r="C50" t="s">
        <v>266</v>
      </c>
      <c r="D50" t="s">
        <v>275</v>
      </c>
      <c r="E50" t="s">
        <v>310</v>
      </c>
      <c r="F50" t="s">
        <v>2150</v>
      </c>
      <c r="G50" s="3" t="str">
        <f t="shared" si="5"/>
        <v>Izvještaj</v>
      </c>
      <c r="H50" s="3" t="str">
        <f>SUBSTITUTE(A50&amp;"_"&amp;B50," ","_")</f>
        <v>Nazivi_bilansa_BUb</v>
      </c>
      <c r="I50" s="3">
        <f t="shared" si="4"/>
        <v>1</v>
      </c>
    </row>
    <row r="51" spans="1:9" x14ac:dyDescent="0.3">
      <c r="A51" t="s">
        <v>110</v>
      </c>
      <c r="B51" t="s">
        <v>265</v>
      </c>
      <c r="C51" t="s">
        <v>2236</v>
      </c>
      <c r="D51" t="s">
        <v>2237</v>
      </c>
      <c r="E51" t="s">
        <v>342</v>
      </c>
      <c r="F51" t="s">
        <v>2151</v>
      </c>
      <c r="G51" s="3" t="str">
        <f t="shared" si="5"/>
        <v>o ostalom rezultatu u periodu</v>
      </c>
      <c r="H51" s="3" t="str">
        <f>SUBSTITUTE(A51&amp;"_"&amp;B51," ","_")</f>
        <v>Nazivi_bilansa_BUb1</v>
      </c>
      <c r="I51" s="3">
        <f t="shared" si="4"/>
        <v>1</v>
      </c>
    </row>
    <row r="52" spans="1:9" x14ac:dyDescent="0.3">
      <c r="A52" t="s">
        <v>110</v>
      </c>
      <c r="B52" t="s">
        <v>133</v>
      </c>
      <c r="C52" t="s">
        <v>18</v>
      </c>
      <c r="D52" t="s">
        <v>119</v>
      </c>
      <c r="E52" t="s">
        <v>24</v>
      </c>
      <c r="F52" t="s">
        <v>2152</v>
      </c>
      <c r="G52" t="str">
        <f t="shared" si="5"/>
        <v>Bilans tokova gotovine</v>
      </c>
      <c r="H52" t="str">
        <f t="shared" si="2"/>
        <v>Nazivi_bilansa_BTG</v>
      </c>
      <c r="I52">
        <f t="shared" si="4"/>
        <v>1</v>
      </c>
    </row>
    <row r="53" spans="1:9" x14ac:dyDescent="0.3">
      <c r="A53" t="s">
        <v>110</v>
      </c>
      <c r="B53" t="s">
        <v>153</v>
      </c>
      <c r="C53" t="s">
        <v>155</v>
      </c>
      <c r="D53" t="s">
        <v>188</v>
      </c>
      <c r="E53" t="s">
        <v>311</v>
      </c>
      <c r="F53" t="s">
        <v>2153</v>
      </c>
      <c r="G53" s="3" t="str">
        <f t="shared" si="5"/>
        <v>(Izvještaj o tokovima gotovine)</v>
      </c>
      <c r="H53" s="3" t="str">
        <f t="shared" ref="H53:H84" si="6">SUBSTITUTE(A53&amp;"_"&amp;B53," ","_")</f>
        <v>Nazivi_bilansa_BTG1</v>
      </c>
      <c r="I53" s="3">
        <f t="shared" si="4"/>
        <v>1</v>
      </c>
    </row>
    <row r="54" spans="1:9" x14ac:dyDescent="0.3">
      <c r="A54" t="s">
        <v>110</v>
      </c>
      <c r="B54" t="s">
        <v>134</v>
      </c>
      <c r="C54" t="s">
        <v>134</v>
      </c>
      <c r="D54" t="s">
        <v>189</v>
      </c>
      <c r="E54" t="s">
        <v>170</v>
      </c>
      <c r="F54" t="s">
        <v>2154</v>
      </c>
      <c r="G54" t="str">
        <f t="shared" si="5"/>
        <v>Aneks</v>
      </c>
      <c r="H54" t="str">
        <f t="shared" si="6"/>
        <v>Nazivi_bilansa_Aneks</v>
      </c>
      <c r="I54">
        <f t="shared" si="4"/>
        <v>1</v>
      </c>
    </row>
    <row r="55" spans="1:9" x14ac:dyDescent="0.3">
      <c r="A55" t="s">
        <v>110</v>
      </c>
      <c r="B55" t="s">
        <v>152</v>
      </c>
      <c r="C55" t="s">
        <v>151</v>
      </c>
      <c r="D55" t="s">
        <v>158</v>
      </c>
      <c r="E55" t="s">
        <v>157</v>
      </c>
      <c r="F55" t="s">
        <v>2155</v>
      </c>
      <c r="G55" s="3" t="str">
        <f t="shared" si="5"/>
        <v>(Dodatni računovodstveni izvještaj)</v>
      </c>
      <c r="H55" s="3" t="str">
        <f t="shared" si="6"/>
        <v>Nazivi_bilansa_Aneks1</v>
      </c>
      <c r="I55" s="3">
        <f t="shared" si="4"/>
        <v>1</v>
      </c>
    </row>
    <row r="56" spans="1:9" x14ac:dyDescent="0.3">
      <c r="A56" t="s">
        <v>110</v>
      </c>
      <c r="B56" t="s">
        <v>135</v>
      </c>
      <c r="C56" t="s">
        <v>1630</v>
      </c>
      <c r="D56" t="s">
        <v>2238</v>
      </c>
      <c r="E56" t="s">
        <v>28</v>
      </c>
      <c r="F56" t="s">
        <v>2156</v>
      </c>
      <c r="G56" t="str">
        <f t="shared" si="5"/>
        <v>IZVJEŠTAJ O PROMJENAMA NA KAPITALU</v>
      </c>
      <c r="H56" t="str">
        <f t="shared" si="6"/>
        <v>Nazivi_bilansa_BPK</v>
      </c>
      <c r="I56">
        <f t="shared" si="4"/>
        <v>1</v>
      </c>
    </row>
    <row r="57" spans="1:9" x14ac:dyDescent="0.3">
      <c r="A57" t="s">
        <v>260</v>
      </c>
      <c r="B57" t="s">
        <v>147</v>
      </c>
      <c r="C57" s="53" t="str">
        <f>CONCATENATE("na dan ",Datum_Format," godine")</f>
        <v>na dan 30.06.2026. godine</v>
      </c>
      <c r="D57" s="53" t="str">
        <f>CONCATENATE("нa дaн ",Datum_Format," гoдинe")</f>
        <v>нa дaн 30.06.2026. гoдинe</v>
      </c>
      <c r="E57" s="53" t="str">
        <f>CONCATENATE("date ",Datum_Format)</f>
        <v>date 30.06.2026.</v>
      </c>
      <c r="F57" s="53" t="str">
        <f>CONCATENATE("на дату ",Datum_Format," года")</f>
        <v>на дату 30.06.2026. года</v>
      </c>
      <c r="G57" s="3" t="str">
        <f t="shared" si="5"/>
        <v>na dan 30.06.2026. godine</v>
      </c>
      <c r="H57" s="3" t="str">
        <f t="shared" si="6"/>
        <v>Datumi_Datum_BS</v>
      </c>
      <c r="I57" s="3">
        <f t="shared" si="4"/>
        <v>1</v>
      </c>
    </row>
    <row r="58" spans="1:9" x14ac:dyDescent="0.3">
      <c r="A58" t="s">
        <v>260</v>
      </c>
      <c r="B58" t="s">
        <v>148</v>
      </c>
      <c r="C58" s="53" t="str">
        <f>CONCATENATE("za period od 01.01. do ",Datum_Format," godine")</f>
        <v>za period od 01.01. do 30.06.2026. godine</v>
      </c>
      <c r="D58" s="53" t="str">
        <f>CONCATENATE("зa пeриoд oд 01.01. дo ",Datum_Format," гoдинe")</f>
        <v>зa пeриoд oд 01.01. дo 30.06.2026. гoдинe</v>
      </c>
      <c r="E58" s="53" t="str">
        <f>CONCATENATE("from 01.01. to ",Datum_Format)</f>
        <v>from 01.01. to 30.06.2026.</v>
      </c>
      <c r="F58" s="53" t="str">
        <f>CONCATENATE("за период с 01.01. to ",Datum_Format," года")</f>
        <v>за период с 01.01. to 30.06.2026. года</v>
      </c>
      <c r="G58" s="3" t="str">
        <f t="shared" si="5"/>
        <v>za period od 01.01. do 30.06.2026. godine</v>
      </c>
      <c r="H58" s="3" t="str">
        <f t="shared" si="6"/>
        <v>Datumi_Datum_BU</v>
      </c>
      <c r="I58" s="3">
        <f t="shared" si="4"/>
        <v>1</v>
      </c>
    </row>
    <row r="59" spans="1:9" x14ac:dyDescent="0.3">
      <c r="A59" t="s">
        <v>260</v>
      </c>
      <c r="B59" t="s">
        <v>149</v>
      </c>
      <c r="C59" s="53" t="str">
        <f>CONCATENATE("za period od 01.01. do ",Datum_Format," godine")</f>
        <v>za period od 01.01. do 30.06.2026. godine</v>
      </c>
      <c r="D59" s="53" t="str">
        <f>CONCATENATE("зa пeриoд oд 01.01. дo ",Datum_Format," гoдинe")</f>
        <v>зa пeриoд oд 01.01. дo 30.06.2026. гoдинe</v>
      </c>
      <c r="E59" s="53" t="str">
        <f>CONCATENATE("from 01.01. to ",Datum_Format)</f>
        <v>from 01.01. to 30.06.2026.</v>
      </c>
      <c r="F59" s="53" t="str">
        <f>CONCATENATE("за период с 01.01. to ",Datum_Format," года")</f>
        <v>за период с 01.01. to 30.06.2026. года</v>
      </c>
      <c r="G59" s="3" t="str">
        <f t="shared" si="5"/>
        <v>za period od 01.01. do 30.06.2026. godine</v>
      </c>
      <c r="H59" s="3" t="str">
        <f t="shared" si="6"/>
        <v>Datumi_Datum_BTG</v>
      </c>
      <c r="I59" s="3">
        <f t="shared" si="4"/>
        <v>1</v>
      </c>
    </row>
    <row r="60" spans="1:9" x14ac:dyDescent="0.3">
      <c r="A60" t="s">
        <v>260</v>
      </c>
      <c r="B60" t="s">
        <v>159</v>
      </c>
      <c r="C60" s="53" t="str">
        <f>CONCATENATE("od 01.01. do ",Datum_Format," godine")</f>
        <v>od 01.01. do 30.06.2026. godine</v>
      </c>
      <c r="D60" s="53" t="str">
        <f>CONCATENATE("oд 01.01. дo ",Datum_Format," гoдинe")</f>
        <v>oд 01.01. дo 30.06.2026. гoдинe</v>
      </c>
      <c r="E60" s="53" t="str">
        <f>CONCATENATE("from 01.01. to ",Datum_Format)</f>
        <v>from 01.01. to 30.06.2026.</v>
      </c>
      <c r="F60" s="53" t="str">
        <f>CONCATENATE("с 01.01. to ",Datum_Format," года")</f>
        <v>с 01.01. to 30.06.2026. года</v>
      </c>
      <c r="G60" s="3" t="str">
        <f t="shared" si="5"/>
        <v>od 01.01. do 30.06.2026. godine</v>
      </c>
      <c r="H60" s="3" t="str">
        <f t="shared" si="6"/>
        <v>Datumi_Datum_ODGP</v>
      </c>
      <c r="I60" s="3">
        <f t="shared" si="4"/>
        <v>1</v>
      </c>
    </row>
    <row r="61" spans="1:9" x14ac:dyDescent="0.3">
      <c r="A61" t="s">
        <v>260</v>
      </c>
      <c r="B61" t="s">
        <v>160</v>
      </c>
      <c r="C61" s="53" t="str">
        <f>CONCATENATE("za period od 01.01. do ",Datum_Format," godine")</f>
        <v>za period od 01.01. do 30.06.2026. godine</v>
      </c>
      <c r="D61" s="53" t="str">
        <f>CONCATENATE("зa пeриoд oд 01.01. дo ",Datum_Format," гoдинe")</f>
        <v>зa пeриoд oд 01.01. дo 30.06.2026. гoдинe</v>
      </c>
      <c r="E61" s="53" t="str">
        <f>CONCATENATE("from 01.01. to ",Datum_Format)</f>
        <v>from 01.01. to 30.06.2026.</v>
      </c>
      <c r="F61" s="53" t="str">
        <f>CONCATENATE("за период с 01.01. to ",Datum_Format," года")</f>
        <v>за период с 01.01. to 30.06.2026. года</v>
      </c>
      <c r="G61" s="3" t="str">
        <f t="shared" si="5"/>
        <v>za period od 01.01. do 30.06.2026. godine</v>
      </c>
      <c r="H61" s="3" t="str">
        <f t="shared" si="6"/>
        <v>Datumi_Datum_Aneks</v>
      </c>
      <c r="I61" s="3">
        <f t="shared" si="4"/>
        <v>1</v>
      </c>
    </row>
    <row r="62" spans="1:9" x14ac:dyDescent="0.3">
      <c r="A62" t="s">
        <v>260</v>
      </c>
      <c r="B62" t="s">
        <v>173</v>
      </c>
      <c r="C62" s="53" t="str">
        <f>CONCATENATE("za period koji se završava na dan ",Datum_Format," godine")</f>
        <v>za period koji se završava na dan 30.06.2026. godine</v>
      </c>
      <c r="D62" s="53" t="str">
        <f>CONCATENATE("зa пeриoд кojи сe зaвршaвa нa дaн ",Datum_Format," гoдинe")</f>
        <v>зa пeриoд кojи сe зaвршaвa нa дaн 30.06.2026. гoдинe</v>
      </c>
      <c r="E62" s="53" t="str">
        <f>CONCATENATE("for period ending ",Datum_Format)</f>
        <v>for period ending 30.06.2026.</v>
      </c>
      <c r="F62" s="53" t="str">
        <f>CONCATENATE("за период, закончившийся на дату ",Datum_Format," года")</f>
        <v>за период, закончившийся на дату 30.06.2026. года</v>
      </c>
      <c r="G62" s="3" t="str">
        <f t="shared" si="5"/>
        <v>za period koji se završava na dan 30.06.2026. godine</v>
      </c>
      <c r="H62" s="3" t="str">
        <f t="shared" si="6"/>
        <v>Datumi_Datum_BPK</v>
      </c>
      <c r="I62" s="3">
        <f t="shared" si="4"/>
        <v>1</v>
      </c>
    </row>
    <row r="63" spans="1:9" x14ac:dyDescent="0.3">
      <c r="A63" t="s">
        <v>161</v>
      </c>
      <c r="B63" t="s">
        <v>167</v>
      </c>
      <c r="C63" t="s">
        <v>171</v>
      </c>
      <c r="D63" t="s">
        <v>190</v>
      </c>
      <c r="E63" t="s">
        <v>203</v>
      </c>
      <c r="F63" t="s">
        <v>2157</v>
      </c>
      <c r="G63" s="3" t="str">
        <f t="shared" si="5"/>
        <v>Uputstvo za popunjavanje</v>
      </c>
      <c r="H63" s="3" t="str">
        <f t="shared" si="6"/>
        <v>Linkovi_Link_Uputstvo</v>
      </c>
      <c r="I63" s="3">
        <f t="shared" si="4"/>
        <v>1</v>
      </c>
    </row>
    <row r="64" spans="1:9" x14ac:dyDescent="0.3">
      <c r="A64" t="s">
        <v>161</v>
      </c>
      <c r="B64" t="s">
        <v>168</v>
      </c>
      <c r="C64" t="s">
        <v>172</v>
      </c>
      <c r="D64" t="s">
        <v>191</v>
      </c>
      <c r="E64" t="s">
        <v>204</v>
      </c>
      <c r="F64" t="s">
        <v>2158</v>
      </c>
      <c r="G64" s="3" t="str">
        <f t="shared" si="5"/>
        <v>Osnovni podaci</v>
      </c>
      <c r="H64" s="3" t="str">
        <f t="shared" si="6"/>
        <v>Linkovi_Link_Osnovni_podaci</v>
      </c>
      <c r="I64" s="3">
        <f t="shared" si="4"/>
        <v>1</v>
      </c>
    </row>
    <row r="65" spans="1:9" x14ac:dyDescent="0.3">
      <c r="A65" t="s">
        <v>161</v>
      </c>
      <c r="B65" t="s">
        <v>162</v>
      </c>
      <c r="C65" t="s">
        <v>315</v>
      </c>
      <c r="D65" t="s">
        <v>321</v>
      </c>
      <c r="E65" t="s">
        <v>327</v>
      </c>
      <c r="F65" t="s">
        <v>2159</v>
      </c>
      <c r="G65" s="3" t="str">
        <f t="shared" si="5"/>
        <v>01) Bilans stanja</v>
      </c>
      <c r="H65" s="3" t="str">
        <f t="shared" si="6"/>
        <v>Linkovi_Link_BS</v>
      </c>
      <c r="I65" s="3">
        <f t="shared" si="4"/>
        <v>1</v>
      </c>
    </row>
    <row r="66" spans="1:9" x14ac:dyDescent="0.3">
      <c r="A66" t="s">
        <v>161</v>
      </c>
      <c r="B66" t="s">
        <v>163</v>
      </c>
      <c r="C66" t="s">
        <v>316</v>
      </c>
      <c r="D66" t="s">
        <v>322</v>
      </c>
      <c r="E66" t="s">
        <v>328</v>
      </c>
      <c r="F66" t="s">
        <v>2160</v>
      </c>
      <c r="G66" s="3" t="str">
        <f t="shared" si="5"/>
        <v>02a) Bilans uspjeha</v>
      </c>
      <c r="H66" s="3" t="str">
        <f t="shared" si="6"/>
        <v>Linkovi_Link_BU</v>
      </c>
      <c r="I66" s="3">
        <f t="shared" ref="I66:I97" si="7">COUNTIF($B$2:$B$1034,"="&amp;B66)</f>
        <v>1</v>
      </c>
    </row>
    <row r="67" spans="1:9" x14ac:dyDescent="0.3">
      <c r="A67" t="s">
        <v>161</v>
      </c>
      <c r="B67" t="s">
        <v>165</v>
      </c>
      <c r="C67" t="s">
        <v>317</v>
      </c>
      <c r="D67" t="s">
        <v>323</v>
      </c>
      <c r="E67" t="s">
        <v>343</v>
      </c>
      <c r="F67" t="s">
        <v>2161</v>
      </c>
      <c r="G67" s="3" t="str">
        <f t="shared" si="5"/>
        <v>02b) Izvještaj o ostalim dobicima i gubicima u periodu</v>
      </c>
      <c r="H67" s="3" t="str">
        <f t="shared" si="6"/>
        <v>Linkovi_Link_ODGP</v>
      </c>
      <c r="I67" s="3">
        <f t="shared" si="7"/>
        <v>1</v>
      </c>
    </row>
    <row r="68" spans="1:9" x14ac:dyDescent="0.3">
      <c r="A68" t="s">
        <v>161</v>
      </c>
      <c r="B68" t="s">
        <v>164</v>
      </c>
      <c r="C68" t="s">
        <v>318</v>
      </c>
      <c r="D68" t="s">
        <v>324</v>
      </c>
      <c r="E68" t="s">
        <v>329</v>
      </c>
      <c r="F68" t="s">
        <v>2162</v>
      </c>
      <c r="G68" s="3" t="str">
        <f t="shared" si="5"/>
        <v>03) Bilans tokova gotovine</v>
      </c>
      <c r="H68" s="3" t="str">
        <f t="shared" si="6"/>
        <v>Linkovi_Link_BTG</v>
      </c>
      <c r="I68" s="3">
        <f t="shared" si="7"/>
        <v>1</v>
      </c>
    </row>
    <row r="69" spans="1:9" x14ac:dyDescent="0.3">
      <c r="A69" t="s">
        <v>161</v>
      </c>
      <c r="B69" t="s">
        <v>169</v>
      </c>
      <c r="C69" t="s">
        <v>319</v>
      </c>
      <c r="D69" t="s">
        <v>325</v>
      </c>
      <c r="E69" t="s">
        <v>330</v>
      </c>
      <c r="F69" t="s">
        <v>2163</v>
      </c>
      <c r="G69" s="3" t="str">
        <f t="shared" si="5"/>
        <v>04) Aneks</v>
      </c>
      <c r="H69" s="3" t="str">
        <f t="shared" si="6"/>
        <v>Linkovi_Link_Aneks</v>
      </c>
      <c r="I69" s="3">
        <f t="shared" si="7"/>
        <v>1</v>
      </c>
    </row>
    <row r="70" spans="1:9" x14ac:dyDescent="0.3">
      <c r="A70" t="s">
        <v>161</v>
      </c>
      <c r="B70" t="s">
        <v>166</v>
      </c>
      <c r="C70" t="s">
        <v>320</v>
      </c>
      <c r="D70" t="s">
        <v>326</v>
      </c>
      <c r="E70" t="s">
        <v>331</v>
      </c>
      <c r="F70" t="s">
        <v>2164</v>
      </c>
      <c r="G70" s="3" t="str">
        <f t="shared" si="5"/>
        <v>05) Izvještaj o promjenama u kapitalu</v>
      </c>
      <c r="H70" s="3" t="str">
        <f t="shared" si="6"/>
        <v>Linkovi_Link_BPK</v>
      </c>
      <c r="I70" s="3">
        <f t="shared" si="7"/>
        <v>1</v>
      </c>
    </row>
    <row r="71" spans="1:9" x14ac:dyDescent="0.3">
      <c r="A71" t="s">
        <v>262</v>
      </c>
      <c r="B71" t="s">
        <v>137</v>
      </c>
      <c r="C71" t="s">
        <v>68</v>
      </c>
      <c r="D71" t="s">
        <v>192</v>
      </c>
      <c r="E71" t="s">
        <v>19</v>
      </c>
      <c r="F71" t="s">
        <v>2165</v>
      </c>
      <c r="G71" s="3" t="str">
        <f t="shared" ref="G71:G102" si="8">CHOOSE( ID_Jezik, C71, D71, E71,F71)</f>
        <v>Grupa računa, račun</v>
      </c>
      <c r="H71" s="3" t="str">
        <f t="shared" si="6"/>
        <v>Tabele_zaglavlje_Grupa_racuna</v>
      </c>
      <c r="I71">
        <f t="shared" si="7"/>
        <v>1</v>
      </c>
    </row>
    <row r="72" spans="1:9" x14ac:dyDescent="0.3">
      <c r="A72" t="s">
        <v>262</v>
      </c>
      <c r="B72" t="s">
        <v>138</v>
      </c>
      <c r="C72" t="s">
        <v>691</v>
      </c>
      <c r="D72" t="s">
        <v>692</v>
      </c>
      <c r="E72" t="s">
        <v>693</v>
      </c>
      <c r="F72" t="s">
        <v>2166</v>
      </c>
      <c r="G72" s="3" t="str">
        <f t="shared" si="8"/>
        <v>POZICIJA</v>
      </c>
      <c r="H72" s="3" t="str">
        <f t="shared" si="6"/>
        <v>Tabele_zaglavlje_Pozicija</v>
      </c>
      <c r="I72">
        <f t="shared" si="7"/>
        <v>1</v>
      </c>
    </row>
    <row r="73" spans="1:9" x14ac:dyDescent="0.3">
      <c r="A73" t="s">
        <v>262</v>
      </c>
      <c r="B73" t="s">
        <v>971</v>
      </c>
      <c r="C73" t="s">
        <v>971</v>
      </c>
      <c r="D73" t="s">
        <v>972</v>
      </c>
      <c r="E73" t="s">
        <v>973</v>
      </c>
      <c r="F73" t="s">
        <v>2195</v>
      </c>
      <c r="G73" s="3" t="str">
        <f>CHOOSE( ID_Jezik, C73, D73, E73,F73)</f>
        <v>Napomena</v>
      </c>
      <c r="H73" s="3" t="str">
        <f>SUBSTITUTE(A73&amp;"_"&amp;B73," ","_")</f>
        <v>Tabele_zaglavlje_Napomena</v>
      </c>
      <c r="I73">
        <f t="shared" si="7"/>
        <v>1</v>
      </c>
    </row>
    <row r="74" spans="1:9" x14ac:dyDescent="0.3">
      <c r="A74" t="s">
        <v>262</v>
      </c>
      <c r="B74" t="s">
        <v>139</v>
      </c>
      <c r="C74" t="s">
        <v>56</v>
      </c>
      <c r="D74" t="s">
        <v>193</v>
      </c>
      <c r="E74" t="s">
        <v>74</v>
      </c>
      <c r="F74" t="s">
        <v>2196</v>
      </c>
      <c r="G74" s="3" t="str">
        <f t="shared" si="8"/>
        <v>Oznaka za AOP</v>
      </c>
      <c r="H74" s="3" t="str">
        <f t="shared" si="6"/>
        <v>Tabele_zaglavlje_Oznaka_aop</v>
      </c>
      <c r="I74">
        <f t="shared" si="7"/>
        <v>1</v>
      </c>
    </row>
    <row r="75" spans="1:9" x14ac:dyDescent="0.3">
      <c r="A75" t="s">
        <v>262</v>
      </c>
      <c r="B75" t="s">
        <v>269</v>
      </c>
      <c r="C75" t="s">
        <v>270</v>
      </c>
      <c r="D75" t="s">
        <v>276</v>
      </c>
      <c r="E75" t="s">
        <v>271</v>
      </c>
      <c r="F75" t="s">
        <v>2167</v>
      </c>
      <c r="G75" s="3" t="str">
        <f t="shared" si="8"/>
        <v>Redni broj</v>
      </c>
      <c r="H75" s="3" t="str">
        <f>SUBSTITUTE(A75&amp;"_"&amp;B75," ","_")</f>
        <v>Tabele_zaglavlje_Redni_broj</v>
      </c>
      <c r="I75" s="3">
        <f t="shared" si="7"/>
        <v>1</v>
      </c>
    </row>
    <row r="76" spans="1:9" x14ac:dyDescent="0.3">
      <c r="A76" t="s">
        <v>262</v>
      </c>
      <c r="B76" t="s">
        <v>142</v>
      </c>
      <c r="C76" t="s">
        <v>79</v>
      </c>
      <c r="D76" t="s">
        <v>194</v>
      </c>
      <c r="E76" t="s">
        <v>75</v>
      </c>
      <c r="F76" t="s">
        <v>2168</v>
      </c>
      <c r="G76" s="3" t="str">
        <f t="shared" si="8"/>
        <v>Iznos na dan bilansa tekuće godine</v>
      </c>
      <c r="H76" s="3" t="str">
        <f t="shared" si="6"/>
        <v>Tabele_zaglavlje_BS_iznos_tekuca</v>
      </c>
      <c r="I76">
        <f t="shared" si="7"/>
        <v>1</v>
      </c>
    </row>
    <row r="77" spans="1:9" x14ac:dyDescent="0.3">
      <c r="A77" t="s">
        <v>262</v>
      </c>
      <c r="B77" t="s">
        <v>258</v>
      </c>
      <c r="C77" t="s">
        <v>69</v>
      </c>
      <c r="D77" t="s">
        <v>195</v>
      </c>
      <c r="E77" t="s">
        <v>77</v>
      </c>
      <c r="F77" t="s">
        <v>2169</v>
      </c>
      <c r="G77" s="3" t="str">
        <f t="shared" si="8"/>
        <v>Bruto</v>
      </c>
      <c r="H77" s="3" t="str">
        <f t="shared" si="6"/>
        <v>Tabele_zaglavlje_BS_bruto</v>
      </c>
      <c r="I77">
        <f t="shared" si="7"/>
        <v>1</v>
      </c>
    </row>
    <row r="78" spans="1:9" x14ac:dyDescent="0.3">
      <c r="A78" t="s">
        <v>262</v>
      </c>
      <c r="B78" t="s">
        <v>259</v>
      </c>
      <c r="C78" t="s">
        <v>70</v>
      </c>
      <c r="D78" t="s">
        <v>196</v>
      </c>
      <c r="E78" t="s">
        <v>78</v>
      </c>
      <c r="F78" t="s">
        <v>2170</v>
      </c>
      <c r="G78" s="3" t="str">
        <f t="shared" si="8"/>
        <v>Ispravka vrijednosti</v>
      </c>
      <c r="H78" s="3" t="str">
        <f t="shared" si="6"/>
        <v>Tabele_zaglavlje_BS_ispravka</v>
      </c>
      <c r="I78">
        <f t="shared" si="7"/>
        <v>1</v>
      </c>
    </row>
    <row r="79" spans="1:9" x14ac:dyDescent="0.3">
      <c r="A79" t="s">
        <v>262</v>
      </c>
      <c r="B79" t="s">
        <v>141</v>
      </c>
      <c r="C79" t="s">
        <v>2870</v>
      </c>
      <c r="D79" t="s">
        <v>2867</v>
      </c>
      <c r="E79" t="s">
        <v>2868</v>
      </c>
      <c r="F79" t="s">
        <v>2869</v>
      </c>
      <c r="G79" s="3" t="str">
        <f t="shared" si="8"/>
        <v>Neto (5-6)</v>
      </c>
      <c r="H79" s="3" t="str">
        <f t="shared" si="6"/>
        <v>Tabele_zaglavlje_BS_neto</v>
      </c>
      <c r="I79">
        <f t="shared" si="7"/>
        <v>1</v>
      </c>
    </row>
    <row r="80" spans="1:9" x14ac:dyDescent="0.3">
      <c r="A80" t="s">
        <v>262</v>
      </c>
      <c r="B80" t="s">
        <v>143</v>
      </c>
      <c r="C80" t="s">
        <v>488</v>
      </c>
      <c r="D80" t="s">
        <v>489</v>
      </c>
      <c r="E80" t="s">
        <v>76</v>
      </c>
      <c r="F80" t="s">
        <v>2171</v>
      </c>
      <c r="G80" s="3" t="str">
        <f t="shared" si="8"/>
        <v>Iznos na dan bilansa prethodne godine (PS)</v>
      </c>
      <c r="H80" s="3" t="str">
        <f t="shared" si="6"/>
        <v>Tabele_zaglavlje_BS_iznos_prethodna</v>
      </c>
      <c r="I80">
        <f t="shared" si="7"/>
        <v>1</v>
      </c>
    </row>
    <row r="81" spans="1:9" x14ac:dyDescent="0.3">
      <c r="A81" t="s">
        <v>262</v>
      </c>
      <c r="B81" t="s">
        <v>60</v>
      </c>
      <c r="C81" t="s">
        <v>60</v>
      </c>
      <c r="D81" t="s">
        <v>197</v>
      </c>
      <c r="E81" t="s">
        <v>50</v>
      </c>
      <c r="F81" t="s">
        <v>2172</v>
      </c>
      <c r="G81" s="3" t="str">
        <f t="shared" si="8"/>
        <v>Iznos</v>
      </c>
      <c r="H81" s="3" t="str">
        <f t="shared" si="6"/>
        <v>Tabele_zaglavlje_Iznos</v>
      </c>
      <c r="I81" s="3">
        <f t="shared" si="7"/>
        <v>1</v>
      </c>
    </row>
    <row r="82" spans="1:9" x14ac:dyDescent="0.3">
      <c r="A82" t="s">
        <v>262</v>
      </c>
      <c r="B82" t="s">
        <v>145</v>
      </c>
      <c r="C82" t="s">
        <v>61</v>
      </c>
      <c r="D82" t="s">
        <v>198</v>
      </c>
      <c r="E82" t="s">
        <v>51</v>
      </c>
      <c r="F82" t="s">
        <v>2173</v>
      </c>
      <c r="G82" s="3" t="str">
        <f t="shared" si="8"/>
        <v>Tekuća godina</v>
      </c>
      <c r="H82" s="3" t="str">
        <f t="shared" si="6"/>
        <v>Tabele_zaglavlje_Tekuca_godina</v>
      </c>
      <c r="I82">
        <f t="shared" si="7"/>
        <v>1</v>
      </c>
    </row>
    <row r="83" spans="1:9" x14ac:dyDescent="0.3">
      <c r="A83" t="s">
        <v>262</v>
      </c>
      <c r="B83" t="s">
        <v>146</v>
      </c>
      <c r="C83" t="s">
        <v>62</v>
      </c>
      <c r="D83" t="s">
        <v>199</v>
      </c>
      <c r="E83" t="s">
        <v>52</v>
      </c>
      <c r="F83" t="s">
        <v>2174</v>
      </c>
      <c r="G83" s="3" t="str">
        <f t="shared" si="8"/>
        <v>Prethodna godina</v>
      </c>
      <c r="H83" s="3" t="str">
        <f t="shared" si="6"/>
        <v>Tabele_zaglavlje_Prethodna_godina</v>
      </c>
      <c r="I83">
        <f t="shared" si="7"/>
        <v>1</v>
      </c>
    </row>
    <row r="84" spans="1:9" x14ac:dyDescent="0.3">
      <c r="A84" t="s">
        <v>262</v>
      </c>
      <c r="B84" t="s">
        <v>144</v>
      </c>
      <c r="C84" s="4" t="s">
        <v>140</v>
      </c>
      <c r="D84" s="4" t="s">
        <v>200</v>
      </c>
      <c r="E84" s="4" t="s">
        <v>205</v>
      </c>
      <c r="F84" t="s">
        <v>2175</v>
      </c>
      <c r="G84" s="3" t="str">
        <f t="shared" si="8"/>
        <v>- u konvertibilnim markama -</v>
      </c>
      <c r="H84" s="3" t="str">
        <f t="shared" si="6"/>
        <v>Tabele_zaglavlje_Valuta</v>
      </c>
      <c r="I84">
        <f t="shared" si="7"/>
        <v>1</v>
      </c>
    </row>
    <row r="85" spans="1:9" x14ac:dyDescent="0.3">
      <c r="A85" t="s">
        <v>262</v>
      </c>
      <c r="B85" t="s">
        <v>287</v>
      </c>
      <c r="C85" t="s">
        <v>2203</v>
      </c>
      <c r="D85" s="252" t="s">
        <v>2226</v>
      </c>
      <c r="E85" t="s">
        <v>288</v>
      </c>
      <c r="F85" t="s">
        <v>2176</v>
      </c>
      <c r="G85" s="3" t="str">
        <f t="shared" si="8"/>
        <v>KAPITAL KOJI PRIPADA VLASNICIMA MATIČNOG DRUŠTVA</v>
      </c>
      <c r="H85" s="3" t="str">
        <f>SUBSTITUTE(A85&amp;"_"&amp;B85," ","_")</f>
        <v>Tabele_zaglavlje_BPK0</v>
      </c>
      <c r="I85" s="3">
        <f t="shared" si="7"/>
        <v>1</v>
      </c>
    </row>
    <row r="86" spans="1:9" ht="60.75" customHeight="1" x14ac:dyDescent="0.3">
      <c r="A86" t="s">
        <v>262</v>
      </c>
      <c r="B86" t="s">
        <v>278</v>
      </c>
      <c r="C86" t="s">
        <v>1592</v>
      </c>
      <c r="D86" s="252" t="s">
        <v>2227</v>
      </c>
      <c r="E86" t="s">
        <v>289</v>
      </c>
      <c r="F86" t="s">
        <v>2177</v>
      </c>
      <c r="G86" s="3" t="str">
        <f t="shared" si="8"/>
        <v>VRSTA PROMJENE NA KAPITALU</v>
      </c>
      <c r="H86" s="3" t="str">
        <f t="shared" ref="H86:H96" si="9">SUBSTITUTE(A86&amp;"_"&amp;B86," ","_")</f>
        <v>Tabele_zaglavlje_BPK1</v>
      </c>
      <c r="I86" s="3">
        <f t="shared" si="7"/>
        <v>1</v>
      </c>
    </row>
    <row r="87" spans="1:9" ht="45" customHeight="1" x14ac:dyDescent="0.3">
      <c r="A87" t="s">
        <v>262</v>
      </c>
      <c r="B87" t="s">
        <v>279</v>
      </c>
      <c r="C87" s="249" t="s">
        <v>1593</v>
      </c>
      <c r="D87" s="251" t="s">
        <v>2228</v>
      </c>
      <c r="E87" t="s">
        <v>290</v>
      </c>
      <c r="F87" t="s">
        <v>2178</v>
      </c>
      <c r="G87" s="3" t="str">
        <f t="shared" si="8"/>
        <v>Akcijski kapital - 
vlasnički udjeli</v>
      </c>
      <c r="H87" s="3" t="str">
        <f t="shared" si="9"/>
        <v>Tabele_zaglavlje_BPK3</v>
      </c>
      <c r="I87" s="3">
        <f t="shared" si="7"/>
        <v>1</v>
      </c>
    </row>
    <row r="88" spans="1:9" ht="45" customHeight="1" x14ac:dyDescent="0.3">
      <c r="A88" t="s">
        <v>262</v>
      </c>
      <c r="B88" t="s">
        <v>280</v>
      </c>
      <c r="C88" s="247" t="s">
        <v>1594</v>
      </c>
      <c r="D88" s="252" t="s">
        <v>2229</v>
      </c>
      <c r="E88" s="247" t="s">
        <v>2862</v>
      </c>
      <c r="F88" t="s">
        <v>2179</v>
      </c>
      <c r="G88" s="3" t="str">
        <f t="shared" ref="G88:G93" si="10">CHOOSE( ID_Jezik, C88, D88, E88,F88)</f>
        <v>Emisiona premija</v>
      </c>
      <c r="H88" s="3" t="str">
        <f t="shared" si="9"/>
        <v>Tabele_zaglavlje_BPK4</v>
      </c>
      <c r="I88" s="3">
        <f t="shared" si="7"/>
        <v>1</v>
      </c>
    </row>
    <row r="89" spans="1:9" ht="45" customHeight="1" x14ac:dyDescent="0.3">
      <c r="A89" t="s">
        <v>262</v>
      </c>
      <c r="B89" t="s">
        <v>281</v>
      </c>
      <c r="C89" s="247" t="s">
        <v>1595</v>
      </c>
      <c r="D89" s="252" t="s">
        <v>2230</v>
      </c>
      <c r="E89" s="247" t="s">
        <v>2861</v>
      </c>
      <c r="F89" t="s">
        <v>2180</v>
      </c>
      <c r="G89" s="3" t="str">
        <f t="shared" si="10"/>
        <v>Rezerve</v>
      </c>
      <c r="H89" s="3" t="str">
        <f t="shared" si="9"/>
        <v>Tabele_zaglavlje_BPK5</v>
      </c>
      <c r="I89" s="3">
        <f t="shared" si="7"/>
        <v>1</v>
      </c>
    </row>
    <row r="90" spans="1:9" ht="35.25" customHeight="1" x14ac:dyDescent="0.3">
      <c r="A90" t="s">
        <v>262</v>
      </c>
      <c r="B90" t="s">
        <v>282</v>
      </c>
      <c r="C90" s="248" t="s">
        <v>1596</v>
      </c>
      <c r="D90" s="253" t="s">
        <v>2231</v>
      </c>
      <c r="E90" s="247" t="s">
        <v>291</v>
      </c>
      <c r="F90" t="s">
        <v>2181</v>
      </c>
      <c r="G90" s="3" t="str">
        <f t="shared" si="10"/>
        <v>Revalorizacione 
rezerve za 
nekretnine, 
postrojenja i opremu</v>
      </c>
      <c r="H90" s="3" t="str">
        <f t="shared" si="9"/>
        <v>Tabele_zaglavlje_BPK6</v>
      </c>
      <c r="I90" s="3">
        <f t="shared" si="7"/>
        <v>1</v>
      </c>
    </row>
    <row r="91" spans="1:9" ht="45" x14ac:dyDescent="0.3">
      <c r="A91" t="s">
        <v>262</v>
      </c>
      <c r="B91" t="s">
        <v>283</v>
      </c>
      <c r="C91" s="248" t="s">
        <v>2918</v>
      </c>
      <c r="D91" s="253" t="s">
        <v>2919</v>
      </c>
      <c r="E91" s="247" t="s">
        <v>29</v>
      </c>
      <c r="F91" t="s">
        <v>2182</v>
      </c>
      <c r="G91" s="3" t="str">
        <f t="shared" si="10"/>
        <v>Revalorizacione rezerve za finansijska sredstva vrednovana po fer vrijednosti kroz ostali ukupni rezultat</v>
      </c>
      <c r="H91" s="3" t="str">
        <f t="shared" si="9"/>
        <v>Tabele_zaglavlje_BPK7</v>
      </c>
      <c r="I91" s="3">
        <f t="shared" si="7"/>
        <v>1</v>
      </c>
    </row>
    <row r="92" spans="1:9" ht="20.5" x14ac:dyDescent="0.3">
      <c r="A92" t="s">
        <v>262</v>
      </c>
      <c r="B92" t="s">
        <v>284</v>
      </c>
      <c r="C92" s="248" t="s">
        <v>1597</v>
      </c>
      <c r="D92" s="253" t="s">
        <v>2232</v>
      </c>
      <c r="E92" s="247" t="s">
        <v>292</v>
      </c>
      <c r="F92" t="s">
        <v>2662</v>
      </c>
      <c r="G92" s="3" t="str">
        <f t="shared" si="10"/>
        <v>Ostale revalorizacione rezerve</v>
      </c>
      <c r="H92" s="3" t="str">
        <f>SUBSTITUTE(A92&amp;"_"&amp;B92," ","_")</f>
        <v>Tabele_zaglavlje_BPK8</v>
      </c>
      <c r="I92" s="3">
        <f t="shared" si="7"/>
        <v>1</v>
      </c>
    </row>
    <row r="93" spans="1:9" ht="24.5" x14ac:dyDescent="0.3">
      <c r="A93" t="s">
        <v>262</v>
      </c>
      <c r="B93" t="s">
        <v>285</v>
      </c>
      <c r="C93" s="248" t="s">
        <v>1629</v>
      </c>
      <c r="D93" s="253" t="s">
        <v>2233</v>
      </c>
      <c r="E93" s="247" t="s">
        <v>293</v>
      </c>
      <c r="F93" t="s">
        <v>2663</v>
      </c>
      <c r="G93" s="3" t="str">
        <f t="shared" si="10"/>
        <v>Akumulirana neraspoređena dobit/(nepokriveni gubitak)</v>
      </c>
      <c r="H93" s="3" t="str">
        <f>SUBSTITUTE(A93&amp;"_"&amp;B93," ","_")</f>
        <v>Tabele_zaglavlje_BPK9</v>
      </c>
      <c r="I93" s="3">
        <f t="shared" si="7"/>
        <v>1</v>
      </c>
    </row>
    <row r="94" spans="1:9" ht="26" x14ac:dyDescent="0.3">
      <c r="A94" t="s">
        <v>262</v>
      </c>
      <c r="B94" t="s">
        <v>286</v>
      </c>
      <c r="C94" s="249" t="s">
        <v>2246</v>
      </c>
      <c r="D94" s="251" t="s">
        <v>2245</v>
      </c>
      <c r="E94" s="183" t="s">
        <v>2248</v>
      </c>
      <c r="F94" s="183" t="s">
        <v>2247</v>
      </c>
      <c r="G94" s="3" t="str">
        <f t="shared" si="8"/>
        <v>Ukupno 
(3+4+5+6±7± 8 ± 9)</v>
      </c>
      <c r="H94" s="3" t="str">
        <f t="shared" si="9"/>
        <v>Tabele_zaglavlje_BPK10</v>
      </c>
      <c r="I94" s="3">
        <f t="shared" si="7"/>
        <v>1</v>
      </c>
    </row>
    <row r="95" spans="1:9" x14ac:dyDescent="0.3">
      <c r="A95" t="s">
        <v>262</v>
      </c>
      <c r="B95" t="s">
        <v>1598</v>
      </c>
      <c r="C95" t="s">
        <v>2920</v>
      </c>
      <c r="D95" s="252" t="s">
        <v>2921</v>
      </c>
      <c r="E95" t="s">
        <v>294</v>
      </c>
      <c r="F95" t="s">
        <v>2183</v>
      </c>
      <c r="G95" s="3" t="str">
        <f t="shared" si="8"/>
        <v>UDJELI KOJI NEMAJU KONTROLU (MANJINSKI INTERESI)</v>
      </c>
      <c r="H95" s="3" t="str">
        <f t="shared" si="9"/>
        <v>Tabele_zaglavlje_BPK11</v>
      </c>
      <c r="I95" s="3">
        <f t="shared" si="7"/>
        <v>1</v>
      </c>
    </row>
    <row r="96" spans="1:9" ht="26" x14ac:dyDescent="0.3">
      <c r="A96" t="s">
        <v>262</v>
      </c>
      <c r="B96" t="s">
        <v>1599</v>
      </c>
      <c r="C96" s="183" t="s">
        <v>1628</v>
      </c>
      <c r="D96" s="251" t="s">
        <v>2234</v>
      </c>
      <c r="E96" t="s">
        <v>295</v>
      </c>
      <c r="F96" t="s">
        <v>2184</v>
      </c>
      <c r="G96" s="3" t="str">
        <f t="shared" si="8"/>
        <v>UKUPNI KAPITAL
(10+11)</v>
      </c>
      <c r="H96" s="3" t="str">
        <f t="shared" si="9"/>
        <v>Tabele_zaglavlje_BPK12</v>
      </c>
      <c r="I96" s="3">
        <f t="shared" si="7"/>
        <v>1</v>
      </c>
    </row>
    <row r="97" spans="1:9" x14ac:dyDescent="0.3">
      <c r="A97" t="s">
        <v>417</v>
      </c>
      <c r="B97" t="s">
        <v>419</v>
      </c>
      <c r="C97" t="s">
        <v>472</v>
      </c>
      <c r="D97" t="s">
        <v>473</v>
      </c>
      <c r="E97" t="s">
        <v>499</v>
      </c>
      <c r="F97" t="s">
        <v>2185</v>
      </c>
      <c r="G97" s="3" t="str">
        <f t="shared" si="8"/>
        <v>Obavezan unos podataka u formi!</v>
      </c>
      <c r="H97" s="3" t="str">
        <f t="shared" ref="H97:H106" si="11">SUBSTITUTE(A97&amp;"_"&amp;B97," ","_")</f>
        <v>Kontrola_Obavezno</v>
      </c>
      <c r="I97" s="3">
        <f t="shared" si="7"/>
        <v>1</v>
      </c>
    </row>
    <row r="98" spans="1:9" x14ac:dyDescent="0.3">
      <c r="A98" t="s">
        <v>417</v>
      </c>
      <c r="B98" t="s">
        <v>420</v>
      </c>
      <c r="C98" t="s">
        <v>418</v>
      </c>
      <c r="D98" t="s">
        <v>421</v>
      </c>
      <c r="E98" t="s">
        <v>422</v>
      </c>
      <c r="F98" t="s">
        <v>2186</v>
      </c>
      <c r="G98" s="3" t="str">
        <f t="shared" si="8"/>
        <v>Neispravan unos podataka!</v>
      </c>
      <c r="H98" s="3" t="str">
        <f t="shared" si="11"/>
        <v>Kontrola_Neispravno</v>
      </c>
      <c r="I98" s="3">
        <f t="shared" ref="I98:I109" si="12">COUNTIF($B$2:$B$1034,"="&amp;B98)</f>
        <v>1</v>
      </c>
    </row>
    <row r="99" spans="1:9" x14ac:dyDescent="0.3">
      <c r="A99" t="s">
        <v>445</v>
      </c>
      <c r="B99" t="s">
        <v>446</v>
      </c>
      <c r="C99" t="s">
        <v>398</v>
      </c>
      <c r="D99" t="s">
        <v>439</v>
      </c>
      <c r="E99" t="s">
        <v>407</v>
      </c>
      <c r="F99" t="s">
        <v>2187</v>
      </c>
      <c r="G99" s="3" t="str">
        <f t="shared" si="8"/>
        <v>Revidiran izvještaj:</v>
      </c>
      <c r="H99" s="3" t="str">
        <f t="shared" si="11"/>
        <v>Revizija_Revidiran_izvjestaj</v>
      </c>
      <c r="I99" s="3">
        <f t="shared" si="12"/>
        <v>1</v>
      </c>
    </row>
    <row r="100" spans="1:9" x14ac:dyDescent="0.3">
      <c r="A100" t="s">
        <v>445</v>
      </c>
      <c r="B100" t="s">
        <v>447</v>
      </c>
      <c r="C100" t="s">
        <v>463</v>
      </c>
      <c r="D100" t="s">
        <v>464</v>
      </c>
      <c r="E100" t="s">
        <v>465</v>
      </c>
      <c r="F100" t="s">
        <v>2188</v>
      </c>
      <c r="G100" s="3" t="str">
        <f t="shared" si="8"/>
        <v>Mišljenje revizora:</v>
      </c>
      <c r="H100" s="3" t="str">
        <f t="shared" si="11"/>
        <v>Revizija_Misljenje</v>
      </c>
      <c r="I100" s="3">
        <f t="shared" si="12"/>
        <v>1</v>
      </c>
    </row>
    <row r="101" spans="1:9" x14ac:dyDescent="0.3">
      <c r="A101" t="s">
        <v>445</v>
      </c>
      <c r="B101" t="s">
        <v>415</v>
      </c>
      <c r="C101" t="s">
        <v>416</v>
      </c>
      <c r="D101" t="s">
        <v>440</v>
      </c>
      <c r="E101" t="s">
        <v>423</v>
      </c>
      <c r="F101" t="s">
        <v>2189</v>
      </c>
      <c r="G101" s="3" t="str">
        <f t="shared" si="8"/>
        <v>Podaci o revizorskoj firmi:</v>
      </c>
      <c r="H101" s="3" t="str">
        <f t="shared" si="11"/>
        <v>Revizija_Podaci_o_revizorskoj_firmi</v>
      </c>
      <c r="I101" s="3">
        <f t="shared" si="12"/>
        <v>1</v>
      </c>
    </row>
    <row r="102" spans="1:9" x14ac:dyDescent="0.3">
      <c r="A102" t="s">
        <v>445</v>
      </c>
      <c r="B102" t="s">
        <v>495</v>
      </c>
      <c r="C102" t="s">
        <v>496</v>
      </c>
      <c r="D102" t="s">
        <v>497</v>
      </c>
      <c r="E102" t="s">
        <v>498</v>
      </c>
      <c r="F102" t="s">
        <v>2190</v>
      </c>
      <c r="G102" s="3" t="str">
        <f t="shared" si="8"/>
        <v>Naziv revizorske firme:</v>
      </c>
      <c r="H102" s="3" t="str">
        <f>SUBSTITUTE(A102&amp;"_"&amp;B102," ","_")</f>
        <v>Revizija_Naziv_revizorske_firme</v>
      </c>
      <c r="I102" s="3">
        <f t="shared" si="12"/>
        <v>1</v>
      </c>
    </row>
    <row r="103" spans="1:9" x14ac:dyDescent="0.3">
      <c r="A103" t="s">
        <v>445</v>
      </c>
      <c r="B103" t="s">
        <v>448</v>
      </c>
      <c r="C103" t="s">
        <v>408</v>
      </c>
      <c r="D103" t="s">
        <v>441</v>
      </c>
      <c r="E103" t="s">
        <v>474</v>
      </c>
      <c r="F103" t="s">
        <v>2191</v>
      </c>
      <c r="G103" s="3" t="str">
        <f t="shared" ref="G103:G106" si="13">CHOOSE( ID_Jezik, C103, D103, E103,F103)</f>
        <v>Pozitivno mišljenje</v>
      </c>
      <c r="H103" s="3" t="str">
        <f t="shared" si="11"/>
        <v>Revizija_Pozitivno</v>
      </c>
      <c r="I103" s="3">
        <f t="shared" si="12"/>
        <v>1</v>
      </c>
    </row>
    <row r="104" spans="1:9" x14ac:dyDescent="0.3">
      <c r="A104" t="s">
        <v>445</v>
      </c>
      <c r="B104" t="s">
        <v>451</v>
      </c>
      <c r="C104" t="s">
        <v>414</v>
      </c>
      <c r="D104" t="s">
        <v>442</v>
      </c>
      <c r="E104" t="s">
        <v>409</v>
      </c>
      <c r="F104" t="s">
        <v>2192</v>
      </c>
      <c r="G104" s="3" t="str">
        <f t="shared" si="13"/>
        <v>Mišljenje sa rezervom</v>
      </c>
      <c r="H104" s="3" t="str">
        <f t="shared" si="11"/>
        <v>Revizija_Sa_rezervom</v>
      </c>
      <c r="I104" s="3">
        <f t="shared" si="12"/>
        <v>1</v>
      </c>
    </row>
    <row r="105" spans="1:9" x14ac:dyDescent="0.3">
      <c r="A105" t="s">
        <v>445</v>
      </c>
      <c r="B105" t="s">
        <v>449</v>
      </c>
      <c r="C105" t="s">
        <v>411</v>
      </c>
      <c r="D105" t="s">
        <v>443</v>
      </c>
      <c r="E105" t="s">
        <v>410</v>
      </c>
      <c r="F105" t="s">
        <v>2193</v>
      </c>
      <c r="G105" s="3" t="str">
        <f t="shared" si="13"/>
        <v>Negativno mišljenje</v>
      </c>
      <c r="H105" s="3" t="str">
        <f t="shared" si="11"/>
        <v>Revizija_Negativno</v>
      </c>
      <c r="I105" s="3">
        <f t="shared" si="12"/>
        <v>1</v>
      </c>
    </row>
    <row r="106" spans="1:9" x14ac:dyDescent="0.3">
      <c r="A106" t="s">
        <v>445</v>
      </c>
      <c r="B106" t="s">
        <v>450</v>
      </c>
      <c r="C106" t="s">
        <v>413</v>
      </c>
      <c r="D106" t="s">
        <v>444</v>
      </c>
      <c r="E106" t="s">
        <v>412</v>
      </c>
      <c r="F106" t="s">
        <v>2194</v>
      </c>
      <c r="G106" s="3" t="str">
        <f t="shared" si="13"/>
        <v>Uzdržavanje od mišljenja</v>
      </c>
      <c r="H106" s="3" t="str">
        <f t="shared" si="11"/>
        <v>Revizija_Uzdrzavanje</v>
      </c>
      <c r="I106" s="3">
        <f t="shared" si="12"/>
        <v>1</v>
      </c>
    </row>
    <row r="107" spans="1:9" ht="14.5" x14ac:dyDescent="0.3">
      <c r="A107" t="s">
        <v>3038</v>
      </c>
      <c r="B107" t="s">
        <v>3039</v>
      </c>
      <c r="C107" s="247" t="s">
        <v>3058</v>
      </c>
      <c r="D107" s="247" t="s">
        <v>3054</v>
      </c>
      <c r="E107" t="s">
        <v>3043</v>
      </c>
      <c r="F107" t="s">
        <v>3061</v>
      </c>
      <c r="G107" s="3" t="str">
        <f>CHOOSE( ID_Jezik, C107, D107, E107,F107)</f>
        <v>1 Subvencije na proizvode obuhvataju subvencije koje se mogu iskazati po jedinici proizvoda, tj. iznos ovih subvencija zavisi od obima proizvodnje (npr. vozna karta, brašno, hljeb, mlijeko i sl.).</v>
      </c>
      <c r="H107" s="3" t="str">
        <f>SUBSTITUTE(A107&amp;"_"&amp;B107," ","_")</f>
        <v>Napomene_Nota_1</v>
      </c>
      <c r="I107" s="3">
        <f t="shared" si="12"/>
        <v>1</v>
      </c>
    </row>
    <row r="108" spans="1:9" ht="16.5" x14ac:dyDescent="0.35">
      <c r="A108" t="s">
        <v>3038</v>
      </c>
      <c r="B108" t="s">
        <v>3040</v>
      </c>
      <c r="C108" s="247" t="s">
        <v>3057</v>
      </c>
      <c r="D108" s="247" t="s">
        <v>3053</v>
      </c>
      <c r="E108" t="s">
        <v>3044</v>
      </c>
      <c r="F108" t="s">
        <v>3052</v>
      </c>
      <c r="G108" s="3" t="str">
        <f>CHOOSE( ID_Jezik, C108, D108, E108,F108)</f>
        <v>2 Subvencije na proizvodnju obuhvataju subvencije koje se ne mogu iskazati po jedinici proizvoda ili usluge  (npr. zapošljavanje, platu, kamatnu stopu, za smanjenje zagađenja i sl.).</v>
      </c>
      <c r="H108" s="3" t="str">
        <f>SUBSTITUTE(A108&amp;"_"&amp;B108," ","_")</f>
        <v>Napomene_Nota_2</v>
      </c>
      <c r="I108" s="3">
        <f t="shared" si="12"/>
        <v>1</v>
      </c>
    </row>
    <row r="109" spans="1:9" ht="14.5" x14ac:dyDescent="0.3">
      <c r="A109" t="s">
        <v>3038</v>
      </c>
      <c r="B109" t="s">
        <v>3041</v>
      </c>
      <c r="C109" s="247" t="s">
        <v>3059</v>
      </c>
      <c r="D109" s="247" t="s">
        <v>3055</v>
      </c>
      <c r="E109" t="s">
        <v>3045</v>
      </c>
      <c r="F109" t="s">
        <v>3047</v>
      </c>
      <c r="G109" s="3" t="str">
        <f>CHOOSE( ID_Jezik, C109, D109, E109,F109)</f>
        <v>3 Porezi na proizvode zavise od količine ili vrijednosti proizvedenih dobara i usluga (npr. carine, boravišne takse, porez na igre na sreću i sl.).</v>
      </c>
      <c r="H109" s="3" t="str">
        <f>SUBSTITUTE(A109&amp;"_"&amp;B109," ","_")</f>
        <v>Napomene_Nota_3</v>
      </c>
      <c r="I109" s="3">
        <f t="shared" si="12"/>
        <v>1</v>
      </c>
    </row>
    <row r="110" spans="1:9" ht="14.5" x14ac:dyDescent="0.3">
      <c r="A110" t="s">
        <v>3038</v>
      </c>
      <c r="B110" t="s">
        <v>3042</v>
      </c>
      <c r="C110" s="247" t="s">
        <v>3060</v>
      </c>
      <c r="D110" s="247" t="s">
        <v>3056</v>
      </c>
      <c r="E110" t="s">
        <v>3046</v>
      </c>
      <c r="F110" t="s">
        <v>3062</v>
      </c>
      <c r="G110" s="3" t="str">
        <f>CHOOSE( ID_Jezik, C110, D110, E110,F110)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H110" s="3" t="str">
        <f t="shared" ref="H110" si="14">SUBSTITUTE(A110&amp;"_"&amp;B110," ","_")</f>
        <v>Napomene_Nota_4</v>
      </c>
      <c r="I110" s="3">
        <f t="shared" ref="I110" si="15">COUNTIF($B$2:$B$1034,"="&amp;B110)</f>
        <v>1</v>
      </c>
    </row>
  </sheetData>
  <sheetProtection algorithmName="SHA-512" hashValue="gzU7BH1JvJEVvSKLS3PkHUbOyrjaJsQU8YtO1W9M79HTzUCnkLs3qs+DpC0MspzyEgoGcO06qdxeIpEZTYVK3g==" saltValue="45uQAYiDdcYrueHi+ldFcA==" spinCount="100000" sheet="1" objects="1" scenarios="1"/>
  <phoneticPr fontId="27" type="noConversion"/>
  <conditionalFormatting sqref="C2:F73 C74:E87 F75:F91 C88:D89 C90:E104 F94:F106 C105:F106">
    <cfRule type="containsBlanks" dxfId="193" priority="2" stopIfTrue="1">
      <formula>LEN(TRIM(C2))=0</formula>
    </cfRule>
  </conditionalFormatting>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0000"/>
  </sheetPr>
  <dimension ref="A1:P453"/>
  <sheetViews>
    <sheetView showGridLines="0" showRowColHeaders="0" zoomScaleNormal="100" workbookViewId="0">
      <pane xSplit="5" ySplit="1" topLeftCell="F2" activePane="bottomRight" state="frozen"/>
      <selection activeCell="C12" sqref="C12:O12"/>
      <selection pane="topRight" activeCell="C12" sqref="C12:O12"/>
      <selection pane="bottomLeft" activeCell="C12" sqref="C12:O12"/>
      <selection pane="bottomRight" activeCell="T447" sqref="T447"/>
    </sheetView>
  </sheetViews>
  <sheetFormatPr defaultColWidth="9.09765625" defaultRowHeight="13" x14ac:dyDescent="0.3"/>
  <cols>
    <col min="1" max="1" width="8" customWidth="1"/>
    <col min="2" max="2" width="8.59765625" customWidth="1"/>
    <col min="3" max="3" width="10.09765625" customWidth="1"/>
    <col min="4" max="4" width="7.09765625" customWidth="1"/>
    <col min="5" max="5" width="18.59765625" customWidth="1"/>
    <col min="6" max="6" width="125.69921875" customWidth="1"/>
    <col min="7" max="7" width="76.3984375" style="288" customWidth="1"/>
    <col min="8" max="8" width="94.3984375" style="288" customWidth="1"/>
    <col min="9" max="9" width="73" style="288" customWidth="1"/>
    <col min="10" max="10" width="67.8984375" style="288" customWidth="1"/>
    <col min="11" max="13" width="19.69921875" style="56" customWidth="1"/>
    <col min="14" max="14" width="24.296875" style="2" customWidth="1"/>
    <col min="15" max="16" width="8.8984375" customWidth="1"/>
    <col min="17" max="16384" width="9.09765625" style="105"/>
  </cols>
  <sheetData>
    <row r="1" spans="1:16" ht="25.5" customHeight="1" x14ac:dyDescent="0.3">
      <c r="A1" s="352" t="s">
        <v>123</v>
      </c>
      <c r="B1" s="352" t="s">
        <v>249</v>
      </c>
      <c r="C1" s="352" t="s">
        <v>248</v>
      </c>
      <c r="D1" s="352" t="s">
        <v>74</v>
      </c>
      <c r="E1" s="353" t="s">
        <v>312</v>
      </c>
      <c r="F1" s="353" t="s">
        <v>254</v>
      </c>
      <c r="G1" s="354" t="s">
        <v>251</v>
      </c>
      <c r="H1" s="354" t="s">
        <v>252</v>
      </c>
      <c r="I1" s="354" t="s">
        <v>253</v>
      </c>
      <c r="J1" s="354" t="s">
        <v>2456</v>
      </c>
      <c r="K1" s="354" t="s">
        <v>699</v>
      </c>
      <c r="L1" s="354" t="s">
        <v>700</v>
      </c>
      <c r="M1" s="354" t="s">
        <v>701</v>
      </c>
      <c r="N1" s="352" t="s">
        <v>2197</v>
      </c>
      <c r="O1" s="352" t="s">
        <v>689</v>
      </c>
      <c r="P1" s="352" t="s">
        <v>690</v>
      </c>
    </row>
    <row r="2" spans="1:16" ht="36.75" customHeight="1" x14ac:dyDescent="0.3">
      <c r="A2">
        <f t="shared" ref="A2:A65" si="0">ROW()-ROW($A$1)</f>
        <v>1</v>
      </c>
      <c r="B2" t="s">
        <v>771</v>
      </c>
      <c r="C2">
        <v>1</v>
      </c>
      <c r="D2" s="227">
        <v>1</v>
      </c>
      <c r="E2" s="2">
        <f>VLOOKUP( T_Aop[[#This Row],[Id]], T_Aop[], ID_Jezik +10, 1)</f>
        <v>0</v>
      </c>
      <c r="F2" t="str">
        <f>REPT( "  ", T_Aop[[#This Row],[Aop nivo]]) &amp; VLOOKUP( T_Aop[[#This Row],[Id]], T_Aop[], ID_Jezik + 6, 1)</f>
        <v xml:space="preserve">  BILANSNA AKTIVA
A. STALNA SREDSTVA (002+008+015+016+017+022+034)</v>
      </c>
      <c r="G2" s="280" t="s">
        <v>2752</v>
      </c>
      <c r="H2" s="280" t="s">
        <v>2753</v>
      </c>
      <c r="I2" s="280" t="s">
        <v>2754</v>
      </c>
      <c r="J2" s="280" t="s">
        <v>2755</v>
      </c>
      <c r="K2" s="351">
        <v>0</v>
      </c>
      <c r="L2" s="351">
        <v>0</v>
      </c>
      <c r="O2" s="10">
        <v>1</v>
      </c>
      <c r="P2" s="10"/>
    </row>
    <row r="3" spans="1:16" x14ac:dyDescent="0.3">
      <c r="A3">
        <f t="shared" si="0"/>
        <v>2</v>
      </c>
      <c r="B3" t="s">
        <v>771</v>
      </c>
      <c r="C3">
        <v>1</v>
      </c>
      <c r="D3" s="227">
        <v>2</v>
      </c>
      <c r="E3" s="2" t="str">
        <f>VLOOKUP( T_Aop[[#This Row],[Id]], T_Aop[], ID_Jezik +10, 1)</f>
        <v>01</v>
      </c>
      <c r="F3" t="str">
        <f>REPT( "  ", T_Aop[[#This Row],[Aop nivo]]) &amp; VLOOKUP( T_Aop[[#This Row],[Id]], T_Aop[], ID_Jezik + 6, 1)</f>
        <v xml:space="preserve">  I  NEMATERIJALNA SREDSTVA  (003 do 007)</v>
      </c>
      <c r="G3" s="281" t="s">
        <v>1046</v>
      </c>
      <c r="H3" s="281" t="s">
        <v>1004</v>
      </c>
      <c r="I3" s="288" t="s">
        <v>2783</v>
      </c>
      <c r="J3" s="299" t="s">
        <v>1967</v>
      </c>
      <c r="K3" s="368" t="s">
        <v>344</v>
      </c>
      <c r="L3" s="267" t="s">
        <v>344</v>
      </c>
      <c r="M3" s="289" t="s">
        <v>344</v>
      </c>
      <c r="N3" s="266" t="s">
        <v>344</v>
      </c>
      <c r="O3" s="10">
        <v>1</v>
      </c>
      <c r="P3" s="10"/>
    </row>
    <row r="4" spans="1:16" x14ac:dyDescent="0.3">
      <c r="A4">
        <f t="shared" si="0"/>
        <v>3</v>
      </c>
      <c r="B4" t="s">
        <v>771</v>
      </c>
      <c r="C4">
        <v>2</v>
      </c>
      <c r="D4" s="227">
        <v>3</v>
      </c>
      <c r="E4" s="2" t="str">
        <f>VLOOKUP( T_Aop[[#This Row],[Id]], T_Aop[], ID_Jezik +10, 1)</f>
        <v>010, dio 019</v>
      </c>
      <c r="F4" t="str">
        <f>REPT( "  ", T_Aop[[#This Row],[Aop nivo]]) &amp; VLOOKUP( T_Aop[[#This Row],[Id]], T_Aop[], ID_Jezik + 6, 1)</f>
        <v xml:space="preserve">    1. Ulaganja u razvoj</v>
      </c>
      <c r="G4" s="288" t="s">
        <v>1047</v>
      </c>
      <c r="H4" s="280" t="s">
        <v>1021</v>
      </c>
      <c r="I4" s="288" t="s">
        <v>2675</v>
      </c>
      <c r="J4" s="370" t="s">
        <v>1968</v>
      </c>
      <c r="K4" s="369" t="s">
        <v>595</v>
      </c>
      <c r="L4" s="269" t="s">
        <v>596</v>
      </c>
      <c r="M4" s="289" t="s">
        <v>597</v>
      </c>
      <c r="N4" s="256" t="s">
        <v>2250</v>
      </c>
      <c r="O4" s="10"/>
      <c r="P4" s="10"/>
    </row>
    <row r="5" spans="1:16" ht="26" x14ac:dyDescent="0.3">
      <c r="A5">
        <f t="shared" si="0"/>
        <v>4</v>
      </c>
      <c r="B5" t="s">
        <v>771</v>
      </c>
      <c r="C5">
        <v>2</v>
      </c>
      <c r="D5" s="227">
        <v>4</v>
      </c>
      <c r="E5" s="2" t="str">
        <f>VLOOKUP( T_Aop[[#This Row],[Id]], T_Aop[], ID_Jezik +10, 1)</f>
        <v>011, 013 dio 019</v>
      </c>
      <c r="F5" t="str">
        <f>REPT( "  ", T_Aop[[#This Row],[Aop nivo]]) &amp; VLOOKUP( T_Aop[[#This Row],[Id]], T_Aop[], ID_Jezik + 6, 1)</f>
        <v xml:space="preserve">    2. Koncesije, patenti, licence, softver i ostala prava</v>
      </c>
      <c r="G5" s="288" t="s">
        <v>1048</v>
      </c>
      <c r="H5" s="281" t="s">
        <v>781</v>
      </c>
      <c r="I5" s="288" t="s">
        <v>3073</v>
      </c>
      <c r="J5" s="370" t="s">
        <v>1969</v>
      </c>
      <c r="K5" s="369" t="s">
        <v>816</v>
      </c>
      <c r="L5" s="268" t="s">
        <v>787</v>
      </c>
      <c r="M5" s="289" t="s">
        <v>974</v>
      </c>
      <c r="N5" s="256" t="s">
        <v>2251</v>
      </c>
      <c r="O5" s="10"/>
      <c r="P5" s="10"/>
    </row>
    <row r="6" spans="1:16" x14ac:dyDescent="0.3">
      <c r="A6">
        <f t="shared" si="0"/>
        <v>5</v>
      </c>
      <c r="B6" t="s">
        <v>771</v>
      </c>
      <c r="C6">
        <v>2</v>
      </c>
      <c r="D6" s="227">
        <v>5</v>
      </c>
      <c r="E6" s="2" t="str">
        <f>VLOOKUP( T_Aop[[#This Row],[Id]], T_Aop[], ID_Jezik +10, 1)</f>
        <v>012, dio 019</v>
      </c>
      <c r="F6" t="str">
        <f>REPT( "  ", T_Aop[[#This Row],[Aop nivo]]) &amp; VLOOKUP( T_Aop[[#This Row],[Id]], T_Aop[], ID_Jezik + 6, 1)</f>
        <v xml:space="preserve">    3. Goodwill</v>
      </c>
      <c r="G6" s="288" t="s">
        <v>1049</v>
      </c>
      <c r="H6" s="280" t="s">
        <v>1022</v>
      </c>
      <c r="I6" s="288" t="s">
        <v>1049</v>
      </c>
      <c r="J6" s="370" t="s">
        <v>1049</v>
      </c>
      <c r="K6" s="369" t="s">
        <v>598</v>
      </c>
      <c r="L6" s="268" t="s">
        <v>599</v>
      </c>
      <c r="M6" s="289" t="s">
        <v>600</v>
      </c>
      <c r="N6" s="256" t="s">
        <v>2252</v>
      </c>
      <c r="O6" s="10"/>
      <c r="P6" s="10"/>
    </row>
    <row r="7" spans="1:16" x14ac:dyDescent="0.3">
      <c r="A7">
        <f t="shared" si="0"/>
        <v>6</v>
      </c>
      <c r="B7" t="s">
        <v>771</v>
      </c>
      <c r="C7">
        <v>2</v>
      </c>
      <c r="D7" s="227">
        <v>6</v>
      </c>
      <c r="E7" s="2" t="str">
        <f>VLOOKUP( T_Aop[[#This Row],[Id]], T_Aop[], ID_Jezik +10, 1)</f>
        <v>014, dio 019</v>
      </c>
      <c r="F7" t="str">
        <f>REPT( "  ", T_Aop[[#This Row],[Aop nivo]]) &amp; VLOOKUP( T_Aop[[#This Row],[Id]], T_Aop[], ID_Jezik + 6, 1)</f>
        <v xml:space="preserve">    4. Ostala nematerijalna sredstva</v>
      </c>
      <c r="G7" s="288" t="s">
        <v>1050</v>
      </c>
      <c r="H7" s="281" t="s">
        <v>1024</v>
      </c>
      <c r="I7" s="288" t="s">
        <v>2676</v>
      </c>
      <c r="J7" s="370" t="s">
        <v>1970</v>
      </c>
      <c r="K7" s="369" t="s">
        <v>601</v>
      </c>
      <c r="L7" s="268" t="s">
        <v>602</v>
      </c>
      <c r="M7" s="289" t="s">
        <v>603</v>
      </c>
      <c r="N7" s="256" t="s">
        <v>2253</v>
      </c>
      <c r="O7" s="10"/>
      <c r="P7" s="10"/>
    </row>
    <row r="8" spans="1:16" x14ac:dyDescent="0.3">
      <c r="A8">
        <f t="shared" si="0"/>
        <v>7</v>
      </c>
      <c r="B8" t="s">
        <v>771</v>
      </c>
      <c r="C8">
        <v>2</v>
      </c>
      <c r="D8" s="227">
        <v>7</v>
      </c>
      <c r="E8" s="2" t="str">
        <f>VLOOKUP( T_Aop[[#This Row],[Id]], T_Aop[], ID_Jezik +10, 1)</f>
        <v>015, 016, dio 019</v>
      </c>
      <c r="F8" t="str">
        <f>REPT( "  ", T_Aop[[#This Row],[Aop nivo]]) &amp; VLOOKUP( T_Aop[[#This Row],[Id]], T_Aop[], ID_Jezik + 6, 1)</f>
        <v xml:space="preserve">    5. Avansi i nematerijalna sredstva u pripremi </v>
      </c>
      <c r="G8" s="288" t="s">
        <v>1051</v>
      </c>
      <c r="H8" s="280" t="s">
        <v>1023</v>
      </c>
      <c r="I8" s="288" t="s">
        <v>2677</v>
      </c>
      <c r="J8" s="370" t="s">
        <v>1971</v>
      </c>
      <c r="K8" s="369" t="s">
        <v>604</v>
      </c>
      <c r="L8" s="268" t="s">
        <v>2725</v>
      </c>
      <c r="M8" s="289" t="s">
        <v>605</v>
      </c>
      <c r="N8" s="256" t="s">
        <v>2254</v>
      </c>
      <c r="O8" s="10"/>
      <c r="P8" s="10"/>
    </row>
    <row r="9" spans="1:16" x14ac:dyDescent="0.3">
      <c r="A9">
        <f t="shared" si="0"/>
        <v>8</v>
      </c>
      <c r="B9" t="s">
        <v>771</v>
      </c>
      <c r="C9">
        <v>1</v>
      </c>
      <c r="D9" s="227">
        <v>8</v>
      </c>
      <c r="E9" s="2" t="str">
        <f>VLOOKUP( T_Aop[[#This Row],[Id]], T_Aop[], ID_Jezik +10, 1)</f>
        <v>02</v>
      </c>
      <c r="F9" t="str">
        <f>REPT( "  ", T_Aop[[#This Row],[Aop nivo]]) &amp; VLOOKUP( T_Aop[[#This Row],[Id]], T_Aop[], ID_Jezik + 6, 1)</f>
        <v xml:space="preserve">  II  NEKRETNINE, POSTROJENJA I OPREMA (009 do 014) </v>
      </c>
      <c r="G9" s="281" t="s">
        <v>2760</v>
      </c>
      <c r="H9" s="281" t="s">
        <v>1005</v>
      </c>
      <c r="I9" s="288" t="s">
        <v>2782</v>
      </c>
      <c r="J9" s="370" t="s">
        <v>1972</v>
      </c>
      <c r="K9" s="368" t="s">
        <v>345</v>
      </c>
      <c r="L9" s="267" t="s">
        <v>345</v>
      </c>
      <c r="M9" s="289" t="s">
        <v>345</v>
      </c>
      <c r="N9" s="266" t="s">
        <v>345</v>
      </c>
      <c r="O9" s="10">
        <v>1</v>
      </c>
      <c r="P9" s="10"/>
    </row>
    <row r="10" spans="1:16" x14ac:dyDescent="0.3">
      <c r="A10">
        <f t="shared" si="0"/>
        <v>9</v>
      </c>
      <c r="B10" t="s">
        <v>771</v>
      </c>
      <c r="C10">
        <v>2</v>
      </c>
      <c r="D10" s="227">
        <v>9</v>
      </c>
      <c r="E10" s="2" t="str">
        <f>VLOOKUP( T_Aop[[#This Row],[Id]], T_Aop[], ID_Jezik +10, 1)</f>
        <v>020, dio 029</v>
      </c>
      <c r="F10" t="str">
        <f>REPT( "  ", T_Aop[[#This Row],[Aop nivo]]) &amp; VLOOKUP( T_Aop[[#This Row],[Id]], T_Aop[], ID_Jezik + 6, 1)</f>
        <v xml:space="preserve">    1. Zemljište</v>
      </c>
      <c r="G10" s="288" t="s">
        <v>1052</v>
      </c>
      <c r="H10" s="280" t="s">
        <v>1025</v>
      </c>
      <c r="I10" s="288" t="s">
        <v>2681</v>
      </c>
      <c r="J10" s="370" t="s">
        <v>1973</v>
      </c>
      <c r="K10" s="369" t="s">
        <v>606</v>
      </c>
      <c r="L10" s="268" t="s">
        <v>607</v>
      </c>
      <c r="M10" s="289" t="s">
        <v>608</v>
      </c>
      <c r="N10" s="256" t="s">
        <v>2255</v>
      </c>
      <c r="O10" s="10"/>
      <c r="P10" s="10"/>
    </row>
    <row r="11" spans="1:16" x14ac:dyDescent="0.3">
      <c r="A11">
        <f t="shared" si="0"/>
        <v>10</v>
      </c>
      <c r="B11" t="s">
        <v>771</v>
      </c>
      <c r="C11">
        <v>2</v>
      </c>
      <c r="D11" s="227">
        <v>10</v>
      </c>
      <c r="E11" s="2" t="str">
        <f>VLOOKUP( T_Aop[[#This Row],[Id]], T_Aop[], ID_Jezik +10, 1)</f>
        <v>021, dio 029</v>
      </c>
      <c r="F11" t="str">
        <f>REPT( "  ", T_Aop[[#This Row],[Aop nivo]]) &amp; VLOOKUP( T_Aop[[#This Row],[Id]], T_Aop[], ID_Jezik + 6, 1)</f>
        <v xml:space="preserve">    2. Građevinski objekti</v>
      </c>
      <c r="G11" s="288" t="s">
        <v>1053</v>
      </c>
      <c r="H11" s="281" t="s">
        <v>1026</v>
      </c>
      <c r="I11" s="288" t="s">
        <v>2682</v>
      </c>
      <c r="J11" s="370" t="s">
        <v>1974</v>
      </c>
      <c r="K11" s="369" t="s">
        <v>609</v>
      </c>
      <c r="L11" s="268" t="s">
        <v>610</v>
      </c>
      <c r="M11" s="289" t="s">
        <v>611</v>
      </c>
      <c r="N11" s="256" t="s">
        <v>2256</v>
      </c>
      <c r="O11" s="10"/>
      <c r="P11" s="10"/>
    </row>
    <row r="12" spans="1:16" x14ac:dyDescent="0.3">
      <c r="A12">
        <f t="shared" si="0"/>
        <v>11</v>
      </c>
      <c r="B12" t="s">
        <v>771</v>
      </c>
      <c r="C12">
        <v>2</v>
      </c>
      <c r="D12" s="227">
        <v>11</v>
      </c>
      <c r="E12" s="2" t="str">
        <f>VLOOKUP( T_Aop[[#This Row],[Id]], T_Aop[], ID_Jezik +10, 1)</f>
        <v>022, dio 029</v>
      </c>
      <c r="F12" t="str">
        <f>REPT( "  ", T_Aop[[#This Row],[Aop nivo]]) &amp; VLOOKUP( T_Aop[[#This Row],[Id]], T_Aop[], ID_Jezik + 6, 1)</f>
        <v xml:space="preserve">    3. Postrojenja i oprema</v>
      </c>
      <c r="G12" s="288" t="s">
        <v>1054</v>
      </c>
      <c r="H12" s="280" t="s">
        <v>1027</v>
      </c>
      <c r="I12" s="288" t="s">
        <v>2683</v>
      </c>
      <c r="J12" s="370" t="s">
        <v>1975</v>
      </c>
      <c r="K12" s="369" t="s">
        <v>612</v>
      </c>
      <c r="L12" s="268" t="s">
        <v>613</v>
      </c>
      <c r="M12" s="289" t="s">
        <v>614</v>
      </c>
      <c r="N12" s="256" t="s">
        <v>2257</v>
      </c>
      <c r="O12" s="10"/>
      <c r="P12" s="10"/>
    </row>
    <row r="13" spans="1:16" x14ac:dyDescent="0.3">
      <c r="A13">
        <f t="shared" si="0"/>
        <v>12</v>
      </c>
      <c r="B13" t="s">
        <v>771</v>
      </c>
      <c r="C13">
        <v>2</v>
      </c>
      <c r="D13" s="227">
        <v>12</v>
      </c>
      <c r="E13" s="2" t="str">
        <f>VLOOKUP( T_Aop[[#This Row],[Id]], T_Aop[], ID_Jezik +10, 1)</f>
        <v>023, dio 029</v>
      </c>
      <c r="F13" t="str">
        <f>REPT( "  ", T_Aop[[#This Row],[Aop nivo]]) &amp; VLOOKUP( T_Aop[[#This Row],[Id]], T_Aop[], ID_Jezik + 6, 1)</f>
        <v xml:space="preserve">    4. Ostale nekretnine, postrojenja i oprema</v>
      </c>
      <c r="G13" s="288" t="s">
        <v>1055</v>
      </c>
      <c r="H13" s="281" t="s">
        <v>1028</v>
      </c>
      <c r="I13" s="288" t="s">
        <v>2684</v>
      </c>
      <c r="J13" s="370" t="s">
        <v>1976</v>
      </c>
      <c r="K13" s="369" t="s">
        <v>615</v>
      </c>
      <c r="L13" s="268" t="s">
        <v>616</v>
      </c>
      <c r="M13" s="289" t="s">
        <v>617</v>
      </c>
      <c r="N13" s="256" t="s">
        <v>2258</v>
      </c>
      <c r="O13" s="10"/>
      <c r="P13" s="10"/>
    </row>
    <row r="14" spans="1:16" x14ac:dyDescent="0.3">
      <c r="A14">
        <f t="shared" si="0"/>
        <v>13</v>
      </c>
      <c r="B14" t="s">
        <v>771</v>
      </c>
      <c r="C14">
        <v>2</v>
      </c>
      <c r="D14" s="227">
        <v>13</v>
      </c>
      <c r="E14" s="2" t="str">
        <f>VLOOKUP( T_Aop[[#This Row],[Id]], T_Aop[], ID_Jezik +10, 1)</f>
        <v>024, dio 029</v>
      </c>
      <c r="F14" t="str">
        <f>REPT( "  ", T_Aop[[#This Row],[Aop nivo]]) &amp; VLOOKUP( T_Aop[[#This Row],[Id]], T_Aop[], ID_Jezik + 6, 1)</f>
        <v xml:space="preserve">    5. Ulaganje na tuđim nekretninama, postrojenjima i opremi</v>
      </c>
      <c r="G14" s="288" t="s">
        <v>1056</v>
      </c>
      <c r="H14" s="280" t="s">
        <v>1029</v>
      </c>
      <c r="I14" s="288" t="s">
        <v>2685</v>
      </c>
      <c r="J14" s="370" t="s">
        <v>1977</v>
      </c>
      <c r="K14" s="369" t="s">
        <v>618</v>
      </c>
      <c r="L14" s="268" t="s">
        <v>619</v>
      </c>
      <c r="M14" s="289" t="s">
        <v>620</v>
      </c>
      <c r="N14" s="256" t="s">
        <v>2259</v>
      </c>
      <c r="O14" s="10"/>
      <c r="P14" s="10"/>
    </row>
    <row r="15" spans="1:16" ht="26" x14ac:dyDescent="0.3">
      <c r="A15">
        <f t="shared" si="0"/>
        <v>14</v>
      </c>
      <c r="B15" t="s">
        <v>771</v>
      </c>
      <c r="C15">
        <v>2</v>
      </c>
      <c r="D15" s="227">
        <v>14</v>
      </c>
      <c r="E15" s="2" t="str">
        <f>VLOOKUP( T_Aop[[#This Row],[Id]], T_Aop[], ID_Jezik +10, 1)</f>
        <v>025, 026, dio 029</v>
      </c>
      <c r="F15" t="str">
        <f>REPT( "  ", T_Aop[[#This Row],[Aop nivo]]) &amp; VLOOKUP( T_Aop[[#This Row],[Id]], T_Aop[], ID_Jezik + 6, 1)</f>
        <v xml:space="preserve">    6. Avansi i nekretnine, postrojenja i oprema u pripremi</v>
      </c>
      <c r="G15" s="288" t="s">
        <v>2912</v>
      </c>
      <c r="H15" s="281" t="s">
        <v>1030</v>
      </c>
      <c r="I15" s="288" t="s">
        <v>2686</v>
      </c>
      <c r="J15" s="370" t="s">
        <v>1978</v>
      </c>
      <c r="K15" s="369" t="s">
        <v>817</v>
      </c>
      <c r="L15" s="268" t="s">
        <v>788</v>
      </c>
      <c r="M15" s="289" t="s">
        <v>975</v>
      </c>
      <c r="N15" s="256" t="s">
        <v>2260</v>
      </c>
      <c r="O15" s="10"/>
      <c r="P15" s="10"/>
    </row>
    <row r="16" spans="1:16" x14ac:dyDescent="0.3">
      <c r="A16">
        <f t="shared" si="0"/>
        <v>15</v>
      </c>
      <c r="B16" t="s">
        <v>771</v>
      </c>
      <c r="C16">
        <v>1</v>
      </c>
      <c r="D16" s="227">
        <v>15</v>
      </c>
      <c r="E16" s="2" t="str">
        <f>VLOOKUP( T_Aop[[#This Row],[Id]], T_Aop[], ID_Jezik +10, 1)</f>
        <v>03</v>
      </c>
      <c r="F16" t="str">
        <f>REPT( "  ", T_Aop[[#This Row],[Aop nivo]]) &amp; VLOOKUP( T_Aop[[#This Row],[Id]], T_Aop[], ID_Jezik + 6, 1)</f>
        <v xml:space="preserve">  III INVESTICIONE NEKRETNINE</v>
      </c>
      <c r="G16" s="281" t="s">
        <v>1057</v>
      </c>
      <c r="H16" s="280" t="s">
        <v>1007</v>
      </c>
      <c r="I16" s="288" t="s">
        <v>1714</v>
      </c>
      <c r="J16" s="370" t="s">
        <v>1979</v>
      </c>
      <c r="K16" s="533" t="s">
        <v>346</v>
      </c>
      <c r="L16" s="269" t="s">
        <v>346</v>
      </c>
      <c r="M16" s="289" t="s">
        <v>346</v>
      </c>
      <c r="N16" s="266" t="s">
        <v>346</v>
      </c>
      <c r="O16" s="10"/>
      <c r="P16" s="10"/>
    </row>
    <row r="17" spans="1:16" x14ac:dyDescent="0.3">
      <c r="A17">
        <f t="shared" si="0"/>
        <v>16</v>
      </c>
      <c r="B17" t="s">
        <v>771</v>
      </c>
      <c r="C17">
        <v>1</v>
      </c>
      <c r="D17" s="227">
        <v>16</v>
      </c>
      <c r="E17" s="2" t="str">
        <f>VLOOKUP( T_Aop[[#This Row],[Id]], T_Aop[], ID_Jezik +10, 1)</f>
        <v>04</v>
      </c>
      <c r="F17" t="str">
        <f>REPT( "  ", T_Aop[[#This Row],[Aop nivo]]) &amp; VLOOKUP( T_Aop[[#This Row],[Id]], T_Aop[], ID_Jezik + 6, 1)</f>
        <v xml:space="preserve">  IV SREDSTVA UZETA U ZAKUP </v>
      </c>
      <c r="G17" s="281" t="s">
        <v>1058</v>
      </c>
      <c r="H17" s="281" t="s">
        <v>1008</v>
      </c>
      <c r="I17" s="288" t="s">
        <v>997</v>
      </c>
      <c r="J17" s="370" t="s">
        <v>1980</v>
      </c>
      <c r="K17" s="369" t="s">
        <v>347</v>
      </c>
      <c r="L17" s="269" t="s">
        <v>347</v>
      </c>
      <c r="M17" s="289" t="s">
        <v>347</v>
      </c>
      <c r="N17" s="266" t="s">
        <v>347</v>
      </c>
      <c r="O17" s="10"/>
      <c r="P17" s="10"/>
    </row>
    <row r="18" spans="1:16" x14ac:dyDescent="0.3">
      <c r="A18">
        <f t="shared" si="0"/>
        <v>17</v>
      </c>
      <c r="B18" t="s">
        <v>771</v>
      </c>
      <c r="C18">
        <v>1</v>
      </c>
      <c r="D18" s="227">
        <v>17</v>
      </c>
      <c r="E18" s="2" t="str">
        <f>VLOOKUP( T_Aop[[#This Row],[Id]], T_Aop[], ID_Jezik +10, 1)</f>
        <v>05</v>
      </c>
      <c r="F18" t="str">
        <f>REPT( "  ", T_Aop[[#This Row],[Aop nivo]]) &amp; VLOOKUP( T_Aop[[#This Row],[Id]], T_Aop[], ID_Jezik + 6, 1)</f>
        <v xml:space="preserve">  V BIOLOŠKA SREDSTVA   (018 do 021)</v>
      </c>
      <c r="G18" s="281" t="s">
        <v>1059</v>
      </c>
      <c r="H18" s="280" t="s">
        <v>1009</v>
      </c>
      <c r="I18" s="288" t="s">
        <v>998</v>
      </c>
      <c r="J18" s="370" t="s">
        <v>1981</v>
      </c>
      <c r="K18" s="369" t="s">
        <v>818</v>
      </c>
      <c r="L18" s="269" t="s">
        <v>818</v>
      </c>
      <c r="M18" s="289" t="s">
        <v>818</v>
      </c>
      <c r="N18" s="266" t="s">
        <v>818</v>
      </c>
      <c r="O18" s="10">
        <v>1</v>
      </c>
      <c r="P18" s="10"/>
    </row>
    <row r="19" spans="1:16" x14ac:dyDescent="0.3">
      <c r="A19">
        <f t="shared" si="0"/>
        <v>18</v>
      </c>
      <c r="B19" t="s">
        <v>771</v>
      </c>
      <c r="C19">
        <v>2</v>
      </c>
      <c r="D19" s="227">
        <v>18</v>
      </c>
      <c r="E19" s="2" t="str">
        <f>VLOOKUP( T_Aop[[#This Row],[Id]], T_Aop[], ID_Jezik +10, 1)</f>
        <v>050, dio 059</v>
      </c>
      <c r="F19" t="str">
        <f>REPT( "  ", T_Aop[[#This Row],[Aop nivo]]) &amp; VLOOKUP( T_Aop[[#This Row],[Id]], T_Aop[], ID_Jezik + 6, 1)</f>
        <v xml:space="preserve">    1. Šume</v>
      </c>
      <c r="G19" s="288" t="s">
        <v>1060</v>
      </c>
      <c r="H19" s="281" t="s">
        <v>1031</v>
      </c>
      <c r="I19" s="288" t="s">
        <v>2687</v>
      </c>
      <c r="J19" s="370" t="s">
        <v>1982</v>
      </c>
      <c r="K19" s="369" t="s">
        <v>819</v>
      </c>
      <c r="L19" s="268" t="s">
        <v>789</v>
      </c>
      <c r="M19" s="289" t="s">
        <v>976</v>
      </c>
      <c r="N19" s="256" t="s">
        <v>2261</v>
      </c>
      <c r="O19" s="10"/>
      <c r="P19" s="10"/>
    </row>
    <row r="20" spans="1:16" x14ac:dyDescent="0.3">
      <c r="A20">
        <f t="shared" si="0"/>
        <v>19</v>
      </c>
      <c r="B20" t="s">
        <v>771</v>
      </c>
      <c r="C20">
        <v>2</v>
      </c>
      <c r="D20" s="227">
        <v>19</v>
      </c>
      <c r="E20" s="2" t="str">
        <f>VLOOKUP( T_Aop[[#This Row],[Id]], T_Aop[], ID_Jezik +10, 1)</f>
        <v>051, dio 059</v>
      </c>
      <c r="F20" t="str">
        <f>REPT( "  ", T_Aop[[#This Row],[Aop nivo]]) &amp; VLOOKUP( T_Aop[[#This Row],[Id]], T_Aop[], ID_Jezik + 6, 1)</f>
        <v xml:space="preserve">    2. Višegodišnji zasadi</v>
      </c>
      <c r="G20" s="288" t="s">
        <v>1061</v>
      </c>
      <c r="H20" s="280" t="s">
        <v>1032</v>
      </c>
      <c r="I20" s="288" t="s">
        <v>2678</v>
      </c>
      <c r="J20" s="370" t="s">
        <v>1983</v>
      </c>
      <c r="K20" s="369" t="s">
        <v>820</v>
      </c>
      <c r="L20" s="268" t="s">
        <v>790</v>
      </c>
      <c r="M20" s="289" t="s">
        <v>977</v>
      </c>
      <c r="N20" s="256" t="s">
        <v>2262</v>
      </c>
      <c r="O20" s="10"/>
      <c r="P20" s="10"/>
    </row>
    <row r="21" spans="1:16" x14ac:dyDescent="0.3">
      <c r="A21">
        <f t="shared" si="0"/>
        <v>20</v>
      </c>
      <c r="B21" t="s">
        <v>771</v>
      </c>
      <c r="C21">
        <v>2</v>
      </c>
      <c r="D21" s="227">
        <v>20</v>
      </c>
      <c r="E21" s="2" t="str">
        <f>VLOOKUP( T_Aop[[#This Row],[Id]], T_Aop[], ID_Jezik +10, 1)</f>
        <v>052, 053 dio 059</v>
      </c>
      <c r="F21" t="str">
        <f>REPT( "  ", T_Aop[[#This Row],[Aop nivo]]) &amp; VLOOKUP( T_Aop[[#This Row],[Id]], T_Aop[], ID_Jezik + 6, 1)</f>
        <v xml:space="preserve">    3. Osnovno stado i ostala biološka sredstva</v>
      </c>
      <c r="G21" s="288" t="s">
        <v>1062</v>
      </c>
      <c r="H21" s="281" t="s">
        <v>1033</v>
      </c>
      <c r="I21" s="288" t="s">
        <v>2679</v>
      </c>
      <c r="J21" s="370" t="s">
        <v>1984</v>
      </c>
      <c r="K21" s="369" t="s">
        <v>821</v>
      </c>
      <c r="L21" s="268" t="s">
        <v>791</v>
      </c>
      <c r="M21" s="289" t="s">
        <v>978</v>
      </c>
      <c r="N21" s="256" t="s">
        <v>2263</v>
      </c>
      <c r="O21" s="10"/>
      <c r="P21" s="10"/>
    </row>
    <row r="22" spans="1:16" x14ac:dyDescent="0.3">
      <c r="A22">
        <f t="shared" si="0"/>
        <v>21</v>
      </c>
      <c r="B22" t="s">
        <v>771</v>
      </c>
      <c r="C22">
        <v>2</v>
      </c>
      <c r="D22" s="227">
        <v>21</v>
      </c>
      <c r="E22" s="2" t="str">
        <f>VLOOKUP( T_Aop[[#This Row],[Id]], T_Aop[], ID_Jezik +10, 1)</f>
        <v>055, 056 i dio 059</v>
      </c>
      <c r="F22" t="str">
        <f>REPT( "  ", T_Aop[[#This Row],[Aop nivo]]) &amp; VLOOKUP( T_Aop[[#This Row],[Id]], T_Aop[], ID_Jezik + 6, 1)</f>
        <v xml:space="preserve">    4. Avansi i biološka sredstva u pripremi </v>
      </c>
      <c r="G22" s="288" t="s">
        <v>1063</v>
      </c>
      <c r="H22" s="280" t="s">
        <v>1034</v>
      </c>
      <c r="I22" s="288" t="s">
        <v>2680</v>
      </c>
      <c r="J22" s="370" t="s">
        <v>1985</v>
      </c>
      <c r="K22" s="369" t="s">
        <v>822</v>
      </c>
      <c r="L22" s="268" t="s">
        <v>792</v>
      </c>
      <c r="M22" s="289" t="s">
        <v>979</v>
      </c>
      <c r="N22" s="256" t="s">
        <v>2264</v>
      </c>
      <c r="O22" s="10"/>
      <c r="P22" s="10"/>
    </row>
    <row r="23" spans="1:16" ht="12.75" customHeight="1" x14ac:dyDescent="0.3">
      <c r="A23">
        <f t="shared" si="0"/>
        <v>22</v>
      </c>
      <c r="B23" t="s">
        <v>771</v>
      </c>
      <c r="C23">
        <v>1</v>
      </c>
      <c r="D23" s="227">
        <v>22</v>
      </c>
      <c r="E23" s="2" t="str">
        <f>VLOOKUP( T_Aop[[#This Row],[Id]], T_Aop[], ID_Jezik +10, 1)</f>
        <v>06</v>
      </c>
      <c r="F23" t="str">
        <f>REPT( "  ", T_Aop[[#This Row],[Aop nivo]]) &amp; VLOOKUP( T_Aop[[#This Row],[Id]], T_Aop[], ID_Jezik + 6, 1)</f>
        <v xml:space="preserve">  VI  DUGOROČNI FINANSIJSKI PLASMANI (023+024+025+030+033)</v>
      </c>
      <c r="G23" s="281" t="s">
        <v>1064</v>
      </c>
      <c r="H23" s="281" t="s">
        <v>1006</v>
      </c>
      <c r="I23" s="288" t="s">
        <v>2781</v>
      </c>
      <c r="J23" s="370" t="s">
        <v>1986</v>
      </c>
      <c r="K23" s="534" t="s">
        <v>2265</v>
      </c>
      <c r="L23" s="535" t="s">
        <v>2265</v>
      </c>
      <c r="M23" s="536" t="s">
        <v>2265</v>
      </c>
      <c r="N23" s="266" t="s">
        <v>2265</v>
      </c>
      <c r="O23" s="10">
        <v>1</v>
      </c>
      <c r="P23" s="10"/>
    </row>
    <row r="24" spans="1:16" x14ac:dyDescent="0.3">
      <c r="A24">
        <f t="shared" si="0"/>
        <v>23</v>
      </c>
      <c r="B24" t="s">
        <v>771</v>
      </c>
      <c r="C24">
        <v>2</v>
      </c>
      <c r="D24" s="227">
        <v>23</v>
      </c>
      <c r="E24" s="2" t="str">
        <f>VLOOKUP( T_Aop[[#This Row],[Id]], T_Aop[], ID_Jezik +10, 1)</f>
        <v>060, dio 069</v>
      </c>
      <c r="F24" t="str">
        <f>REPT( "  ", T_Aop[[#This Row],[Aop nivo]]) &amp; VLOOKUP( T_Aop[[#This Row],[Id]], T_Aop[], ID_Jezik + 6, 1)</f>
        <v xml:space="preserve">    1. Učešće u kapitalu zavisnih subjekata</v>
      </c>
      <c r="G24" s="288" t="s">
        <v>1065</v>
      </c>
      <c r="H24" s="280" t="s">
        <v>1035</v>
      </c>
      <c r="I24" s="288" t="s">
        <v>2665</v>
      </c>
      <c r="J24" s="370" t="s">
        <v>1987</v>
      </c>
      <c r="K24" s="369" t="s">
        <v>823</v>
      </c>
      <c r="L24" s="268" t="s">
        <v>793</v>
      </c>
      <c r="M24" s="289" t="s">
        <v>980</v>
      </c>
      <c r="N24" s="256" t="s">
        <v>2266</v>
      </c>
      <c r="O24" s="10"/>
      <c r="P24" s="10"/>
    </row>
    <row r="25" spans="1:16" ht="12.75" customHeight="1" x14ac:dyDescent="0.3">
      <c r="A25">
        <f t="shared" si="0"/>
        <v>24</v>
      </c>
      <c r="B25" t="s">
        <v>771</v>
      </c>
      <c r="C25">
        <v>2</v>
      </c>
      <c r="D25" s="227">
        <v>24</v>
      </c>
      <c r="E25" s="2" t="str">
        <f>VLOOKUP( T_Aop[[#This Row],[Id]], T_Aop[], ID_Jezik +10, 1)</f>
        <v>061, dio 069</v>
      </c>
      <c r="F25" t="str">
        <f>REPT( "  ", T_Aop[[#This Row],[Aop nivo]]) &amp; VLOOKUP( T_Aop[[#This Row],[Id]], T_Aop[], ID_Jezik + 6, 1)</f>
        <v xml:space="preserve">    2. Učešće u kapitalu pridruženih subjekata i zajedničkih poduhvata</v>
      </c>
      <c r="G25" s="288" t="s">
        <v>1066</v>
      </c>
      <c r="H25" s="281" t="s">
        <v>1036</v>
      </c>
      <c r="I25" s="288" t="s">
        <v>2666</v>
      </c>
      <c r="J25" s="370" t="s">
        <v>1988</v>
      </c>
      <c r="K25" s="369" t="s">
        <v>2459</v>
      </c>
      <c r="L25" s="268" t="s">
        <v>794</v>
      </c>
      <c r="M25" s="289" t="s">
        <v>2460</v>
      </c>
      <c r="N25" s="256" t="s">
        <v>2267</v>
      </c>
      <c r="O25" s="10"/>
      <c r="P25" s="10"/>
    </row>
    <row r="26" spans="1:16" ht="15.25" customHeight="1" x14ac:dyDescent="0.3">
      <c r="A26">
        <f t="shared" si="0"/>
        <v>25</v>
      </c>
      <c r="B26" t="s">
        <v>771</v>
      </c>
      <c r="C26">
        <v>2</v>
      </c>
      <c r="D26" s="227">
        <v>25</v>
      </c>
      <c r="E26" s="2" t="str">
        <f>VLOOKUP( T_Aop[[#This Row],[Id]], T_Aop[], ID_Jezik +10, 1)</f>
        <v>dio 06</v>
      </c>
      <c r="F26" t="str">
        <f>REPT( "  ", T_Aop[[#This Row],[Aop nivo]]) &amp; VLOOKUP( T_Aop[[#This Row],[Id]], T_Aop[], ID_Jezik + 6, 1)</f>
        <v xml:space="preserve">    3. Finansijska sredstva po amortizovanoj vrijednosti (026 do 029)</v>
      </c>
      <c r="G26" s="288" t="s">
        <v>1067</v>
      </c>
      <c r="H26" s="286" t="s">
        <v>1043</v>
      </c>
      <c r="I26" s="288" t="s">
        <v>2667</v>
      </c>
      <c r="J26" s="370" t="s">
        <v>1989</v>
      </c>
      <c r="K26" s="369" t="s">
        <v>824</v>
      </c>
      <c r="L26" s="268" t="s">
        <v>795</v>
      </c>
      <c r="M26" s="289" t="s">
        <v>981</v>
      </c>
      <c r="N26" s="256" t="s">
        <v>2268</v>
      </c>
      <c r="O26" s="10">
        <v>1</v>
      </c>
      <c r="P26" s="10"/>
    </row>
    <row r="27" spans="1:16" x14ac:dyDescent="0.3">
      <c r="A27">
        <f t="shared" si="0"/>
        <v>26</v>
      </c>
      <c r="B27" t="s">
        <v>771</v>
      </c>
      <c r="C27">
        <v>3</v>
      </c>
      <c r="D27" s="227">
        <v>26</v>
      </c>
      <c r="E27" s="2" t="str">
        <f>VLOOKUP( T_Aop[[#This Row],[Id]], T_Aop[], ID_Jezik +10, 1)</f>
        <v>062, dio 069</v>
      </c>
      <c r="F27" t="str">
        <f>REPT( "  ", T_Aop[[#This Row],[Aop nivo]]) &amp; VLOOKUP( T_Aop[[#This Row],[Id]], T_Aop[], ID_Jezik + 6, 1)</f>
        <v xml:space="preserve">      3.1. Dugoročni krediti povezanim pravnim licima</v>
      </c>
      <c r="G27" s="288" t="s">
        <v>1068</v>
      </c>
      <c r="H27" s="281" t="s">
        <v>1037</v>
      </c>
      <c r="I27" s="288" t="s">
        <v>2668</v>
      </c>
      <c r="J27" s="370" t="s">
        <v>1990</v>
      </c>
      <c r="K27" s="369" t="s">
        <v>825</v>
      </c>
      <c r="L27" s="268" t="s">
        <v>796</v>
      </c>
      <c r="M27" s="289" t="s">
        <v>982</v>
      </c>
      <c r="N27" s="256" t="s">
        <v>2269</v>
      </c>
      <c r="O27" s="10"/>
      <c r="P27" s="10"/>
    </row>
    <row r="28" spans="1:16" x14ac:dyDescent="0.3">
      <c r="A28">
        <f t="shared" si="0"/>
        <v>27</v>
      </c>
      <c r="B28" t="s">
        <v>771</v>
      </c>
      <c r="C28">
        <v>3</v>
      </c>
      <c r="D28" s="227">
        <v>27</v>
      </c>
      <c r="E28" s="2" t="str">
        <f>VLOOKUP( T_Aop[[#This Row],[Id]], T_Aop[], ID_Jezik +10, 1)</f>
        <v>063, dio 069</v>
      </c>
      <c r="F28" t="str">
        <f>REPT( "  ", T_Aop[[#This Row],[Aop nivo]]) &amp; VLOOKUP( T_Aop[[#This Row],[Id]], T_Aop[], ID_Jezik + 6, 1)</f>
        <v xml:space="preserve">      3.2. Dugoročni krediti u zemlji</v>
      </c>
      <c r="G28" s="288" t="s">
        <v>1069</v>
      </c>
      <c r="H28" s="280" t="s">
        <v>1040</v>
      </c>
      <c r="I28" s="288" t="s">
        <v>2669</v>
      </c>
      <c r="J28" s="370" t="s">
        <v>1991</v>
      </c>
      <c r="K28" s="369" t="s">
        <v>826</v>
      </c>
      <c r="L28" s="268" t="s">
        <v>797</v>
      </c>
      <c r="M28" s="289" t="s">
        <v>983</v>
      </c>
      <c r="N28" s="256" t="s">
        <v>2270</v>
      </c>
      <c r="O28" s="10"/>
      <c r="P28" s="10"/>
    </row>
    <row r="29" spans="1:16" x14ac:dyDescent="0.3">
      <c r="A29">
        <f t="shared" si="0"/>
        <v>28</v>
      </c>
      <c r="B29" t="s">
        <v>771</v>
      </c>
      <c r="C29">
        <v>3</v>
      </c>
      <c r="D29" s="227">
        <v>28</v>
      </c>
      <c r="E29" s="2" t="str">
        <f>VLOOKUP( T_Aop[[#This Row],[Id]], T_Aop[], ID_Jezik +10, 1)</f>
        <v>064, dio 069</v>
      </c>
      <c r="F29" t="str">
        <f>REPT( "  ", T_Aop[[#This Row],[Aop nivo]]) &amp; VLOOKUP( T_Aop[[#This Row],[Id]], T_Aop[], ID_Jezik + 6, 1)</f>
        <v xml:space="preserve">      3.3. Dugoročni krediti u inostranstvu</v>
      </c>
      <c r="G29" s="288" t="s">
        <v>1070</v>
      </c>
      <c r="H29" s="281" t="s">
        <v>1038</v>
      </c>
      <c r="I29" s="288" t="s">
        <v>2670</v>
      </c>
      <c r="J29" s="370" t="s">
        <v>1992</v>
      </c>
      <c r="K29" s="369" t="s">
        <v>827</v>
      </c>
      <c r="L29" s="268" t="s">
        <v>798</v>
      </c>
      <c r="M29" s="289" t="s">
        <v>984</v>
      </c>
      <c r="N29" s="256" t="s">
        <v>2271</v>
      </c>
      <c r="O29" s="10"/>
      <c r="P29" s="10"/>
    </row>
    <row r="30" spans="1:16" ht="12.75" customHeight="1" x14ac:dyDescent="0.3">
      <c r="A30">
        <f t="shared" si="0"/>
        <v>29</v>
      </c>
      <c r="B30" t="s">
        <v>771</v>
      </c>
      <c r="C30">
        <v>3</v>
      </c>
      <c r="D30" s="227">
        <v>29</v>
      </c>
      <c r="E30" s="2" t="str">
        <f>VLOOKUP( T_Aop[[#This Row],[Id]], T_Aop[], ID_Jezik +10, 1)</f>
        <v>065, dio 069</v>
      </c>
      <c r="F30" t="str">
        <f>REPT( "  ", T_Aop[[#This Row],[Aop nivo]]) &amp; VLOOKUP( T_Aop[[#This Row],[Id]], T_Aop[], ID_Jezik + 6, 1)</f>
        <v xml:space="preserve">      3.4. Ostala finansijska sredstva po amortizovanoj vrijednosti</v>
      </c>
      <c r="G30" s="288" t="s">
        <v>1071</v>
      </c>
      <c r="H30" s="280" t="s">
        <v>1039</v>
      </c>
      <c r="I30" s="288" t="s">
        <v>2671</v>
      </c>
      <c r="J30" s="370" t="s">
        <v>1993</v>
      </c>
      <c r="K30" s="369" t="s">
        <v>828</v>
      </c>
      <c r="L30" s="268" t="s">
        <v>799</v>
      </c>
      <c r="M30" s="289" t="s">
        <v>985</v>
      </c>
      <c r="N30" s="256" t="s">
        <v>2272</v>
      </c>
      <c r="O30" s="10"/>
      <c r="P30" s="10"/>
    </row>
    <row r="31" spans="1:16" ht="15.25" customHeight="1" x14ac:dyDescent="0.3">
      <c r="A31">
        <f t="shared" si="0"/>
        <v>30</v>
      </c>
      <c r="B31" t="s">
        <v>771</v>
      </c>
      <c r="C31">
        <v>2</v>
      </c>
      <c r="D31" s="227">
        <v>30</v>
      </c>
      <c r="E31" s="2" t="str">
        <f>VLOOKUP( T_Aop[[#This Row],[Id]], T_Aop[], ID_Jezik +10, 1)</f>
        <v>dio 06</v>
      </c>
      <c r="F31" t="str">
        <f>REPT( "  ", T_Aop[[#This Row],[Aop nivo]]) &amp; VLOOKUP( T_Aop[[#This Row],[Id]], T_Aop[], ID_Jezik + 6, 1)</f>
        <v xml:space="preserve">    4. Finansijska sredstva po fer vrijednosti kroz ostali ukupan rezultat (031+032)</v>
      </c>
      <c r="G31" s="281" t="s">
        <v>1072</v>
      </c>
      <c r="H31" s="281" t="s">
        <v>1042</v>
      </c>
      <c r="I31" s="288" t="s">
        <v>1715</v>
      </c>
      <c r="J31" s="370" t="s">
        <v>1994</v>
      </c>
      <c r="K31" s="369" t="s">
        <v>824</v>
      </c>
      <c r="L31" s="268" t="s">
        <v>795</v>
      </c>
      <c r="M31" s="289" t="s">
        <v>981</v>
      </c>
      <c r="N31" s="256" t="s">
        <v>2268</v>
      </c>
      <c r="O31" s="10">
        <v>1</v>
      </c>
      <c r="P31" s="10"/>
    </row>
    <row r="32" spans="1:16" x14ac:dyDescent="0.3">
      <c r="A32">
        <f t="shared" si="0"/>
        <v>31</v>
      </c>
      <c r="B32" t="s">
        <v>771</v>
      </c>
      <c r="C32">
        <v>3</v>
      </c>
      <c r="D32" s="227">
        <v>31</v>
      </c>
      <c r="E32" s="2" t="str">
        <f>VLOOKUP( T_Aop[[#This Row],[Id]], T_Aop[], ID_Jezik +10, 1)</f>
        <v>066, dio 069</v>
      </c>
      <c r="F32" t="str">
        <f>REPT( "  ", T_Aop[[#This Row],[Aop nivo]]) &amp; VLOOKUP( T_Aop[[#This Row],[Id]], T_Aop[], ID_Jezik + 6, 1)</f>
        <v xml:space="preserve">      4.1. Vlasnički instrumenti</v>
      </c>
      <c r="G32" s="288" t="s">
        <v>840</v>
      </c>
      <c r="H32" s="280" t="s">
        <v>1041</v>
      </c>
      <c r="I32" s="288" t="s">
        <v>2672</v>
      </c>
      <c r="J32" s="370" t="s">
        <v>1995</v>
      </c>
      <c r="K32" s="369" t="s">
        <v>829</v>
      </c>
      <c r="L32" s="268" t="s">
        <v>800</v>
      </c>
      <c r="M32" s="289" t="s">
        <v>986</v>
      </c>
      <c r="N32" s="256" t="s">
        <v>2273</v>
      </c>
      <c r="O32" s="10"/>
      <c r="P32" s="10"/>
    </row>
    <row r="33" spans="1:16" x14ac:dyDescent="0.3">
      <c r="A33">
        <f t="shared" si="0"/>
        <v>32</v>
      </c>
      <c r="B33" t="s">
        <v>771</v>
      </c>
      <c r="C33">
        <v>3</v>
      </c>
      <c r="D33" s="227">
        <v>32</v>
      </c>
      <c r="E33" s="2" t="str">
        <f>VLOOKUP( T_Aop[[#This Row],[Id]], T_Aop[], ID_Jezik +10, 1)</f>
        <v>067, dio 069</v>
      </c>
      <c r="F33" t="str">
        <f>REPT( "  ", T_Aop[[#This Row],[Aop nivo]]) &amp; VLOOKUP( T_Aop[[#This Row],[Id]], T_Aop[], ID_Jezik + 6, 1)</f>
        <v xml:space="preserve">      4.2. Dužnički instrumenti</v>
      </c>
      <c r="G33" s="288" t="s">
        <v>841</v>
      </c>
      <c r="H33" s="281" t="s">
        <v>1044</v>
      </c>
      <c r="I33" s="288" t="s">
        <v>2673</v>
      </c>
      <c r="J33" s="370" t="s">
        <v>1996</v>
      </c>
      <c r="K33" s="369" t="s">
        <v>2726</v>
      </c>
      <c r="L33" s="268" t="s">
        <v>801</v>
      </c>
      <c r="M33" s="289" t="s">
        <v>2727</v>
      </c>
      <c r="N33" s="256" t="s">
        <v>2274</v>
      </c>
      <c r="O33" s="10"/>
      <c r="P33" s="10"/>
    </row>
    <row r="34" spans="1:16" x14ac:dyDescent="0.3">
      <c r="A34">
        <f t="shared" si="0"/>
        <v>33</v>
      </c>
      <c r="B34" t="s">
        <v>771</v>
      </c>
      <c r="C34">
        <v>2</v>
      </c>
      <c r="D34" s="227">
        <v>33</v>
      </c>
      <c r="E34" s="2" t="str">
        <f>VLOOKUP( T_Aop[[#This Row],[Id]], T_Aop[], ID_Jezik +10, 1)</f>
        <v>068, dio 069</v>
      </c>
      <c r="F34" t="str">
        <f>REPT( "  ", T_Aop[[#This Row],[Aop nivo]]) &amp; VLOOKUP( T_Aop[[#This Row],[Id]], T_Aop[], ID_Jezik + 6, 1)</f>
        <v xml:space="preserve">    5. Potraživanja po finansijskom lizingu</v>
      </c>
      <c r="G34" s="288" t="s">
        <v>842</v>
      </c>
      <c r="H34" s="280" t="s">
        <v>1045</v>
      </c>
      <c r="I34" s="288" t="s">
        <v>2674</v>
      </c>
      <c r="J34" s="370" t="s">
        <v>1997</v>
      </c>
      <c r="K34" s="369" t="s">
        <v>830</v>
      </c>
      <c r="L34" s="268" t="s">
        <v>802</v>
      </c>
      <c r="M34" s="289" t="s">
        <v>987</v>
      </c>
      <c r="N34" s="256" t="s">
        <v>2275</v>
      </c>
      <c r="O34" s="10"/>
      <c r="P34" s="10"/>
    </row>
    <row r="35" spans="1:16" x14ac:dyDescent="0.3">
      <c r="A35">
        <f t="shared" si="0"/>
        <v>34</v>
      </c>
      <c r="B35" t="s">
        <v>771</v>
      </c>
      <c r="C35">
        <v>1</v>
      </c>
      <c r="D35" s="227">
        <v>34</v>
      </c>
      <c r="E35" s="2" t="str">
        <f>VLOOKUP( T_Aop[[#This Row],[Id]], T_Aop[], ID_Jezik +10, 1)</f>
        <v>07 i 08</v>
      </c>
      <c r="F35" t="str">
        <f>REPT( "  ", T_Aop[[#This Row],[Aop nivo]]) &amp; VLOOKUP( T_Aop[[#This Row],[Id]], T_Aop[], ID_Jezik + 6, 1)</f>
        <v xml:space="preserve">  VII OSTALA DUGOROČNA SREDSTVA I RAZGRANIČENJA</v>
      </c>
      <c r="G35" s="281" t="s">
        <v>2871</v>
      </c>
      <c r="H35" s="281" t="s">
        <v>782</v>
      </c>
      <c r="I35" s="288" t="s">
        <v>999</v>
      </c>
      <c r="J35" s="370" t="s">
        <v>1998</v>
      </c>
      <c r="K35" s="369" t="s">
        <v>831</v>
      </c>
      <c r="L35" s="268" t="s">
        <v>803</v>
      </c>
      <c r="M35" s="289" t="s">
        <v>988</v>
      </c>
      <c r="N35" s="256" t="s">
        <v>803</v>
      </c>
      <c r="O35" s="10"/>
      <c r="P35" s="10"/>
    </row>
    <row r="36" spans="1:16" x14ac:dyDescent="0.3">
      <c r="A36">
        <f t="shared" si="0"/>
        <v>35</v>
      </c>
      <c r="B36" t="s">
        <v>771</v>
      </c>
      <c r="C36">
        <v>1</v>
      </c>
      <c r="D36" s="227">
        <v>35</v>
      </c>
      <c r="E36" s="2" t="str">
        <f>VLOOKUP( T_Aop[[#This Row],[Id]], T_Aop[], ID_Jezik +10, 1)</f>
        <v>090</v>
      </c>
      <c r="F36" t="str">
        <f>REPT( "  ", T_Aop[[#This Row],[Aop nivo]]) &amp; VLOOKUP( T_Aop[[#This Row],[Id]], T_Aop[], ID_Jezik + 6, 1)</f>
        <v xml:space="preserve">  B. ODLOŽENA PORESKA SREDSTVA</v>
      </c>
      <c r="G36" s="281" t="s">
        <v>1073</v>
      </c>
      <c r="H36" s="280" t="s">
        <v>783</v>
      </c>
      <c r="I36" s="288" t="s">
        <v>2784</v>
      </c>
      <c r="J36" s="370" t="s">
        <v>1999</v>
      </c>
      <c r="K36" s="533" t="s">
        <v>2276</v>
      </c>
      <c r="L36" s="566" t="s">
        <v>2276</v>
      </c>
      <c r="M36" s="536" t="s">
        <v>2276</v>
      </c>
      <c r="N36" s="266" t="s">
        <v>2276</v>
      </c>
      <c r="O36" s="10"/>
      <c r="P36" s="10"/>
    </row>
    <row r="37" spans="1:16" x14ac:dyDescent="0.3">
      <c r="A37">
        <f t="shared" si="0"/>
        <v>36</v>
      </c>
      <c r="B37" t="s">
        <v>771</v>
      </c>
      <c r="C37">
        <v>1</v>
      </c>
      <c r="D37" s="227">
        <v>36</v>
      </c>
      <c r="E37" s="2" t="str">
        <f>VLOOKUP( T_Aop[[#This Row],[Id]], T_Aop[], ID_Jezik +10, 1)</f>
        <v xml:space="preserve"> </v>
      </c>
      <c r="F37" t="str">
        <f>REPT( "  ", T_Aop[[#This Row],[Aop nivo]]) &amp; VLOOKUP( T_Aop[[#This Row],[Id]], T_Aop[], ID_Jezik + 6, 1)</f>
        <v xml:space="preserve">  V. TEKUĆA SREDSTVA (037+044)</v>
      </c>
      <c r="G37" s="281" t="s">
        <v>1074</v>
      </c>
      <c r="H37" s="281" t="s">
        <v>784</v>
      </c>
      <c r="I37" s="288" t="s">
        <v>2785</v>
      </c>
      <c r="J37" s="370" t="s">
        <v>2000</v>
      </c>
      <c r="K37" s="369" t="s">
        <v>786</v>
      </c>
      <c r="L37" s="269" t="s">
        <v>786</v>
      </c>
      <c r="M37" s="289" t="s">
        <v>786</v>
      </c>
      <c r="N37" s="256"/>
      <c r="O37" s="10">
        <v>1</v>
      </c>
      <c r="P37" s="10"/>
    </row>
    <row r="38" spans="1:16" ht="15.25" customHeight="1" x14ac:dyDescent="0.3">
      <c r="A38">
        <f t="shared" si="0"/>
        <v>37</v>
      </c>
      <c r="B38" t="s">
        <v>771</v>
      </c>
      <c r="C38">
        <v>1</v>
      </c>
      <c r="D38" s="227">
        <v>37</v>
      </c>
      <c r="E38" s="2" t="str">
        <f>VLOOKUP( T_Aop[[#This Row],[Id]], T_Aop[], ID_Jezik +10, 1)</f>
        <v>10 do 15</v>
      </c>
      <c r="F38" t="str">
        <f>REPT( "  ", T_Aop[[#This Row],[Aop nivo]]) &amp; VLOOKUP( T_Aop[[#This Row],[Id]], T_Aop[], ID_Jezik + 6, 1)</f>
        <v xml:space="preserve">  I   ZALIHE, STALNA SREDSTVA NAMIJENJENA PRODAJI I SREDSTVA POSLOVANJA KOJE SE OBUSTAVLJA (038 do 043)</v>
      </c>
      <c r="G38" s="281" t="s">
        <v>2761</v>
      </c>
      <c r="H38" s="280" t="s">
        <v>1011</v>
      </c>
      <c r="I38" s="288" t="s">
        <v>2786</v>
      </c>
      <c r="J38" s="370" t="s">
        <v>2001</v>
      </c>
      <c r="K38" s="369" t="s">
        <v>71</v>
      </c>
      <c r="L38" s="268" t="s">
        <v>621</v>
      </c>
      <c r="M38" s="289" t="s">
        <v>45</v>
      </c>
      <c r="N38" s="256" t="s">
        <v>621</v>
      </c>
      <c r="O38" s="10">
        <v>1</v>
      </c>
      <c r="P38" s="10"/>
    </row>
    <row r="39" spans="1:16" x14ac:dyDescent="0.3">
      <c r="A39">
        <f t="shared" si="0"/>
        <v>38</v>
      </c>
      <c r="B39" t="s">
        <v>771</v>
      </c>
      <c r="C39">
        <v>2</v>
      </c>
      <c r="D39" s="227">
        <v>38</v>
      </c>
      <c r="E39" s="2" t="str">
        <f>VLOOKUP( T_Aop[[#This Row],[Id]], T_Aop[], ID_Jezik +10, 1)</f>
        <v>100 do 109</v>
      </c>
      <c r="F39" t="str">
        <f>REPT( "  ", T_Aop[[#This Row],[Aop nivo]]) &amp; VLOOKUP( T_Aop[[#This Row],[Id]], T_Aop[], ID_Jezik + 6, 1)</f>
        <v xml:space="preserve">    1. Zalihe materijala</v>
      </c>
      <c r="G39" s="288" t="s">
        <v>81</v>
      </c>
      <c r="H39" s="281" t="s">
        <v>1015</v>
      </c>
      <c r="I39" s="288" t="s">
        <v>1716</v>
      </c>
      <c r="J39" s="370" t="s">
        <v>2002</v>
      </c>
      <c r="K39" s="369" t="s">
        <v>80</v>
      </c>
      <c r="L39" s="268" t="s">
        <v>622</v>
      </c>
      <c r="M39" s="289" t="s">
        <v>46</v>
      </c>
      <c r="N39" s="256" t="s">
        <v>622</v>
      </c>
      <c r="O39" s="10"/>
      <c r="P39" s="10"/>
    </row>
    <row r="40" spans="1:16" ht="12.75" customHeight="1" x14ac:dyDescent="0.3">
      <c r="A40">
        <f t="shared" si="0"/>
        <v>39</v>
      </c>
      <c r="B40" t="s">
        <v>771</v>
      </c>
      <c r="C40">
        <v>2</v>
      </c>
      <c r="D40" s="227">
        <v>39</v>
      </c>
      <c r="E40" s="2" t="str">
        <f>VLOOKUP( T_Aop[[#This Row],[Id]], T_Aop[], ID_Jezik +10, 1)</f>
        <v>110 do 119</v>
      </c>
      <c r="F40" t="str">
        <f>REPT( "  ", T_Aop[[#This Row],[Aop nivo]]) &amp; VLOOKUP( T_Aop[[#This Row],[Id]], T_Aop[], ID_Jezik + 6, 1)</f>
        <v xml:space="preserve">    2. Zalihe nedovršene proizvodnje, poluproizvoda i nedovršenih usluga</v>
      </c>
      <c r="G40" s="288" t="s">
        <v>82</v>
      </c>
      <c r="H40" s="280" t="s">
        <v>1016</v>
      </c>
      <c r="I40" s="288" t="s">
        <v>1717</v>
      </c>
      <c r="J40" s="370" t="s">
        <v>2003</v>
      </c>
      <c r="K40" s="369" t="s">
        <v>623</v>
      </c>
      <c r="L40" s="268" t="s">
        <v>624</v>
      </c>
      <c r="M40" s="289" t="s">
        <v>625</v>
      </c>
      <c r="N40" s="256" t="s">
        <v>624</v>
      </c>
      <c r="O40" s="10"/>
      <c r="P40" s="10"/>
    </row>
    <row r="41" spans="1:16" x14ac:dyDescent="0.3">
      <c r="A41">
        <f t="shared" si="0"/>
        <v>40</v>
      </c>
      <c r="B41" t="s">
        <v>771</v>
      </c>
      <c r="C41">
        <v>2</v>
      </c>
      <c r="D41" s="227">
        <v>40</v>
      </c>
      <c r="E41" s="2" t="str">
        <f>VLOOKUP( T_Aop[[#This Row],[Id]], T_Aop[], ID_Jezik +10, 1)</f>
        <v>120 do 129</v>
      </c>
      <c r="F41" t="str">
        <f>REPT( "  ", T_Aop[[#This Row],[Aop nivo]]) &amp; VLOOKUP( T_Aop[[#This Row],[Id]], T_Aop[], ID_Jezik + 6, 1)</f>
        <v xml:space="preserve">    3. Zalihe gotovih proizvoda</v>
      </c>
      <c r="G41" s="288" t="s">
        <v>83</v>
      </c>
      <c r="H41" s="281" t="s">
        <v>1017</v>
      </c>
      <c r="I41" s="288" t="s">
        <v>1718</v>
      </c>
      <c r="J41" s="370" t="s">
        <v>2004</v>
      </c>
      <c r="K41" s="369" t="s">
        <v>626</v>
      </c>
      <c r="L41" s="268" t="s">
        <v>627</v>
      </c>
      <c r="M41" s="289" t="s">
        <v>628</v>
      </c>
      <c r="N41" s="256" t="s">
        <v>627</v>
      </c>
      <c r="O41" s="10"/>
      <c r="P41" s="10"/>
    </row>
    <row r="42" spans="1:16" x14ac:dyDescent="0.3">
      <c r="A42">
        <f t="shared" si="0"/>
        <v>41</v>
      </c>
      <c r="B42" t="s">
        <v>771</v>
      </c>
      <c r="C42">
        <v>2</v>
      </c>
      <c r="D42" s="227">
        <v>41</v>
      </c>
      <c r="E42" s="2" t="str">
        <f>VLOOKUP( T_Aop[[#This Row],[Id]], T_Aop[], ID_Jezik +10, 1)</f>
        <v>130 do 139</v>
      </c>
      <c r="F42" t="str">
        <f>REPT( "  ", T_Aop[[#This Row],[Aop nivo]]) &amp; VLOOKUP( T_Aop[[#This Row],[Id]], T_Aop[], ID_Jezik + 6, 1)</f>
        <v xml:space="preserve">    4. Zalihe robe</v>
      </c>
      <c r="G42" s="288" t="s">
        <v>85</v>
      </c>
      <c r="H42" s="280" t="s">
        <v>1018</v>
      </c>
      <c r="I42" s="288" t="s">
        <v>1719</v>
      </c>
      <c r="J42" s="370" t="s">
        <v>2005</v>
      </c>
      <c r="K42" s="369" t="s">
        <v>84</v>
      </c>
      <c r="L42" s="268" t="s">
        <v>629</v>
      </c>
      <c r="M42" s="289" t="s">
        <v>47</v>
      </c>
      <c r="N42" s="256" t="s">
        <v>629</v>
      </c>
      <c r="O42" s="10"/>
      <c r="P42" s="10"/>
    </row>
    <row r="43" spans="1:16" ht="12.75" customHeight="1" x14ac:dyDescent="0.3">
      <c r="A43">
        <f t="shared" si="0"/>
        <v>42</v>
      </c>
      <c r="B43" t="s">
        <v>771</v>
      </c>
      <c r="C43">
        <v>2</v>
      </c>
      <c r="D43" s="227">
        <v>42</v>
      </c>
      <c r="E43" s="2" t="str">
        <f>VLOOKUP( T_Aop[[#This Row],[Id]], T_Aop[], ID_Jezik +10, 1)</f>
        <v>140 do 149</v>
      </c>
      <c r="F43" t="str">
        <f>REPT( "  ", T_Aop[[#This Row],[Aop nivo]]) &amp; VLOOKUP( T_Aop[[#This Row],[Id]], T_Aop[], ID_Jezik + 6, 1)</f>
        <v xml:space="preserve">    5. Stalna sredstva namijenjena prodaji i sredstva poslovanja koje se obustavlja</v>
      </c>
      <c r="G43" s="288" t="s">
        <v>1075</v>
      </c>
      <c r="H43" s="281" t="s">
        <v>1019</v>
      </c>
      <c r="I43" s="288" t="s">
        <v>1720</v>
      </c>
      <c r="J43" s="370" t="s">
        <v>2006</v>
      </c>
      <c r="K43" s="369" t="s">
        <v>86</v>
      </c>
      <c r="L43" s="268" t="s">
        <v>630</v>
      </c>
      <c r="M43" s="289" t="s">
        <v>48</v>
      </c>
      <c r="N43" s="256" t="s">
        <v>630</v>
      </c>
      <c r="O43" s="10"/>
      <c r="P43" s="10"/>
    </row>
    <row r="44" spans="1:16" x14ac:dyDescent="0.3">
      <c r="A44">
        <f t="shared" si="0"/>
        <v>43</v>
      </c>
      <c r="B44" t="s">
        <v>771</v>
      </c>
      <c r="C44">
        <v>2</v>
      </c>
      <c r="D44" s="227">
        <v>43</v>
      </c>
      <c r="E44" s="2" t="str">
        <f>VLOOKUP( T_Aop[[#This Row],[Id]], T_Aop[], ID_Jezik +10, 1)</f>
        <v>150 do 159</v>
      </c>
      <c r="F44" t="str">
        <f>REPT( "  ", T_Aop[[#This Row],[Aop nivo]]) &amp; VLOOKUP( T_Aop[[#This Row],[Id]], T_Aop[], ID_Jezik + 6, 1)</f>
        <v xml:space="preserve">    6. Dati avansi</v>
      </c>
      <c r="G44" s="288" t="s">
        <v>72</v>
      </c>
      <c r="H44" s="280" t="s">
        <v>1020</v>
      </c>
      <c r="I44" s="288" t="s">
        <v>1721</v>
      </c>
      <c r="J44" s="370" t="s">
        <v>2007</v>
      </c>
      <c r="K44" s="369" t="s">
        <v>87</v>
      </c>
      <c r="L44" s="268" t="s">
        <v>631</v>
      </c>
      <c r="M44" s="289" t="s">
        <v>49</v>
      </c>
      <c r="N44" s="256" t="s">
        <v>631</v>
      </c>
      <c r="O44" s="10"/>
      <c r="P44" s="10"/>
    </row>
    <row r="45" spans="1:16" ht="15.25" customHeight="1" x14ac:dyDescent="0.3">
      <c r="A45">
        <f t="shared" si="0"/>
        <v>44</v>
      </c>
      <c r="B45" t="s">
        <v>771</v>
      </c>
      <c r="C45">
        <v>1</v>
      </c>
      <c r="D45" s="227">
        <v>44</v>
      </c>
      <c r="E45" s="2" t="str">
        <f>VLOOKUP( T_Aop[[#This Row],[Id]], T_Aop[], ID_Jezik +10, 1)</f>
        <v xml:space="preserve"> </v>
      </c>
      <c r="F45" t="str">
        <f>REPT( "  ", T_Aop[[#This Row],[Aop nivo]]) &amp; VLOOKUP( T_Aop[[#This Row],[Id]], T_Aop[], ID_Jezik + 6, 1)</f>
        <v xml:space="preserve">  II  KRATKOROČNA SREDSTVA IZUZEV ZALIHA I STALNIH SREDSTAVA NAMIJENJENIH PRODAJI (045+052+061+064+065)</v>
      </c>
      <c r="G45" s="288" t="s">
        <v>2711</v>
      </c>
      <c r="H45" s="281" t="s">
        <v>1010</v>
      </c>
      <c r="I45" s="288" t="s">
        <v>1000</v>
      </c>
      <c r="J45" s="288" t="s">
        <v>2008</v>
      </c>
      <c r="K45" s="269" t="s">
        <v>786</v>
      </c>
      <c r="L45" s="268"/>
      <c r="M45" s="289" t="s">
        <v>786</v>
      </c>
      <c r="N45" s="256"/>
      <c r="O45" s="10">
        <v>1</v>
      </c>
      <c r="P45" s="10"/>
    </row>
    <row r="46" spans="1:16" x14ac:dyDescent="0.3">
      <c r="A46">
        <f t="shared" si="0"/>
        <v>45</v>
      </c>
      <c r="B46" t="s">
        <v>771</v>
      </c>
      <c r="C46">
        <v>2</v>
      </c>
      <c r="D46" s="227">
        <v>45</v>
      </c>
      <c r="E46" s="2" t="str">
        <f>VLOOKUP( T_Aop[[#This Row],[Id]], T_Aop[], ID_Jezik +10, 1)</f>
        <v xml:space="preserve"> </v>
      </c>
      <c r="F46" t="str">
        <f>REPT( "  ", T_Aop[[#This Row],[Aop nivo]]) &amp; VLOOKUP( T_Aop[[#This Row],[Id]], T_Aop[], ID_Jezik + 6, 1)</f>
        <v xml:space="preserve">    1. Kratkoročna potraživanja (046 do 051)</v>
      </c>
      <c r="G46" s="288" t="s">
        <v>843</v>
      </c>
      <c r="H46" s="280" t="s">
        <v>1014</v>
      </c>
      <c r="I46" s="288" t="s">
        <v>1722</v>
      </c>
      <c r="J46" s="370" t="s">
        <v>2009</v>
      </c>
      <c r="K46" s="369" t="s">
        <v>786</v>
      </c>
      <c r="L46" s="268"/>
      <c r="M46" s="289" t="s">
        <v>786</v>
      </c>
      <c r="N46" s="256"/>
      <c r="O46" s="10"/>
      <c r="P46" s="10"/>
    </row>
    <row r="47" spans="1:16" x14ac:dyDescent="0.3">
      <c r="A47">
        <f t="shared" si="0"/>
        <v>46</v>
      </c>
      <c r="B47" t="s">
        <v>771</v>
      </c>
      <c r="C47">
        <v>3</v>
      </c>
      <c r="D47" s="227">
        <v>46</v>
      </c>
      <c r="E47" s="2" t="str">
        <f>VLOOKUP( T_Aop[[#This Row],[Id]], T_Aop[], ID_Jezik +10, 1)</f>
        <v>200, dio 209</v>
      </c>
      <c r="F47" t="str">
        <f>REPT( "  ", T_Aop[[#This Row],[Aop nivo]]) &amp; VLOOKUP( T_Aop[[#This Row],[Id]], T_Aop[], ID_Jezik + 6, 1)</f>
        <v xml:space="preserve">      1.1. Kupci - povezana pravna lica</v>
      </c>
      <c r="G47" s="288" t="s">
        <v>844</v>
      </c>
      <c r="H47" s="281" t="s">
        <v>1589</v>
      </c>
      <c r="I47" s="288" t="s">
        <v>1723</v>
      </c>
      <c r="J47" s="370" t="s">
        <v>2807</v>
      </c>
      <c r="K47" s="369" t="s">
        <v>88</v>
      </c>
      <c r="L47" s="268" t="s">
        <v>632</v>
      </c>
      <c r="M47" s="289" t="s">
        <v>6</v>
      </c>
      <c r="N47" s="256" t="s">
        <v>2277</v>
      </c>
      <c r="O47" s="10"/>
      <c r="P47" s="10"/>
    </row>
    <row r="48" spans="1:16" x14ac:dyDescent="0.3">
      <c r="A48">
        <f t="shared" si="0"/>
        <v>47</v>
      </c>
      <c r="B48" t="s">
        <v>771</v>
      </c>
      <c r="C48">
        <v>3</v>
      </c>
      <c r="D48" s="227">
        <v>47</v>
      </c>
      <c r="E48" s="2" t="str">
        <f>VLOOKUP( T_Aop[[#This Row],[Id]], T_Aop[], ID_Jezik +10, 1)</f>
        <v>201, 202, 203, dio 209</v>
      </c>
      <c r="F48" t="str">
        <f>REPT( "  ", T_Aop[[#This Row],[Aop nivo]]) &amp; VLOOKUP( T_Aop[[#This Row],[Id]], T_Aop[], ID_Jezik + 6, 1)</f>
        <v xml:space="preserve">      1.2. Kupci u zemlji</v>
      </c>
      <c r="G48" s="288" t="s">
        <v>845</v>
      </c>
      <c r="H48" s="280" t="s">
        <v>1586</v>
      </c>
      <c r="I48" s="288" t="s">
        <v>1724</v>
      </c>
      <c r="J48" s="370" t="s">
        <v>2808</v>
      </c>
      <c r="K48" s="369" t="s">
        <v>633</v>
      </c>
      <c r="L48" s="268" t="s">
        <v>804</v>
      </c>
      <c r="M48" s="289" t="s">
        <v>634</v>
      </c>
      <c r="N48" s="256" t="s">
        <v>2278</v>
      </c>
      <c r="O48" s="10"/>
      <c r="P48" s="10"/>
    </row>
    <row r="49" spans="1:16" x14ac:dyDescent="0.3">
      <c r="A49">
        <f t="shared" si="0"/>
        <v>48</v>
      </c>
      <c r="B49" t="s">
        <v>771</v>
      </c>
      <c r="C49">
        <v>3</v>
      </c>
      <c r="D49" s="227">
        <v>48</v>
      </c>
      <c r="E49" s="2" t="str">
        <f>VLOOKUP( T_Aop[[#This Row],[Id]], T_Aop[], ID_Jezik +10, 1)</f>
        <v>204, dio 209</v>
      </c>
      <c r="F49" t="str">
        <f>REPT( "  ", T_Aop[[#This Row],[Aop nivo]]) &amp; VLOOKUP( T_Aop[[#This Row],[Id]], T_Aop[], ID_Jezik + 6, 1)</f>
        <v xml:space="preserve">      1.3. Kupci iz inostranstva</v>
      </c>
      <c r="G49" s="288" t="s">
        <v>846</v>
      </c>
      <c r="H49" s="281" t="s">
        <v>1587</v>
      </c>
      <c r="I49" s="288" t="s">
        <v>1725</v>
      </c>
      <c r="J49" s="370" t="s">
        <v>2809</v>
      </c>
      <c r="K49" s="369" t="s">
        <v>635</v>
      </c>
      <c r="L49" s="268" t="s">
        <v>636</v>
      </c>
      <c r="M49" s="289" t="s">
        <v>637</v>
      </c>
      <c r="N49" s="256" t="s">
        <v>2279</v>
      </c>
      <c r="O49" s="10"/>
      <c r="P49" s="10"/>
    </row>
    <row r="50" spans="1:16" x14ac:dyDescent="0.3">
      <c r="A50">
        <f t="shared" si="0"/>
        <v>49</v>
      </c>
      <c r="B50" t="s">
        <v>771</v>
      </c>
      <c r="C50">
        <v>3</v>
      </c>
      <c r="D50" s="227">
        <v>49</v>
      </c>
      <c r="E50" s="2" t="str">
        <f>VLOOKUP( T_Aop[[#This Row],[Id]], T_Aop[], ID_Jezik +10, 1)</f>
        <v>grupa 21, osim 214</v>
      </c>
      <c r="F50" t="str">
        <f>REPT( "  ", T_Aop[[#This Row],[Aop nivo]]) &amp; VLOOKUP( T_Aop[[#This Row],[Id]], T_Aop[], ID_Jezik + 6, 1)</f>
        <v xml:space="preserve">      1.4.Potraživanja iz specifičnih poslova</v>
      </c>
      <c r="G50" s="288" t="s">
        <v>847</v>
      </c>
      <c r="H50" s="280" t="s">
        <v>1588</v>
      </c>
      <c r="I50" s="288" t="s">
        <v>1726</v>
      </c>
      <c r="J50" s="370" t="s">
        <v>2810</v>
      </c>
      <c r="K50" s="369" t="s">
        <v>832</v>
      </c>
      <c r="L50" s="268" t="s">
        <v>805</v>
      </c>
      <c r="M50" s="289" t="s">
        <v>989</v>
      </c>
      <c r="N50" s="256" t="s">
        <v>2280</v>
      </c>
      <c r="O50" s="10"/>
      <c r="P50" s="10"/>
    </row>
    <row r="51" spans="1:16" x14ac:dyDescent="0.3">
      <c r="A51">
        <f t="shared" si="0"/>
        <v>50</v>
      </c>
      <c r="B51" t="s">
        <v>771</v>
      </c>
      <c r="C51">
        <v>3</v>
      </c>
      <c r="D51" s="227">
        <v>50</v>
      </c>
      <c r="E51" s="2" t="str">
        <f>VLOOKUP( T_Aop[[#This Row],[Id]], T_Aop[], ID_Jezik +10, 1)</f>
        <v>grupa 22, osim 224</v>
      </c>
      <c r="F51" t="str">
        <f>REPT( "  ", T_Aop[[#This Row],[Aop nivo]]) &amp; VLOOKUP( T_Aop[[#This Row],[Id]], T_Aop[], ID_Jezik + 6, 1)</f>
        <v xml:space="preserve">      1.5. Ostala kratkoročna potraživanja</v>
      </c>
      <c r="G51" s="288" t="s">
        <v>848</v>
      </c>
      <c r="H51" s="281" t="s">
        <v>1590</v>
      </c>
      <c r="I51" s="288" t="s">
        <v>1727</v>
      </c>
      <c r="J51" s="370" t="s">
        <v>2811</v>
      </c>
      <c r="K51" s="369" t="s">
        <v>833</v>
      </c>
      <c r="L51" s="268" t="s">
        <v>806</v>
      </c>
      <c r="M51" s="289" t="s">
        <v>990</v>
      </c>
      <c r="N51" s="256" t="s">
        <v>2281</v>
      </c>
      <c r="O51" s="10"/>
      <c r="P51" s="10"/>
    </row>
    <row r="52" spans="1:16" ht="26" x14ac:dyDescent="0.3">
      <c r="A52">
        <f t="shared" si="0"/>
        <v>51</v>
      </c>
      <c r="B52" t="s">
        <v>771</v>
      </c>
      <c r="C52">
        <v>3</v>
      </c>
      <c r="D52" s="227">
        <v>51</v>
      </c>
      <c r="E52" s="2">
        <f>VLOOKUP( T_Aop[[#This Row],[Id]], T_Aop[], ID_Jezik +10, 1)</f>
        <v>224</v>
      </c>
      <c r="F52" t="str">
        <f>REPT( "  ", T_Aop[[#This Row],[Aop nivo]]) &amp; VLOOKUP( T_Aop[[#This Row],[Id]], T_Aop[], ID_Jezik + 6, 1)</f>
        <v xml:space="preserve">      1.6. Potraživanja za više plaćen porez na dobit</v>
      </c>
      <c r="G52" s="288" t="s">
        <v>849</v>
      </c>
      <c r="H52" s="280" t="s">
        <v>1591</v>
      </c>
      <c r="I52" s="288" t="s">
        <v>1728</v>
      </c>
      <c r="J52" s="370" t="s">
        <v>2812</v>
      </c>
      <c r="K52" s="369">
        <v>224</v>
      </c>
      <c r="L52" s="268">
        <v>224</v>
      </c>
      <c r="M52" s="289">
        <v>224</v>
      </c>
      <c r="N52" s="256">
        <v>224</v>
      </c>
      <c r="O52" s="10"/>
      <c r="P52" s="10"/>
    </row>
    <row r="53" spans="1:16" ht="15.25" customHeight="1" x14ac:dyDescent="0.3">
      <c r="A53">
        <f t="shared" si="0"/>
        <v>52</v>
      </c>
      <c r="B53" t="s">
        <v>771</v>
      </c>
      <c r="C53">
        <v>2</v>
      </c>
      <c r="D53" s="227">
        <v>52</v>
      </c>
      <c r="E53" s="2" t="str">
        <f>VLOOKUP( T_Aop[[#This Row],[Id]], T_Aop[], ID_Jezik +10, 1)</f>
        <v xml:space="preserve"> </v>
      </c>
      <c r="F53" t="str">
        <f>REPT( "  ", T_Aop[[#This Row],[Aop nivo]]) &amp; VLOOKUP( T_Aop[[#This Row],[Id]], T_Aop[], ID_Jezik + 6, 1)</f>
        <v xml:space="preserve">    2. Kratkoročni finansijski plasmani ( 053 + 058 + 059 + 060)</v>
      </c>
      <c r="G53" s="288" t="s">
        <v>850</v>
      </c>
      <c r="H53" s="281" t="s">
        <v>785</v>
      </c>
      <c r="I53" s="288" t="s">
        <v>1001</v>
      </c>
      <c r="J53" s="370" t="s">
        <v>2010</v>
      </c>
      <c r="K53" s="369" t="s">
        <v>786</v>
      </c>
      <c r="L53" s="268"/>
      <c r="M53" s="289" t="s">
        <v>786</v>
      </c>
      <c r="N53" s="256"/>
      <c r="O53" s="10">
        <v>1</v>
      </c>
      <c r="P53" s="10"/>
    </row>
    <row r="54" spans="1:16" ht="12.75" customHeight="1" x14ac:dyDescent="0.3">
      <c r="A54">
        <f t="shared" si="0"/>
        <v>53</v>
      </c>
      <c r="B54" t="s">
        <v>771</v>
      </c>
      <c r="C54">
        <v>3</v>
      </c>
      <c r="D54" s="227">
        <v>53</v>
      </c>
      <c r="E54" s="2" t="str">
        <f>VLOOKUP( T_Aop[[#This Row],[Id]], T_Aop[], ID_Jezik +10, 1)</f>
        <v xml:space="preserve"> </v>
      </c>
      <c r="F54" t="str">
        <f>REPT( "  ", T_Aop[[#This Row],[Aop nivo]]) &amp; VLOOKUP( T_Aop[[#This Row],[Id]], T_Aop[], ID_Jezik + 6, 1)</f>
        <v xml:space="preserve">      2.1. Finansijska sredstva po amortizovanoj vrijednosti (054 do 057)</v>
      </c>
      <c r="G54" s="288" t="s">
        <v>2769</v>
      </c>
      <c r="H54" s="280" t="s">
        <v>1584</v>
      </c>
      <c r="I54" s="288" t="s">
        <v>1729</v>
      </c>
      <c r="J54" s="370" t="s">
        <v>2813</v>
      </c>
      <c r="K54" s="369" t="s">
        <v>786</v>
      </c>
      <c r="L54" s="268"/>
      <c r="M54" s="289" t="s">
        <v>786</v>
      </c>
      <c r="N54" s="256"/>
      <c r="O54" s="10">
        <v>1</v>
      </c>
      <c r="P54" s="10"/>
    </row>
    <row r="55" spans="1:16" x14ac:dyDescent="0.3">
      <c r="A55">
        <f t="shared" si="0"/>
        <v>54</v>
      </c>
      <c r="B55" t="s">
        <v>771</v>
      </c>
      <c r="C55">
        <v>4</v>
      </c>
      <c r="D55" s="227">
        <v>54</v>
      </c>
      <c r="E55" s="2" t="str">
        <f>VLOOKUP( T_Aop[[#This Row],[Id]], T_Aop[], ID_Jezik +10, 1)</f>
        <v>230, dio 238</v>
      </c>
      <c r="F55" t="str">
        <f>REPT( "  ", T_Aop[[#This Row],[Aop nivo]]) &amp; VLOOKUP( T_Aop[[#This Row],[Id]], T_Aop[], ID_Jezik + 6, 1)</f>
        <v xml:space="preserve">        a) Kratkoročni krediti povezanim pravnim licima</v>
      </c>
      <c r="G55" s="288" t="s">
        <v>90</v>
      </c>
      <c r="H55" s="281" t="s">
        <v>1581</v>
      </c>
      <c r="I55" s="288" t="s">
        <v>1730</v>
      </c>
      <c r="J55" s="370" t="s">
        <v>2011</v>
      </c>
      <c r="K55" s="369" t="s">
        <v>834</v>
      </c>
      <c r="L55" s="268" t="s">
        <v>807</v>
      </c>
      <c r="M55" s="289" t="s">
        <v>991</v>
      </c>
      <c r="N55" s="256" t="s">
        <v>2282</v>
      </c>
      <c r="O55" s="10"/>
      <c r="P55" s="10"/>
    </row>
    <row r="56" spans="1:16" x14ac:dyDescent="0.3">
      <c r="A56">
        <f t="shared" si="0"/>
        <v>55</v>
      </c>
      <c r="B56" t="s">
        <v>771</v>
      </c>
      <c r="C56">
        <v>4</v>
      </c>
      <c r="D56" s="227">
        <v>55</v>
      </c>
      <c r="E56" s="2" t="str">
        <f>VLOOKUP( T_Aop[[#This Row],[Id]], T_Aop[], ID_Jezik +10, 1)</f>
        <v>231, dio 238</v>
      </c>
      <c r="F56" t="str">
        <f>REPT( "  ", T_Aop[[#This Row],[Aop nivo]]) &amp; VLOOKUP( T_Aop[[#This Row],[Id]], T_Aop[], ID_Jezik + 6, 1)</f>
        <v xml:space="preserve">        b) Kratkoročni krediti u zemlji</v>
      </c>
      <c r="G56" s="288" t="s">
        <v>91</v>
      </c>
      <c r="H56" s="280" t="s">
        <v>1582</v>
      </c>
      <c r="I56" s="288" t="s">
        <v>1731</v>
      </c>
      <c r="J56" s="370" t="s">
        <v>2012</v>
      </c>
      <c r="K56" s="369" t="s">
        <v>835</v>
      </c>
      <c r="L56" s="268" t="s">
        <v>808</v>
      </c>
      <c r="M56" s="289" t="s">
        <v>992</v>
      </c>
      <c r="N56" s="266" t="s">
        <v>2283</v>
      </c>
      <c r="O56" s="10"/>
      <c r="P56" s="10"/>
    </row>
    <row r="57" spans="1:16" x14ac:dyDescent="0.3">
      <c r="A57">
        <f t="shared" si="0"/>
        <v>56</v>
      </c>
      <c r="B57" t="s">
        <v>771</v>
      </c>
      <c r="C57">
        <v>4</v>
      </c>
      <c r="D57" s="227">
        <v>56</v>
      </c>
      <c r="E57" s="2" t="str">
        <f>VLOOKUP( T_Aop[[#This Row],[Id]], T_Aop[], ID_Jezik +10, 1)</f>
        <v>232, dio 238</v>
      </c>
      <c r="F57" t="str">
        <f>REPT( "  ", T_Aop[[#This Row],[Aop nivo]]) &amp; VLOOKUP( T_Aop[[#This Row],[Id]], T_Aop[], ID_Jezik + 6, 1)</f>
        <v xml:space="preserve">        c) Kratkoročni krediti u inostranstvu</v>
      </c>
      <c r="G57" s="288" t="s">
        <v>1076</v>
      </c>
      <c r="H57" s="281" t="s">
        <v>1585</v>
      </c>
      <c r="I57" s="288" t="s">
        <v>1732</v>
      </c>
      <c r="J57" s="370" t="s">
        <v>2013</v>
      </c>
      <c r="K57" s="369" t="s">
        <v>836</v>
      </c>
      <c r="L57" s="268" t="s">
        <v>809</v>
      </c>
      <c r="M57" s="289" t="s">
        <v>993</v>
      </c>
      <c r="N57" s="266" t="s">
        <v>2284</v>
      </c>
      <c r="O57" s="10"/>
      <c r="P57" s="10"/>
    </row>
    <row r="58" spans="1:16" x14ac:dyDescent="0.3">
      <c r="A58">
        <f t="shared" si="0"/>
        <v>57</v>
      </c>
      <c r="B58" t="s">
        <v>771</v>
      </c>
      <c r="C58">
        <v>4</v>
      </c>
      <c r="D58" s="227">
        <v>57</v>
      </c>
      <c r="E58" s="2" t="str">
        <f>VLOOKUP( T_Aop[[#This Row],[Id]], T_Aop[], ID_Jezik +10, 1)</f>
        <v>233, dio 238</v>
      </c>
      <c r="F58" t="str">
        <f>REPT( "  ", T_Aop[[#This Row],[Aop nivo]]) &amp; VLOOKUP( T_Aop[[#This Row],[Id]], T_Aop[], ID_Jezik + 6, 1)</f>
        <v xml:space="preserve">        d) Ostala finansijska sredstva po amortizovanoj vrijednosti</v>
      </c>
      <c r="G58" s="288" t="s">
        <v>1077</v>
      </c>
      <c r="H58" s="280" t="s">
        <v>1583</v>
      </c>
      <c r="I58" s="288" t="s">
        <v>1733</v>
      </c>
      <c r="J58" s="370" t="s">
        <v>2014</v>
      </c>
      <c r="K58" s="369" t="s">
        <v>837</v>
      </c>
      <c r="L58" s="268" t="s">
        <v>810</v>
      </c>
      <c r="M58" s="289" t="s">
        <v>994</v>
      </c>
      <c r="N58" s="266" t="s">
        <v>2285</v>
      </c>
      <c r="O58" s="10"/>
      <c r="P58" s="10"/>
    </row>
    <row r="59" spans="1:16" ht="12.75" customHeight="1" x14ac:dyDescent="0.3">
      <c r="A59">
        <f t="shared" si="0"/>
        <v>58</v>
      </c>
      <c r="B59" t="s">
        <v>771</v>
      </c>
      <c r="C59">
        <v>3</v>
      </c>
      <c r="D59" s="227">
        <v>58</v>
      </c>
      <c r="E59" s="2" t="str">
        <f>VLOOKUP( T_Aop[[#This Row],[Id]], T_Aop[], ID_Jezik +10, 1)</f>
        <v>235 i 236</v>
      </c>
      <c r="F59" t="str">
        <f>REPT( "  ", T_Aop[[#This Row],[Aop nivo]]) &amp; VLOOKUP( T_Aop[[#This Row],[Id]], T_Aop[], ID_Jezik + 6, 1)</f>
        <v xml:space="preserve">      2.2. Finansijska sredstva po fer vrijednosti kroz bilans uspjeha</v>
      </c>
      <c r="G59" s="288" t="s">
        <v>2774</v>
      </c>
      <c r="H59" s="281" t="s">
        <v>2775</v>
      </c>
      <c r="I59" s="288" t="s">
        <v>1734</v>
      </c>
      <c r="J59" s="370" t="s">
        <v>2814</v>
      </c>
      <c r="K59" s="369" t="s">
        <v>2728</v>
      </c>
      <c r="L59" s="268" t="s">
        <v>811</v>
      </c>
      <c r="M59" s="289" t="s">
        <v>2729</v>
      </c>
      <c r="N59" s="266" t="s">
        <v>811</v>
      </c>
      <c r="O59" s="10"/>
      <c r="P59" s="10"/>
    </row>
    <row r="60" spans="1:16" x14ac:dyDescent="0.3">
      <c r="A60">
        <f t="shared" si="0"/>
        <v>59</v>
      </c>
      <c r="B60" t="s">
        <v>771</v>
      </c>
      <c r="C60">
        <v>3</v>
      </c>
      <c r="D60" s="227">
        <v>59</v>
      </c>
      <c r="E60" s="2" t="str">
        <f>VLOOKUP( T_Aop[[#This Row],[Id]], T_Aop[], ID_Jezik +10, 1)</f>
        <v>234, 239</v>
      </c>
      <c r="F60" t="str">
        <f>REPT( "  ", T_Aop[[#This Row],[Aop nivo]]) &amp; VLOOKUP( T_Aop[[#This Row],[Id]], T_Aop[], ID_Jezik + 6, 1)</f>
        <v xml:space="preserve">      2.3. Potraživanje po finansijskom lizingu</v>
      </c>
      <c r="G60" s="288" t="s">
        <v>2688</v>
      </c>
      <c r="H60" s="280" t="s">
        <v>1742</v>
      </c>
      <c r="I60" s="288" t="s">
        <v>1735</v>
      </c>
      <c r="J60" s="370" t="s">
        <v>2815</v>
      </c>
      <c r="K60" s="369" t="s">
        <v>812</v>
      </c>
      <c r="L60" s="268" t="s">
        <v>812</v>
      </c>
      <c r="M60" s="289" t="s">
        <v>812</v>
      </c>
      <c r="N60" s="266" t="s">
        <v>812</v>
      </c>
      <c r="O60" s="10"/>
      <c r="P60" s="10"/>
    </row>
    <row r="61" spans="1:16" x14ac:dyDescent="0.3">
      <c r="A61">
        <f t="shared" si="0"/>
        <v>60</v>
      </c>
      <c r="B61" t="s">
        <v>771</v>
      </c>
      <c r="C61">
        <v>3</v>
      </c>
      <c r="D61" s="227">
        <v>60</v>
      </c>
      <c r="E61" s="2">
        <f>VLOOKUP( T_Aop[[#This Row],[Id]], T_Aop[], ID_Jezik +10, 1)</f>
        <v>214</v>
      </c>
      <c r="F61" t="str">
        <f>REPT( "  ", T_Aop[[#This Row],[Aop nivo]]) &amp; VLOOKUP( T_Aop[[#This Row],[Id]], T_Aop[], ID_Jezik + 6, 1)</f>
        <v xml:space="preserve">      2.4. Derivatna finansijska sredstva</v>
      </c>
      <c r="G61" s="288" t="s">
        <v>851</v>
      </c>
      <c r="H61" s="281" t="s">
        <v>1743</v>
      </c>
      <c r="I61" s="288" t="s">
        <v>1736</v>
      </c>
      <c r="J61" s="370" t="s">
        <v>2816</v>
      </c>
      <c r="K61" s="369">
        <v>214</v>
      </c>
      <c r="L61" s="268">
        <v>214</v>
      </c>
      <c r="M61" s="289">
        <v>214</v>
      </c>
      <c r="N61" s="266">
        <v>214</v>
      </c>
      <c r="O61" s="10"/>
      <c r="P61" s="10"/>
    </row>
    <row r="62" spans="1:16" x14ac:dyDescent="0.3">
      <c r="A62">
        <f t="shared" si="0"/>
        <v>61</v>
      </c>
      <c r="B62" t="s">
        <v>771</v>
      </c>
      <c r="C62">
        <v>2</v>
      </c>
      <c r="D62" s="227">
        <v>61</v>
      </c>
      <c r="E62" s="2">
        <f>VLOOKUP( T_Aop[[#This Row],[Id]], T_Aop[], ID_Jezik +10, 1)</f>
        <v>24</v>
      </c>
      <c r="F62" t="str">
        <f>REPT( "  ", T_Aop[[#This Row],[Aop nivo]]) &amp; VLOOKUP( T_Aop[[#This Row],[Id]], T_Aop[], ID_Jezik + 6, 1)</f>
        <v xml:space="preserve">    3. Gotovinski ekvivalenti i gotovina (062 + 063)</v>
      </c>
      <c r="G62" s="288" t="s">
        <v>852</v>
      </c>
      <c r="H62" s="280" t="s">
        <v>1745</v>
      </c>
      <c r="I62" s="288" t="s">
        <v>1737</v>
      </c>
      <c r="J62" s="370" t="s">
        <v>2015</v>
      </c>
      <c r="K62" s="369">
        <v>24</v>
      </c>
      <c r="L62" s="268">
        <v>24</v>
      </c>
      <c r="M62" s="289">
        <v>24</v>
      </c>
      <c r="N62" s="266">
        <v>24</v>
      </c>
      <c r="O62" s="10">
        <v>1</v>
      </c>
      <c r="P62" s="10"/>
    </row>
    <row r="63" spans="1:16" x14ac:dyDescent="0.3">
      <c r="A63">
        <f t="shared" si="0"/>
        <v>62</v>
      </c>
      <c r="B63" t="s">
        <v>771</v>
      </c>
      <c r="C63">
        <v>3</v>
      </c>
      <c r="D63" s="227">
        <v>62</v>
      </c>
      <c r="E63" s="2" t="str">
        <f>VLOOKUP( T_Aop[[#This Row],[Id]], T_Aop[], ID_Jezik +10, 1)</f>
        <v>240, dio 249</v>
      </c>
      <c r="F63" t="str">
        <f>REPT( "  ", T_Aop[[#This Row],[Aop nivo]]) &amp; VLOOKUP( T_Aop[[#This Row],[Id]], T_Aop[], ID_Jezik + 6, 1)</f>
        <v xml:space="preserve">      3.1. Gotovinski ekvivalenti </v>
      </c>
      <c r="G63" s="288" t="s">
        <v>853</v>
      </c>
      <c r="H63" s="281" t="s">
        <v>1744</v>
      </c>
      <c r="I63" s="288" t="s">
        <v>1738</v>
      </c>
      <c r="J63" s="370" t="s">
        <v>2817</v>
      </c>
      <c r="K63" s="369" t="s">
        <v>838</v>
      </c>
      <c r="L63" s="268" t="s">
        <v>813</v>
      </c>
      <c r="M63" s="289" t="s">
        <v>995</v>
      </c>
      <c r="N63" s="256" t="s">
        <v>2286</v>
      </c>
      <c r="O63" s="10"/>
      <c r="P63" s="10"/>
    </row>
    <row r="64" spans="1:16" x14ac:dyDescent="0.3">
      <c r="A64">
        <f t="shared" si="0"/>
        <v>63</v>
      </c>
      <c r="B64" t="s">
        <v>771</v>
      </c>
      <c r="C64">
        <v>3</v>
      </c>
      <c r="D64" s="227">
        <v>63</v>
      </c>
      <c r="E64" s="2" t="str">
        <f>VLOOKUP( T_Aop[[#This Row],[Id]], T_Aop[], ID_Jezik +10, 1)</f>
        <v>241 do 249</v>
      </c>
      <c r="F64" t="str">
        <f>REPT( "  ", T_Aop[[#This Row],[Aop nivo]]) &amp; VLOOKUP( T_Aop[[#This Row],[Id]], T_Aop[], ID_Jezik + 6, 1)</f>
        <v xml:space="preserve">      3.2. Gotovina</v>
      </c>
      <c r="G64" s="288" t="s">
        <v>854</v>
      </c>
      <c r="H64" s="280" t="s">
        <v>1746</v>
      </c>
      <c r="I64" s="288" t="s">
        <v>1739</v>
      </c>
      <c r="J64" s="370" t="s">
        <v>2818</v>
      </c>
      <c r="K64" s="371" t="s">
        <v>89</v>
      </c>
      <c r="L64" s="268" t="s">
        <v>638</v>
      </c>
      <c r="M64" s="289" t="s">
        <v>7</v>
      </c>
      <c r="N64" s="266" t="s">
        <v>638</v>
      </c>
      <c r="O64" s="10"/>
      <c r="P64" s="10"/>
    </row>
    <row r="65" spans="1:16" x14ac:dyDescent="0.3">
      <c r="A65">
        <f t="shared" si="0"/>
        <v>64</v>
      </c>
      <c r="B65" t="s">
        <v>771</v>
      </c>
      <c r="C65">
        <v>2</v>
      </c>
      <c r="D65" s="227">
        <v>64</v>
      </c>
      <c r="E65" s="2" t="str">
        <f>VLOOKUP( T_Aop[[#This Row],[Id]], T_Aop[], ID_Jezik +10, 1)</f>
        <v>270 do 279</v>
      </c>
      <c r="F65" t="str">
        <f>REPT( "  ", T_Aop[[#This Row],[Aop nivo]]) &amp; VLOOKUP( T_Aop[[#This Row],[Id]], T_Aop[], ID_Jezik + 6, 1)</f>
        <v xml:space="preserve">    4. Porez na dodatu vrijednost</v>
      </c>
      <c r="G65" s="288" t="s">
        <v>92</v>
      </c>
      <c r="H65" s="281" t="s">
        <v>1747</v>
      </c>
      <c r="I65" s="288" t="s">
        <v>1740</v>
      </c>
      <c r="J65" s="370" t="s">
        <v>2016</v>
      </c>
      <c r="K65" s="372" t="s">
        <v>8</v>
      </c>
      <c r="L65" s="268" t="s">
        <v>814</v>
      </c>
      <c r="M65" s="289" t="s">
        <v>9</v>
      </c>
      <c r="N65" s="266" t="s">
        <v>2287</v>
      </c>
      <c r="O65" s="10"/>
      <c r="P65" s="10"/>
    </row>
    <row r="66" spans="1:16" x14ac:dyDescent="0.3">
      <c r="A66">
        <f t="shared" ref="A66:A129" si="1">ROW()-ROW($A$1)</f>
        <v>65</v>
      </c>
      <c r="B66" t="s">
        <v>771</v>
      </c>
      <c r="C66">
        <v>2</v>
      </c>
      <c r="D66" s="227">
        <v>65</v>
      </c>
      <c r="E66" s="2" t="str">
        <f>VLOOKUP( T_Aop[[#This Row],[Id]], T_Aop[], ID_Jezik +10, 1)</f>
        <v>280 do 289</v>
      </c>
      <c r="F66" t="str">
        <f>REPT( "  ", T_Aop[[#This Row],[Aop nivo]]) &amp; VLOOKUP( T_Aop[[#This Row],[Id]], T_Aop[], ID_Jezik + 6, 1)</f>
        <v xml:space="preserve">    5. Kratkoročna  razgraničenja</v>
      </c>
      <c r="G66" s="288" t="s">
        <v>855</v>
      </c>
      <c r="H66" s="280" t="s">
        <v>1748</v>
      </c>
      <c r="I66" s="288" t="s">
        <v>1741</v>
      </c>
      <c r="J66" s="370" t="s">
        <v>2017</v>
      </c>
      <c r="K66" s="372" t="s">
        <v>839</v>
      </c>
      <c r="L66" s="268" t="s">
        <v>815</v>
      </c>
      <c r="M66" s="289" t="s">
        <v>996</v>
      </c>
      <c r="N66" s="232" t="s">
        <v>815</v>
      </c>
      <c r="O66" s="10"/>
      <c r="P66" s="10"/>
    </row>
    <row r="67" spans="1:16" ht="13.5" thickBot="1" x14ac:dyDescent="0.35">
      <c r="A67">
        <f t="shared" si="1"/>
        <v>66</v>
      </c>
      <c r="B67" t="s">
        <v>771</v>
      </c>
      <c r="C67">
        <v>1</v>
      </c>
      <c r="D67" s="227">
        <v>66</v>
      </c>
      <c r="E67" s="2">
        <f>VLOOKUP( T_Aop[[#This Row],[Id]], T_Aop[], ID_Jezik +10, 1)</f>
        <v>0</v>
      </c>
      <c r="F67" t="str">
        <f>REPT( "  ", T_Aop[[#This Row],[Aop nivo]]) &amp; VLOOKUP( T_Aop[[#This Row],[Id]], T_Aop[], ID_Jezik + 6, 1)</f>
        <v xml:space="preserve">  G. BILANSNA AKTIVA (001 + 035 + 036)</v>
      </c>
      <c r="G67" s="288" t="s">
        <v>856</v>
      </c>
      <c r="H67" s="288" t="s">
        <v>1012</v>
      </c>
      <c r="I67" s="288" t="s">
        <v>1002</v>
      </c>
      <c r="J67" s="370" t="s">
        <v>2018</v>
      </c>
      <c r="K67" s="373">
        <v>0</v>
      </c>
      <c r="L67" s="270"/>
      <c r="M67" s="289"/>
      <c r="N67" s="290"/>
      <c r="O67" s="10">
        <v>1</v>
      </c>
      <c r="P67" s="10"/>
    </row>
    <row r="68" spans="1:16" ht="13.5" thickBot="1" x14ac:dyDescent="0.35">
      <c r="A68">
        <f t="shared" si="1"/>
        <v>67</v>
      </c>
      <c r="B68" t="s">
        <v>771</v>
      </c>
      <c r="C68">
        <v>1</v>
      </c>
      <c r="D68" s="227">
        <v>67</v>
      </c>
      <c r="E68" s="2" t="str">
        <f>VLOOKUP( T_Aop[[#This Row],[Id]], T_Aop[], ID_Jezik +10, 1)</f>
        <v>880 do 888</v>
      </c>
      <c r="F68" s="223" t="str">
        <f>REPT( "  ", T_Aop[[#This Row],[Aop nivo]]) &amp; VLOOKUP( T_Aop[[#This Row],[Id]], T_Aop[], ID_Jezik + 6, 1)</f>
        <v xml:space="preserve">  D. VANBILANSNA AKTIVA</v>
      </c>
      <c r="G68" s="288" t="s">
        <v>857</v>
      </c>
      <c r="H68" s="288" t="s">
        <v>1013</v>
      </c>
      <c r="I68" s="288" t="s">
        <v>1003</v>
      </c>
      <c r="J68" s="370" t="s">
        <v>2019</v>
      </c>
      <c r="K68" s="374" t="s">
        <v>2558</v>
      </c>
      <c r="L68" s="270" t="s">
        <v>639</v>
      </c>
      <c r="M68" s="289" t="s">
        <v>2559</v>
      </c>
      <c r="N68" s="256" t="s">
        <v>639</v>
      </c>
      <c r="O68" s="10">
        <v>1</v>
      </c>
      <c r="P68" s="10"/>
    </row>
    <row r="69" spans="1:16" ht="30" customHeight="1" x14ac:dyDescent="0.3">
      <c r="A69">
        <f t="shared" si="1"/>
        <v>68</v>
      </c>
      <c r="B69" t="s">
        <v>770</v>
      </c>
      <c r="C69">
        <v>1</v>
      </c>
      <c r="D69" s="227">
        <v>101</v>
      </c>
      <c r="E69" s="2">
        <f>VLOOKUP( T_Aop[[#This Row],[Id]], T_Aop[], ID_Jezik +10, 1)</f>
        <v>0</v>
      </c>
      <c r="F69" t="str">
        <f>REPT( "  ", T_Aop[[#This Row],[Aop nivo]]) &amp; VLOOKUP( T_Aop[[#This Row],[Id]], T_Aop[], ID_Jezik + 6, 1)</f>
        <v xml:space="preserve">  BILANSNA PASIVA
A. KAPITAL  (102 -110 + 113 - 114 + 115 + 119 + 122 - 123 + 124 - 128 + 131)</v>
      </c>
      <c r="G69" s="280" t="s">
        <v>2202</v>
      </c>
      <c r="H69" s="288" t="s">
        <v>865</v>
      </c>
      <c r="I69" s="287" t="s">
        <v>1122</v>
      </c>
      <c r="J69" s="354" t="s">
        <v>2020</v>
      </c>
      <c r="K69" s="292"/>
      <c r="L69" s="292"/>
      <c r="M69" s="292"/>
      <c r="N69" s="290"/>
      <c r="O69" s="10">
        <v>1</v>
      </c>
      <c r="P69" s="10"/>
    </row>
    <row r="70" spans="1:16" ht="16.5" customHeight="1" x14ac:dyDescent="0.3">
      <c r="A70">
        <f t="shared" si="1"/>
        <v>69</v>
      </c>
      <c r="B70" t="s">
        <v>770</v>
      </c>
      <c r="C70">
        <v>1</v>
      </c>
      <c r="D70" s="227">
        <v>102</v>
      </c>
      <c r="E70" s="2">
        <f>VLOOKUP( T_Aop[[#This Row],[Id]], T_Aop[], ID_Jezik +10, 1)</f>
        <v>30</v>
      </c>
      <c r="F70" t="str">
        <f>REPT( "  ", T_Aop[[#This Row],[Aop nivo]]) &amp; VLOOKUP( T_Aop[[#This Row],[Id]], T_Aop[], ID_Jezik + 6, 1)</f>
        <v xml:space="preserve">  I OSNOVNI KAPITAL (103 + 106 + 107 + 108 + 109)</v>
      </c>
      <c r="G70" s="288" t="s">
        <v>1127</v>
      </c>
      <c r="H70" s="288" t="s">
        <v>1128</v>
      </c>
      <c r="I70" s="291" t="s">
        <v>2719</v>
      </c>
      <c r="J70" s="370" t="s">
        <v>2021</v>
      </c>
      <c r="K70" s="375">
        <v>30</v>
      </c>
      <c r="L70" s="271">
        <v>30</v>
      </c>
      <c r="M70" s="293" t="s">
        <v>2888</v>
      </c>
      <c r="N70" s="256">
        <v>30</v>
      </c>
      <c r="O70" s="10">
        <v>1</v>
      </c>
      <c r="P70" s="10"/>
    </row>
    <row r="71" spans="1:16" ht="16.5" customHeight="1" x14ac:dyDescent="0.3">
      <c r="A71">
        <f t="shared" si="1"/>
        <v>70</v>
      </c>
      <c r="B71" t="s">
        <v>770</v>
      </c>
      <c r="C71">
        <v>2</v>
      </c>
      <c r="D71" s="227">
        <v>103</v>
      </c>
      <c r="E71" s="2">
        <f>VLOOKUP( T_Aop[[#This Row],[Id]], T_Aop[], ID_Jezik +10, 1)</f>
        <v>300</v>
      </c>
      <c r="F71" t="str">
        <f>REPT( "  ", T_Aop[[#This Row],[Aop nivo]]) &amp; VLOOKUP( T_Aop[[#This Row],[Id]], T_Aop[], ID_Jezik + 6, 1)</f>
        <v xml:space="preserve">    1. Akcijski kapital (104 + 105)</v>
      </c>
      <c r="G71" s="288" t="s">
        <v>1078</v>
      </c>
      <c r="H71" s="288" t="s">
        <v>866</v>
      </c>
      <c r="I71" s="291" t="s">
        <v>2560</v>
      </c>
      <c r="J71" s="370" t="s">
        <v>2022</v>
      </c>
      <c r="K71" s="376">
        <v>300</v>
      </c>
      <c r="L71" s="275">
        <v>300</v>
      </c>
      <c r="M71" s="293">
        <v>300</v>
      </c>
      <c r="N71" s="256">
        <v>300</v>
      </c>
      <c r="O71" s="10">
        <v>1</v>
      </c>
      <c r="P71" s="10"/>
    </row>
    <row r="72" spans="1:16" ht="12" customHeight="1" x14ac:dyDescent="0.3">
      <c r="A72">
        <f t="shared" si="1"/>
        <v>71</v>
      </c>
      <c r="B72" t="s">
        <v>770</v>
      </c>
      <c r="C72">
        <v>3</v>
      </c>
      <c r="D72" s="227">
        <v>104</v>
      </c>
      <c r="E72" s="2">
        <f>VLOOKUP( T_Aop[[#This Row],[Id]], T_Aop[], ID_Jezik +10, 1)</f>
        <v>0</v>
      </c>
      <c r="F72" t="str">
        <f>REPT( "  ", T_Aop[[#This Row],[Aop nivo]]) &amp; VLOOKUP( T_Aop[[#This Row],[Id]], T_Aop[], ID_Jezik + 6, 1)</f>
        <v xml:space="preserve">      1.1. Akcijski kapital - obične akcije </v>
      </c>
      <c r="G72" s="288" t="s">
        <v>1079</v>
      </c>
      <c r="H72" s="288" t="s">
        <v>867</v>
      </c>
      <c r="I72" s="291" t="s">
        <v>1749</v>
      </c>
      <c r="J72" s="370" t="s">
        <v>2503</v>
      </c>
      <c r="K72" s="376"/>
      <c r="L72" s="275"/>
      <c r="M72" s="293"/>
      <c r="N72" s="256"/>
      <c r="O72" s="10"/>
      <c r="P72" s="10"/>
    </row>
    <row r="73" spans="1:16" ht="14.65" customHeight="1" x14ac:dyDescent="0.3">
      <c r="A73">
        <f t="shared" si="1"/>
        <v>72</v>
      </c>
      <c r="B73" t="s">
        <v>770</v>
      </c>
      <c r="C73">
        <v>3</v>
      </c>
      <c r="D73" s="227">
        <v>105</v>
      </c>
      <c r="E73" s="2">
        <f>VLOOKUP( T_Aop[[#This Row],[Id]], T_Aop[], ID_Jezik +10, 1)</f>
        <v>0</v>
      </c>
      <c r="F73" t="str">
        <f>REPT( "  ", T_Aop[[#This Row],[Aop nivo]]) &amp; VLOOKUP( T_Aop[[#This Row],[Id]], T_Aop[], ID_Jezik + 6, 1)</f>
        <v xml:space="preserve">      1.2. Akcijski kapital – povlašćene (prioritetne) akcije</v>
      </c>
      <c r="G73" s="288" t="s">
        <v>1080</v>
      </c>
      <c r="H73" s="288" t="s">
        <v>868</v>
      </c>
      <c r="I73" s="291" t="s">
        <v>1750</v>
      </c>
      <c r="J73" s="370" t="s">
        <v>2504</v>
      </c>
      <c r="K73" s="376"/>
      <c r="L73" s="275"/>
      <c r="M73" s="293"/>
      <c r="N73" s="256"/>
      <c r="O73" s="10"/>
      <c r="P73" s="10"/>
    </row>
    <row r="74" spans="1:16" ht="14.65" customHeight="1" x14ac:dyDescent="0.3">
      <c r="A74">
        <f t="shared" si="1"/>
        <v>73</v>
      </c>
      <c r="B74" t="s">
        <v>770</v>
      </c>
      <c r="C74">
        <v>2</v>
      </c>
      <c r="D74" s="227">
        <v>106</v>
      </c>
      <c r="E74" s="2">
        <f>VLOOKUP( T_Aop[[#This Row],[Id]], T_Aop[], ID_Jezik +10, 1)</f>
        <v>302</v>
      </c>
      <c r="F74" t="str">
        <f>REPT( "  ", T_Aop[[#This Row],[Aop nivo]]) &amp; VLOOKUP( T_Aop[[#This Row],[Id]], T_Aop[], ID_Jezik + 6, 1)</f>
        <v xml:space="preserve">    2. Udjeli društva sa ograničenom odgovornošću</v>
      </c>
      <c r="G74" s="288" t="s">
        <v>101</v>
      </c>
      <c r="H74" s="288" t="s">
        <v>500</v>
      </c>
      <c r="I74" s="291" t="s">
        <v>1751</v>
      </c>
      <c r="J74" s="370" t="s">
        <v>2023</v>
      </c>
      <c r="K74" s="376">
        <v>302</v>
      </c>
      <c r="L74" s="275">
        <v>302</v>
      </c>
      <c r="M74" s="293">
        <v>302</v>
      </c>
      <c r="N74" s="256">
        <v>302</v>
      </c>
      <c r="O74" s="10"/>
      <c r="P74" s="10"/>
    </row>
    <row r="75" spans="1:16" ht="14.65" customHeight="1" x14ac:dyDescent="0.3">
      <c r="A75">
        <f t="shared" si="1"/>
        <v>74</v>
      </c>
      <c r="B75" t="s">
        <v>770</v>
      </c>
      <c r="C75">
        <v>2</v>
      </c>
      <c r="D75" s="227">
        <v>107</v>
      </c>
      <c r="E75" s="2">
        <f>VLOOKUP( T_Aop[[#This Row],[Id]], T_Aop[], ID_Jezik +10, 1)</f>
        <v>304</v>
      </c>
      <c r="F75" t="str">
        <f>REPT( "  ", T_Aop[[#This Row],[Aop nivo]]) &amp; VLOOKUP( T_Aop[[#This Row],[Id]], T_Aop[], ID_Jezik + 6, 1)</f>
        <v xml:space="preserve">    3. Ulozi</v>
      </c>
      <c r="G75" s="288" t="s">
        <v>2198</v>
      </c>
      <c r="H75" s="288" t="s">
        <v>2200</v>
      </c>
      <c r="I75" s="291" t="s">
        <v>1752</v>
      </c>
      <c r="J75" s="370" t="s">
        <v>2024</v>
      </c>
      <c r="K75" s="376">
        <v>304</v>
      </c>
      <c r="L75" s="275">
        <v>304</v>
      </c>
      <c r="M75" s="293">
        <v>304</v>
      </c>
      <c r="N75" s="256">
        <v>304</v>
      </c>
      <c r="O75" s="10"/>
      <c r="P75" s="10"/>
    </row>
    <row r="76" spans="1:16" ht="14.65" customHeight="1" x14ac:dyDescent="0.3">
      <c r="A76">
        <f t="shared" si="1"/>
        <v>75</v>
      </c>
      <c r="B76" t="s">
        <v>770</v>
      </c>
      <c r="C76">
        <v>2</v>
      </c>
      <c r="D76" s="227">
        <v>108</v>
      </c>
      <c r="E76" s="2">
        <f>VLOOKUP( T_Aop[[#This Row],[Id]], T_Aop[], ID_Jezik +10, 1)</f>
        <v>305</v>
      </c>
      <c r="F76" t="str">
        <f>REPT( "  ", T_Aop[[#This Row],[Aop nivo]]) &amp; VLOOKUP( T_Aop[[#This Row],[Id]], T_Aop[], ID_Jezik + 6, 1)</f>
        <v xml:space="preserve">    4. Državni kapital</v>
      </c>
      <c r="G76" s="288" t="s">
        <v>2199</v>
      </c>
      <c r="H76" s="288" t="s">
        <v>2201</v>
      </c>
      <c r="I76" s="291" t="s">
        <v>1753</v>
      </c>
      <c r="J76" s="370" t="s">
        <v>2025</v>
      </c>
      <c r="K76" s="376">
        <v>305</v>
      </c>
      <c r="L76" s="275">
        <v>305</v>
      </c>
      <c r="M76" s="293">
        <v>305</v>
      </c>
      <c r="N76" s="256">
        <v>305</v>
      </c>
      <c r="O76" s="10"/>
      <c r="P76" s="10"/>
    </row>
    <row r="77" spans="1:16" ht="14.65" customHeight="1" x14ac:dyDescent="0.3">
      <c r="A77">
        <f t="shared" si="1"/>
        <v>76</v>
      </c>
      <c r="B77" t="s">
        <v>770</v>
      </c>
      <c r="C77">
        <v>2</v>
      </c>
      <c r="D77" s="227">
        <v>109</v>
      </c>
      <c r="E77" s="2" t="str">
        <f>VLOOKUP( T_Aop[[#This Row],[Id]], T_Aop[], ID_Jezik +10, 1)</f>
        <v>309</v>
      </c>
      <c r="F77" t="str">
        <f>REPT( "  ", T_Aop[[#This Row],[Aop nivo]]) &amp; VLOOKUP( T_Aop[[#This Row],[Id]], T_Aop[], ID_Jezik + 6, 1)</f>
        <v xml:space="preserve">    5. Ostali osnovni kapital</v>
      </c>
      <c r="G77" s="288" t="s">
        <v>1081</v>
      </c>
      <c r="H77" s="288" t="s">
        <v>869</v>
      </c>
      <c r="I77" s="291" t="s">
        <v>1754</v>
      </c>
      <c r="J77" s="370" t="s">
        <v>2026</v>
      </c>
      <c r="K77" s="376" t="s">
        <v>756</v>
      </c>
      <c r="L77" s="250" t="s">
        <v>756</v>
      </c>
      <c r="M77" s="250" t="s">
        <v>756</v>
      </c>
      <c r="N77" s="250" t="s">
        <v>756</v>
      </c>
      <c r="O77" s="10"/>
      <c r="P77" s="10"/>
    </row>
    <row r="78" spans="1:16" ht="14.65" customHeight="1" x14ac:dyDescent="0.3">
      <c r="A78">
        <f t="shared" si="1"/>
        <v>77</v>
      </c>
      <c r="B78" t="s">
        <v>770</v>
      </c>
      <c r="C78">
        <v>1</v>
      </c>
      <c r="D78" s="3">
        <v>110</v>
      </c>
      <c r="E78" s="2">
        <f>VLOOKUP( T_Aop[[#This Row],[Id]], T_Aop[], ID_Jezik +10, 1)</f>
        <v>31</v>
      </c>
      <c r="F78" t="str">
        <f>REPT( "  ", T_Aop[[#This Row],[Aop nivo]]) &amp; VLOOKUP( T_Aop[[#This Row],[Id]], T_Aop[], ID_Jezik + 6, 1)</f>
        <v xml:space="preserve">  II OTKUPLJENE SOPSTVENE AKCIJE I UPISANI NEUPLAĆENI KAPITAL (111 + 112)</v>
      </c>
      <c r="G78" s="281" t="s">
        <v>2771</v>
      </c>
      <c r="H78" s="288" t="s">
        <v>2207</v>
      </c>
      <c r="I78" s="291" t="s">
        <v>2561</v>
      </c>
      <c r="J78" s="370" t="s">
        <v>2027</v>
      </c>
      <c r="K78" s="377">
        <v>31</v>
      </c>
      <c r="L78" s="272">
        <v>31</v>
      </c>
      <c r="M78" s="293">
        <v>31</v>
      </c>
      <c r="N78" s="256">
        <v>31</v>
      </c>
      <c r="O78" s="10">
        <v>1</v>
      </c>
      <c r="P78" s="10"/>
    </row>
    <row r="79" spans="1:16" ht="14.65" customHeight="1" x14ac:dyDescent="0.3">
      <c r="A79">
        <f t="shared" si="1"/>
        <v>78</v>
      </c>
      <c r="B79" t="s">
        <v>770</v>
      </c>
      <c r="C79">
        <v>2</v>
      </c>
      <c r="D79" s="3">
        <v>111</v>
      </c>
      <c r="E79" s="2">
        <f>VLOOKUP( T_Aop[[#This Row],[Id]], T_Aop[], ID_Jezik +10, 1)</f>
        <v>310</v>
      </c>
      <c r="F79" t="str">
        <f>REPT( "  ", T_Aop[[#This Row],[Aop nivo]]) &amp; VLOOKUP( T_Aop[[#This Row],[Id]], T_Aop[], ID_Jezik + 6, 1)</f>
        <v xml:space="preserve">    1. Otkupljene sopstvene akcije i udjeli </v>
      </c>
      <c r="G79" s="288" t="s">
        <v>1082</v>
      </c>
      <c r="H79" s="288" t="s">
        <v>870</v>
      </c>
      <c r="I79" s="291" t="s">
        <v>1755</v>
      </c>
      <c r="J79" s="370" t="s">
        <v>2028</v>
      </c>
      <c r="K79" s="376">
        <v>310</v>
      </c>
      <c r="L79" s="275">
        <v>310</v>
      </c>
      <c r="M79" s="293">
        <v>310</v>
      </c>
      <c r="N79" s="256">
        <v>310</v>
      </c>
      <c r="O79" s="10">
        <v>1</v>
      </c>
      <c r="P79" s="10"/>
    </row>
    <row r="80" spans="1:16" ht="14.65" customHeight="1" x14ac:dyDescent="0.3">
      <c r="A80">
        <f t="shared" si="1"/>
        <v>79</v>
      </c>
      <c r="B80" t="s">
        <v>770</v>
      </c>
      <c r="C80">
        <v>2</v>
      </c>
      <c r="D80" s="3">
        <v>112</v>
      </c>
      <c r="E80" s="2">
        <f>VLOOKUP( T_Aop[[#This Row],[Id]], T_Aop[], ID_Jezik +10, 1)</f>
        <v>311</v>
      </c>
      <c r="F80" t="str">
        <f>REPT( "  ", T_Aop[[#This Row],[Aop nivo]]) &amp; VLOOKUP( T_Aop[[#This Row],[Id]], T_Aop[], ID_Jezik + 6, 1)</f>
        <v xml:space="preserve">    2. Upisani neuplaćeni kapital</v>
      </c>
      <c r="G80" s="288" t="s">
        <v>1083</v>
      </c>
      <c r="H80" s="288" t="s">
        <v>871</v>
      </c>
      <c r="I80" s="291" t="s">
        <v>1756</v>
      </c>
      <c r="J80" s="370" t="s">
        <v>2029</v>
      </c>
      <c r="K80" s="376">
        <v>311</v>
      </c>
      <c r="L80" s="275">
        <v>311</v>
      </c>
      <c r="M80" s="293">
        <v>311</v>
      </c>
      <c r="N80" s="256">
        <v>311</v>
      </c>
      <c r="O80" s="10">
        <v>1</v>
      </c>
      <c r="P80" s="10"/>
    </row>
    <row r="81" spans="1:16" ht="14.65" customHeight="1" x14ac:dyDescent="0.3">
      <c r="A81">
        <f t="shared" si="1"/>
        <v>80</v>
      </c>
      <c r="B81" t="s">
        <v>770</v>
      </c>
      <c r="C81">
        <v>1</v>
      </c>
      <c r="D81" s="3">
        <v>113</v>
      </c>
      <c r="E81" s="2">
        <f>VLOOKUP( T_Aop[[#This Row],[Id]], T_Aop[], ID_Jezik +10, 1)</f>
        <v>320</v>
      </c>
      <c r="F81" t="str">
        <f>REPT( "  ", T_Aop[[#This Row],[Aop nivo]]) &amp; VLOOKUP( T_Aop[[#This Row],[Id]], T_Aop[], ID_Jezik + 6, 1)</f>
        <v xml:space="preserve">  III EMISIONA PREMIJA</v>
      </c>
      <c r="G81" s="281" t="s">
        <v>1084</v>
      </c>
      <c r="H81" s="288" t="s">
        <v>872</v>
      </c>
      <c r="I81" s="291" t="s">
        <v>1757</v>
      </c>
      <c r="J81" s="370" t="s">
        <v>2030</v>
      </c>
      <c r="K81" s="376">
        <v>320</v>
      </c>
      <c r="L81" s="275">
        <v>320</v>
      </c>
      <c r="M81" s="293">
        <v>320</v>
      </c>
      <c r="N81" s="256">
        <v>320</v>
      </c>
      <c r="O81" s="10">
        <v>1</v>
      </c>
      <c r="P81" s="10"/>
    </row>
    <row r="82" spans="1:16" ht="14.65" customHeight="1" x14ac:dyDescent="0.3">
      <c r="A82">
        <f t="shared" si="1"/>
        <v>81</v>
      </c>
      <c r="B82" t="s">
        <v>770</v>
      </c>
      <c r="C82">
        <v>1</v>
      </c>
      <c r="D82" s="3">
        <v>114</v>
      </c>
      <c r="E82" s="2">
        <f>VLOOKUP( T_Aop[[#This Row],[Id]], T_Aop[], ID_Jezik +10, 1)</f>
        <v>321</v>
      </c>
      <c r="F82" t="str">
        <f>REPT( "  ", T_Aop[[#This Row],[Aop nivo]]) &amp; VLOOKUP( T_Aop[[#This Row],[Id]], T_Aop[], ID_Jezik + 6, 1)</f>
        <v xml:space="preserve">  IV EMISIONI GUBITAK</v>
      </c>
      <c r="G82" s="281" t="s">
        <v>2770</v>
      </c>
      <c r="H82" s="288" t="s">
        <v>2714</v>
      </c>
      <c r="I82" s="291" t="s">
        <v>1758</v>
      </c>
      <c r="J82" s="370" t="s">
        <v>2031</v>
      </c>
      <c r="K82" s="376">
        <v>321</v>
      </c>
      <c r="L82" s="275">
        <v>321</v>
      </c>
      <c r="M82" s="293">
        <v>321</v>
      </c>
      <c r="N82" s="256">
        <v>321</v>
      </c>
      <c r="O82" s="10"/>
      <c r="P82" s="10"/>
    </row>
    <row r="83" spans="1:16" ht="14.65" customHeight="1" x14ac:dyDescent="0.3">
      <c r="A83">
        <f t="shared" si="1"/>
        <v>82</v>
      </c>
      <c r="B83" t="s">
        <v>770</v>
      </c>
      <c r="C83">
        <v>1</v>
      </c>
      <c r="D83" s="3">
        <v>115</v>
      </c>
      <c r="E83" s="2" t="str">
        <f>VLOOKUP( T_Aop[[#This Row],[Id]], T_Aop[], ID_Jezik +10, 1)</f>
        <v>dio 32</v>
      </c>
      <c r="F83" t="str">
        <f>REPT( "  ", T_Aop[[#This Row],[Aop nivo]]) &amp; VLOOKUP( T_Aop[[#This Row],[Id]], T_Aop[], ID_Jezik + 6, 1)</f>
        <v xml:space="preserve">  V REZERVE (116 do 118)</v>
      </c>
      <c r="G83" s="281" t="s">
        <v>2713</v>
      </c>
      <c r="H83" s="288" t="s">
        <v>2715</v>
      </c>
      <c r="I83" s="291" t="s">
        <v>2716</v>
      </c>
      <c r="J83" s="370" t="s">
        <v>2032</v>
      </c>
      <c r="K83" s="377" t="s">
        <v>97</v>
      </c>
      <c r="L83" s="272" t="s">
        <v>640</v>
      </c>
      <c r="M83" s="293" t="s">
        <v>41</v>
      </c>
      <c r="N83" s="256" t="s">
        <v>2288</v>
      </c>
      <c r="O83" s="10"/>
      <c r="P83" s="10"/>
    </row>
    <row r="84" spans="1:16" ht="14.65" customHeight="1" x14ac:dyDescent="0.3">
      <c r="A84">
        <f t="shared" si="1"/>
        <v>83</v>
      </c>
      <c r="B84" t="s">
        <v>770</v>
      </c>
      <c r="C84">
        <v>2</v>
      </c>
      <c r="D84" s="3">
        <v>116</v>
      </c>
      <c r="E84" s="2">
        <f>VLOOKUP( T_Aop[[#This Row],[Id]], T_Aop[], ID_Jezik +10, 1)</f>
        <v>322</v>
      </c>
      <c r="F84" t="str">
        <f>REPT( "  ", T_Aop[[#This Row],[Aop nivo]]) &amp; VLOOKUP( T_Aop[[#This Row],[Id]], T_Aop[], ID_Jezik + 6, 1)</f>
        <v xml:space="preserve">    1. Zakonske rezerve</v>
      </c>
      <c r="G84" s="288" t="s">
        <v>73</v>
      </c>
      <c r="H84" s="288" t="s">
        <v>501</v>
      </c>
      <c r="I84" s="291" t="s">
        <v>2689</v>
      </c>
      <c r="J84" s="370" t="s">
        <v>2505</v>
      </c>
      <c r="K84" s="376">
        <v>322</v>
      </c>
      <c r="L84" s="275">
        <v>322</v>
      </c>
      <c r="M84" s="293">
        <v>322</v>
      </c>
      <c r="N84" s="256">
        <v>322</v>
      </c>
      <c r="O84" s="10"/>
      <c r="P84" s="10"/>
    </row>
    <row r="85" spans="1:16" ht="14.65" customHeight="1" x14ac:dyDescent="0.3">
      <c r="A85">
        <f t="shared" si="1"/>
        <v>84</v>
      </c>
      <c r="B85" t="s">
        <v>770</v>
      </c>
      <c r="C85">
        <v>2</v>
      </c>
      <c r="D85" s="3">
        <v>117</v>
      </c>
      <c r="E85" s="2">
        <f>VLOOKUP( T_Aop[[#This Row],[Id]], T_Aop[], ID_Jezik +10, 1)</f>
        <v>323</v>
      </c>
      <c r="F85" t="str">
        <f>REPT( "  ", T_Aop[[#This Row],[Aop nivo]]) &amp; VLOOKUP( T_Aop[[#This Row],[Id]], T_Aop[], ID_Jezik + 6, 1)</f>
        <v xml:space="preserve">    2. Statutarne rezerve</v>
      </c>
      <c r="G85" s="288" t="s">
        <v>93</v>
      </c>
      <c r="H85" s="288" t="s">
        <v>502</v>
      </c>
      <c r="I85" s="291" t="s">
        <v>2691</v>
      </c>
      <c r="J85" s="370" t="s">
        <v>2506</v>
      </c>
      <c r="K85" s="376">
        <v>323</v>
      </c>
      <c r="L85" s="275">
        <v>323</v>
      </c>
      <c r="M85" s="293">
        <v>323</v>
      </c>
      <c r="N85" s="256">
        <v>323</v>
      </c>
      <c r="O85" s="10">
        <v>1</v>
      </c>
      <c r="P85" s="10"/>
    </row>
    <row r="86" spans="1:16" ht="14.65" customHeight="1" x14ac:dyDescent="0.3">
      <c r="A86">
        <f t="shared" si="1"/>
        <v>85</v>
      </c>
      <c r="B86" t="s">
        <v>770</v>
      </c>
      <c r="C86">
        <v>2</v>
      </c>
      <c r="D86" s="3">
        <v>118</v>
      </c>
      <c r="E86" s="2">
        <f>VLOOKUP( T_Aop[[#This Row],[Id]], T_Aop[], ID_Jezik +10, 1)</f>
        <v>329</v>
      </c>
      <c r="F86" t="str">
        <f>REPT( "  ", T_Aop[[#This Row],[Aop nivo]]) &amp; VLOOKUP( T_Aop[[#This Row],[Id]], T_Aop[], ID_Jezik + 6, 1)</f>
        <v xml:space="preserve">    3. Ostale rezerve</v>
      </c>
      <c r="G86" s="288" t="s">
        <v>503</v>
      </c>
      <c r="H86" s="288" t="s">
        <v>504</v>
      </c>
      <c r="I86" s="291" t="s">
        <v>2690</v>
      </c>
      <c r="J86" s="370" t="s">
        <v>2507</v>
      </c>
      <c r="K86" s="376">
        <v>329</v>
      </c>
      <c r="L86" s="275">
        <v>329</v>
      </c>
      <c r="M86" s="293">
        <v>329</v>
      </c>
      <c r="N86" s="256">
        <v>329</v>
      </c>
      <c r="O86" s="10">
        <v>1</v>
      </c>
      <c r="P86" s="10"/>
    </row>
    <row r="87" spans="1:16" ht="14.65" customHeight="1" x14ac:dyDescent="0.3">
      <c r="A87">
        <f t="shared" si="1"/>
        <v>86</v>
      </c>
      <c r="B87" t="s">
        <v>770</v>
      </c>
      <c r="C87">
        <v>1</v>
      </c>
      <c r="D87" s="3">
        <v>119</v>
      </c>
      <c r="E87" s="2" t="str">
        <f>VLOOKUP( T_Aop[[#This Row],[Id]], T_Aop[], ID_Jezik +10, 1)</f>
        <v>dio 33</v>
      </c>
      <c r="F87" t="str">
        <f>REPT( "  ", T_Aop[[#This Row],[Aop nivo]]) &amp; VLOOKUP( T_Aop[[#This Row],[Id]], T_Aop[], ID_Jezik + 6, 1)</f>
        <v xml:space="preserve">   VI REVALORIZACIONE REZERVE (120 + 121)</v>
      </c>
      <c r="G87" s="281" t="s">
        <v>1085</v>
      </c>
      <c r="H87" s="288" t="s">
        <v>873</v>
      </c>
      <c r="I87" s="291" t="s">
        <v>2718</v>
      </c>
      <c r="J87" s="370" t="s">
        <v>2033</v>
      </c>
      <c r="K87" s="377" t="s">
        <v>1817</v>
      </c>
      <c r="L87" s="272" t="s">
        <v>915</v>
      </c>
      <c r="M87" s="293" t="s">
        <v>1806</v>
      </c>
      <c r="N87" s="256" t="s">
        <v>2289</v>
      </c>
      <c r="O87" s="10">
        <v>1</v>
      </c>
      <c r="P87" s="10"/>
    </row>
    <row r="88" spans="1:16" ht="14.65" customHeight="1" x14ac:dyDescent="0.3">
      <c r="A88">
        <f t="shared" si="1"/>
        <v>87</v>
      </c>
      <c r="B88" t="s">
        <v>770</v>
      </c>
      <c r="C88">
        <v>2</v>
      </c>
      <c r="D88" s="3">
        <v>120</v>
      </c>
      <c r="E88" s="2">
        <f>VLOOKUP( T_Aop[[#This Row],[Id]], T_Aop[], ID_Jezik +10, 1)</f>
        <v>330</v>
      </c>
      <c r="F88" t="str">
        <f>REPT( "  ", T_Aop[[#This Row],[Aop nivo]]) &amp; VLOOKUP( T_Aop[[#This Row],[Id]], T_Aop[], ID_Jezik + 6, 1)</f>
        <v xml:space="preserve">    1. Revalorizacione rezerve za nekretnine, postrojenja, opremu i nematerijalna sredstva</v>
      </c>
      <c r="G88" s="288" t="s">
        <v>1086</v>
      </c>
      <c r="H88" s="288" t="s">
        <v>874</v>
      </c>
      <c r="I88" s="291" t="s">
        <v>1759</v>
      </c>
      <c r="J88" s="370" t="s">
        <v>2034</v>
      </c>
      <c r="K88" s="377">
        <v>330</v>
      </c>
      <c r="L88" s="272">
        <v>330</v>
      </c>
      <c r="M88" s="293">
        <v>330</v>
      </c>
      <c r="N88" s="256">
        <v>330</v>
      </c>
      <c r="O88" s="10">
        <v>1</v>
      </c>
      <c r="P88" s="10"/>
    </row>
    <row r="89" spans="1:16" ht="14.65" customHeight="1" x14ac:dyDescent="0.3">
      <c r="A89">
        <f t="shared" si="1"/>
        <v>88</v>
      </c>
      <c r="B89" t="s">
        <v>770</v>
      </c>
      <c r="C89">
        <v>2</v>
      </c>
      <c r="D89" s="3">
        <v>121</v>
      </c>
      <c r="E89" s="2" t="str">
        <f>VLOOKUP( T_Aop[[#This Row],[Id]], T_Aop[], ID_Jezik +10, 1)</f>
        <v>331 i 334</v>
      </c>
      <c r="F89" t="str">
        <f>REPT( "  ", T_Aop[[#This Row],[Aop nivo]]) &amp; VLOOKUP( T_Aop[[#This Row],[Id]], T_Aop[], ID_Jezik + 6, 1)</f>
        <v xml:space="preserve">    2. Ostale revalorizacione rezerve</v>
      </c>
      <c r="G89" s="288" t="s">
        <v>1087</v>
      </c>
      <c r="H89" s="288" t="s">
        <v>875</v>
      </c>
      <c r="I89" s="291" t="s">
        <v>1760</v>
      </c>
      <c r="J89" s="370" t="s">
        <v>2035</v>
      </c>
      <c r="K89" s="377" t="s">
        <v>1826</v>
      </c>
      <c r="L89" s="272" t="s">
        <v>916</v>
      </c>
      <c r="M89" s="293" t="s">
        <v>1807</v>
      </c>
      <c r="N89" s="256" t="s">
        <v>916</v>
      </c>
      <c r="O89" s="10"/>
      <c r="P89" s="10"/>
    </row>
    <row r="90" spans="1:16" ht="14.65" customHeight="1" x14ac:dyDescent="0.3">
      <c r="A90">
        <f t="shared" si="1"/>
        <v>89</v>
      </c>
      <c r="B90" t="s">
        <v>770</v>
      </c>
      <c r="C90">
        <v>1</v>
      </c>
      <c r="D90" s="3">
        <v>122</v>
      </c>
      <c r="E90" s="2">
        <f>VLOOKUP( T_Aop[[#This Row],[Id]], T_Aop[], ID_Jezik +10, 1)</f>
        <v>332</v>
      </c>
      <c r="F90" t="str">
        <f>REPT( "  ", T_Aop[[#This Row],[Aop nivo]]) &amp; VLOOKUP( T_Aop[[#This Row],[Id]], T_Aop[], ID_Jezik + 6, 1)</f>
        <v xml:space="preserve">  VII POZITIVNI EFEKTI VREDNOVANJA FINANSIJSKIH SREDSTAVA KOJA SE VREDNUJU PO FER VRIJEDNOSTI KROZ OSTALI UKUPNI REZULTAT</v>
      </c>
      <c r="G90" s="281" t="s">
        <v>2693</v>
      </c>
      <c r="H90" s="288" t="s">
        <v>2692</v>
      </c>
      <c r="I90" s="291" t="s">
        <v>1761</v>
      </c>
      <c r="J90" s="370" t="s">
        <v>2036</v>
      </c>
      <c r="K90" s="377">
        <v>332</v>
      </c>
      <c r="L90" s="272">
        <v>332</v>
      </c>
      <c r="M90" s="273">
        <v>332</v>
      </c>
      <c r="N90" s="256">
        <v>332</v>
      </c>
      <c r="O90" s="10"/>
      <c r="P90" s="10"/>
    </row>
    <row r="91" spans="1:16" ht="14.65" customHeight="1" x14ac:dyDescent="0.3">
      <c r="A91">
        <f t="shared" si="1"/>
        <v>90</v>
      </c>
      <c r="B91" t="s">
        <v>770</v>
      </c>
      <c r="C91">
        <v>1</v>
      </c>
      <c r="D91" s="3">
        <v>123</v>
      </c>
      <c r="E91" s="2">
        <f>VLOOKUP( T_Aop[[#This Row],[Id]], T_Aop[], ID_Jezik +10, 1)</f>
        <v>333</v>
      </c>
      <c r="F91" t="str">
        <f>REPT( "  ", T_Aop[[#This Row],[Aop nivo]]) &amp; VLOOKUP( T_Aop[[#This Row],[Id]], T_Aop[], ID_Jezik + 6, 1)</f>
        <v xml:space="preserve">  VIII NEGATIVNI EFEKTI VREDNOVANJA FINANSIJSKIH SREDSTAVA KOJA SE VREDNUJU PO FER VRIJEDNOSTI KROZ OSTALI UKUPNI REZULTAT</v>
      </c>
      <c r="G91" s="281" t="s">
        <v>1649</v>
      </c>
      <c r="H91" s="288" t="s">
        <v>876</v>
      </c>
      <c r="I91" s="291" t="s">
        <v>1762</v>
      </c>
      <c r="J91" s="370" t="s">
        <v>2037</v>
      </c>
      <c r="K91" s="375">
        <v>333</v>
      </c>
      <c r="L91" s="271">
        <v>333</v>
      </c>
      <c r="M91" s="274">
        <v>333</v>
      </c>
      <c r="N91" s="256">
        <v>333</v>
      </c>
      <c r="O91" s="10"/>
      <c r="P91" s="10"/>
    </row>
    <row r="92" spans="1:16" ht="14.65" customHeight="1" x14ac:dyDescent="0.3">
      <c r="A92">
        <f t="shared" si="1"/>
        <v>91</v>
      </c>
      <c r="B92" t="s">
        <v>770</v>
      </c>
      <c r="C92">
        <v>1</v>
      </c>
      <c r="D92" s="3">
        <v>124</v>
      </c>
      <c r="E92" s="2">
        <f>VLOOKUP( T_Aop[[#This Row],[Id]], T_Aop[], ID_Jezik +10, 1)</f>
        <v>34</v>
      </c>
      <c r="F92" t="str">
        <f>REPT( "  ", T_Aop[[#This Row],[Aop nivo]]) &amp; VLOOKUP( T_Aop[[#This Row],[Id]], T_Aop[], ID_Jezik + 6, 1)</f>
        <v xml:space="preserve">  IX  NERASPOREĐENA DOBIT (125 do 127)</v>
      </c>
      <c r="G92" s="288" t="s">
        <v>2712</v>
      </c>
      <c r="H92" s="288" t="s">
        <v>2720</v>
      </c>
      <c r="I92" s="291" t="s">
        <v>2717</v>
      </c>
      <c r="J92" s="370" t="s">
        <v>2038</v>
      </c>
      <c r="K92" s="377">
        <v>34</v>
      </c>
      <c r="L92" s="272">
        <v>34</v>
      </c>
      <c r="M92" s="273">
        <v>34</v>
      </c>
      <c r="N92" s="256">
        <v>34</v>
      </c>
      <c r="O92" s="10"/>
      <c r="P92" s="10"/>
    </row>
    <row r="93" spans="1:16" ht="14.65" customHeight="1" x14ac:dyDescent="0.3">
      <c r="A93">
        <f t="shared" si="1"/>
        <v>92</v>
      </c>
      <c r="B93" t="s">
        <v>770</v>
      </c>
      <c r="C93">
        <v>2</v>
      </c>
      <c r="D93" s="3">
        <v>125</v>
      </c>
      <c r="E93" s="2" t="str">
        <f>VLOOKUP( T_Aop[[#This Row],[Id]], T_Aop[], ID_Jezik +10, 1)</f>
        <v>340 ili 342</v>
      </c>
      <c r="F93" t="str">
        <f>REPT( "  ", T_Aop[[#This Row],[Aop nivo]]) &amp; VLOOKUP( T_Aop[[#This Row],[Id]], T_Aop[], ID_Jezik + 6, 1)</f>
        <v xml:space="preserve">    1. Neraspoređena dobit ranijih godina / Neraspoređeni višak prihoda nad rashodima ranijih godina</v>
      </c>
      <c r="G93" s="288" t="s">
        <v>1088</v>
      </c>
      <c r="H93" s="288" t="s">
        <v>877</v>
      </c>
      <c r="I93" s="291" t="s">
        <v>1763</v>
      </c>
      <c r="J93" s="370" t="s">
        <v>2039</v>
      </c>
      <c r="K93" s="376" t="s">
        <v>728</v>
      </c>
      <c r="L93" s="275" t="s">
        <v>1818</v>
      </c>
      <c r="M93" s="293" t="s">
        <v>729</v>
      </c>
      <c r="N93" s="256" t="s">
        <v>1818</v>
      </c>
      <c r="O93" s="10"/>
      <c r="P93" s="10"/>
    </row>
    <row r="94" spans="1:16" ht="14.65" customHeight="1" x14ac:dyDescent="0.3">
      <c r="A94">
        <f t="shared" si="1"/>
        <v>93</v>
      </c>
      <c r="B94" t="s">
        <v>770</v>
      </c>
      <c r="C94">
        <v>2</v>
      </c>
      <c r="D94" s="3">
        <v>126</v>
      </c>
      <c r="E94" s="2" t="str">
        <f>VLOOKUP( T_Aop[[#This Row],[Id]], T_Aop[], ID_Jezik +10, 1)</f>
        <v>341 ili 343</v>
      </c>
      <c r="F94" t="str">
        <f>REPT( "  ", T_Aop[[#This Row],[Aop nivo]]) &amp; VLOOKUP( T_Aop[[#This Row],[Id]], T_Aop[], ID_Jezik + 6, 1)</f>
        <v xml:space="preserve">    2. Neraspoređena dobit tekuće godine / Neraspoređeni višak prihoda nad rashodima tekuće godine</v>
      </c>
      <c r="G94" s="288" t="s">
        <v>2734</v>
      </c>
      <c r="H94" s="288" t="s">
        <v>2735</v>
      </c>
      <c r="I94" s="291" t="s">
        <v>1764</v>
      </c>
      <c r="J94" s="370" t="s">
        <v>2508</v>
      </c>
      <c r="K94" s="376" t="s">
        <v>730</v>
      </c>
      <c r="L94" s="275" t="s">
        <v>1819</v>
      </c>
      <c r="M94" s="293" t="s">
        <v>731</v>
      </c>
      <c r="N94" s="256" t="s">
        <v>1819</v>
      </c>
      <c r="O94" s="10"/>
      <c r="P94" s="10"/>
    </row>
    <row r="95" spans="1:16" ht="14.65" customHeight="1" x14ac:dyDescent="0.3">
      <c r="A95">
        <f t="shared" si="1"/>
        <v>94</v>
      </c>
      <c r="B95" t="s">
        <v>770</v>
      </c>
      <c r="C95">
        <v>2</v>
      </c>
      <c r="D95" s="3">
        <v>127</v>
      </c>
      <c r="E95" s="2">
        <f>VLOOKUP( T_Aop[[#This Row],[Id]], T_Aop[], ID_Jezik +10, 1)</f>
        <v>344</v>
      </c>
      <c r="F95" t="str">
        <f>REPT( "  ", T_Aop[[#This Row],[Aop nivo]]) &amp; VLOOKUP( T_Aop[[#This Row],[Id]], T_Aop[], ID_Jezik + 6, 1)</f>
        <v xml:space="preserve">    3. Neto prihod od samostalne djelatnosti</v>
      </c>
      <c r="G95" s="288" t="s">
        <v>726</v>
      </c>
      <c r="H95" s="288" t="s">
        <v>727</v>
      </c>
      <c r="I95" s="291" t="s">
        <v>1765</v>
      </c>
      <c r="J95" s="370" t="s">
        <v>2040</v>
      </c>
      <c r="K95" s="376">
        <v>344</v>
      </c>
      <c r="L95" s="275">
        <v>344</v>
      </c>
      <c r="M95" s="293">
        <v>344</v>
      </c>
      <c r="N95" s="256">
        <v>344</v>
      </c>
      <c r="O95" s="10">
        <v>1</v>
      </c>
      <c r="P95" s="10"/>
    </row>
    <row r="96" spans="1:16" ht="14.65" customHeight="1" x14ac:dyDescent="0.3">
      <c r="A96">
        <f t="shared" si="1"/>
        <v>95</v>
      </c>
      <c r="B96" t="s">
        <v>770</v>
      </c>
      <c r="C96">
        <v>1</v>
      </c>
      <c r="D96" s="3">
        <v>128</v>
      </c>
      <c r="E96" s="2" t="str">
        <f>VLOOKUP( T_Aop[[#This Row],[Id]], T_Aop[], ID_Jezik +10, 1)</f>
        <v>35</v>
      </c>
      <c r="F96" t="str">
        <f>REPT( "  ", T_Aop[[#This Row],[Aop nivo]]) &amp; VLOOKUP( T_Aop[[#This Row],[Id]], T_Aop[], ID_Jezik + 6, 1)</f>
        <v xml:space="preserve">  X GUBITAK (129 + 130)  </v>
      </c>
      <c r="G96" s="288" t="s">
        <v>2723</v>
      </c>
      <c r="H96" s="288" t="s">
        <v>2721</v>
      </c>
      <c r="I96" s="291" t="s">
        <v>2722</v>
      </c>
      <c r="J96" s="370" t="s">
        <v>2041</v>
      </c>
      <c r="K96" s="377" t="s">
        <v>757</v>
      </c>
      <c r="L96" s="272" t="s">
        <v>757</v>
      </c>
      <c r="M96" s="293" t="s">
        <v>757</v>
      </c>
      <c r="N96" s="256">
        <v>35</v>
      </c>
      <c r="O96" s="10"/>
      <c r="P96" s="10"/>
    </row>
    <row r="97" spans="1:16" ht="14.65" customHeight="1" x14ac:dyDescent="0.3">
      <c r="A97">
        <f t="shared" si="1"/>
        <v>96</v>
      </c>
      <c r="B97" t="s">
        <v>770</v>
      </c>
      <c r="C97">
        <v>2</v>
      </c>
      <c r="D97" s="3">
        <v>129</v>
      </c>
      <c r="E97" s="2" t="str">
        <f>VLOOKUP( T_Aop[[#This Row],[Id]], T_Aop[], ID_Jezik +10, 1)</f>
        <v>350 ili 352</v>
      </c>
      <c r="F97" t="str">
        <f>REPT( "  ", T_Aop[[#This Row],[Aop nivo]]) &amp; VLOOKUP( T_Aop[[#This Row],[Id]], T_Aop[], ID_Jezik + 6, 1)</f>
        <v xml:space="preserve">    1. Gubitak ranijih godina / Višak rashoda nad prihodima ranijih godina</v>
      </c>
      <c r="G97" s="288" t="s">
        <v>1089</v>
      </c>
      <c r="H97" s="288" t="s">
        <v>878</v>
      </c>
      <c r="I97" s="291" t="s">
        <v>1766</v>
      </c>
      <c r="J97" s="370" t="s">
        <v>2042</v>
      </c>
      <c r="K97" s="376" t="s">
        <v>1827</v>
      </c>
      <c r="L97" s="275" t="s">
        <v>917</v>
      </c>
      <c r="M97" s="293" t="s">
        <v>1808</v>
      </c>
      <c r="N97" s="256" t="s">
        <v>917</v>
      </c>
      <c r="O97" s="10"/>
      <c r="P97" s="10"/>
    </row>
    <row r="98" spans="1:16" ht="14.65" customHeight="1" x14ac:dyDescent="0.3">
      <c r="A98">
        <f t="shared" si="1"/>
        <v>97</v>
      </c>
      <c r="B98" t="s">
        <v>770</v>
      </c>
      <c r="C98">
        <v>2</v>
      </c>
      <c r="D98" s="3">
        <v>130</v>
      </c>
      <c r="E98" s="2" t="str">
        <f>VLOOKUP( T_Aop[[#This Row],[Id]], T_Aop[], ID_Jezik +10, 1)</f>
        <v>351 ili 353</v>
      </c>
      <c r="F98" t="str">
        <f>REPT( "  ", T_Aop[[#This Row],[Aop nivo]]) &amp; VLOOKUP( T_Aop[[#This Row],[Id]], T_Aop[], ID_Jezik + 6, 1)</f>
        <v xml:space="preserve">    2. Gubitak tekuće godine / Višak rashoda nad prihodima tekuće godine</v>
      </c>
      <c r="G98" s="288" t="s">
        <v>1090</v>
      </c>
      <c r="H98" s="288" t="s">
        <v>879</v>
      </c>
      <c r="I98" s="291" t="s">
        <v>1767</v>
      </c>
      <c r="J98" s="370" t="s">
        <v>2043</v>
      </c>
      <c r="K98" s="376" t="s">
        <v>1828</v>
      </c>
      <c r="L98" s="275" t="s">
        <v>918</v>
      </c>
      <c r="M98" s="293" t="s">
        <v>1809</v>
      </c>
      <c r="N98" s="256" t="s">
        <v>918</v>
      </c>
      <c r="O98" s="10"/>
      <c r="P98" s="10"/>
    </row>
    <row r="99" spans="1:16" ht="14.65" customHeight="1" x14ac:dyDescent="0.3">
      <c r="A99">
        <f t="shared" si="1"/>
        <v>98</v>
      </c>
      <c r="B99" t="s">
        <v>770</v>
      </c>
      <c r="C99">
        <v>1</v>
      </c>
      <c r="D99" s="3">
        <v>131</v>
      </c>
      <c r="E99" s="2" t="str">
        <f>VLOOKUP( T_Aop[[#This Row],[Id]], T_Aop[], ID_Jezik +10, 1)</f>
        <v xml:space="preserve"> </v>
      </c>
      <c r="F99" t="str">
        <f>REPT( "  ", T_Aop[[#This Row],[Aop nivo]]) &amp; VLOOKUP( T_Aop[[#This Row],[Id]], T_Aop[], ID_Jezik + 6, 1)</f>
        <v xml:space="preserve">  XI UČEŠĆA BEZ PRAVA KONTROLE</v>
      </c>
      <c r="G99" s="281" t="s">
        <v>1091</v>
      </c>
      <c r="H99" s="288" t="s">
        <v>880</v>
      </c>
      <c r="I99" s="291" t="s">
        <v>1768</v>
      </c>
      <c r="J99" s="370" t="s">
        <v>2044</v>
      </c>
      <c r="K99" s="377" t="s">
        <v>786</v>
      </c>
      <c r="L99" s="272" t="s">
        <v>786</v>
      </c>
      <c r="M99" s="293" t="s">
        <v>786</v>
      </c>
      <c r="N99" s="256"/>
      <c r="O99" s="10"/>
      <c r="P99" s="10"/>
    </row>
    <row r="100" spans="1:16" ht="14.65" customHeight="1" x14ac:dyDescent="0.3">
      <c r="A100">
        <f t="shared" si="1"/>
        <v>99</v>
      </c>
      <c r="B100" t="s">
        <v>770</v>
      </c>
      <c r="C100">
        <v>1</v>
      </c>
      <c r="D100" s="3">
        <v>132</v>
      </c>
      <c r="E100" s="2" t="str">
        <f>VLOOKUP( T_Aop[[#This Row],[Id]], T_Aop[], ID_Jezik +10, 1)</f>
        <v xml:space="preserve"> </v>
      </c>
      <c r="F100" t="str">
        <f>REPT( "  ", T_Aop[[#This Row],[Aop nivo]]) &amp; VLOOKUP( T_Aop[[#This Row],[Id]], T_Aop[], ID_Jezik + 6, 1)</f>
        <v xml:space="preserve">  B. DUGOROČNA REZERVISANJA I DUGOROČNE OBAVEZE (133 + 137 + 145)</v>
      </c>
      <c r="G100" s="281" t="s">
        <v>1645</v>
      </c>
      <c r="H100" s="288" t="s">
        <v>881</v>
      </c>
      <c r="I100" s="291" t="s">
        <v>1769</v>
      </c>
      <c r="J100" s="370" t="s">
        <v>2045</v>
      </c>
      <c r="K100" s="376" t="s">
        <v>786</v>
      </c>
      <c r="L100" s="275" t="s">
        <v>786</v>
      </c>
      <c r="M100" s="293" t="s">
        <v>786</v>
      </c>
      <c r="N100" s="256"/>
      <c r="O100" s="10"/>
      <c r="P100" s="10"/>
    </row>
    <row r="101" spans="1:16" ht="14.65" customHeight="1" x14ac:dyDescent="0.3">
      <c r="A101">
        <f t="shared" si="1"/>
        <v>100</v>
      </c>
      <c r="B101" t="s">
        <v>770</v>
      </c>
      <c r="C101">
        <v>1</v>
      </c>
      <c r="D101" s="3">
        <v>133</v>
      </c>
      <c r="E101" s="2" t="str">
        <f>VLOOKUP( T_Aop[[#This Row],[Id]], T_Aop[], ID_Jezik +10, 1)</f>
        <v>dio 40</v>
      </c>
      <c r="F101" t="str">
        <f>REPT( "  ", T_Aop[[#This Row],[Aop nivo]]) &amp; VLOOKUP( T_Aop[[#This Row],[Id]], T_Aop[], ID_Jezik + 6, 1)</f>
        <v xml:space="preserve">  I DUGOROČNA REZERVISANJA (134 do 136)</v>
      </c>
      <c r="G101" s="281" t="s">
        <v>1646</v>
      </c>
      <c r="H101" s="288" t="s">
        <v>882</v>
      </c>
      <c r="I101" s="291" t="s">
        <v>1770</v>
      </c>
      <c r="J101" s="370" t="s">
        <v>2509</v>
      </c>
      <c r="K101" s="376" t="s">
        <v>1820</v>
      </c>
      <c r="L101" s="275" t="s">
        <v>919</v>
      </c>
      <c r="M101" s="293" t="s">
        <v>1810</v>
      </c>
      <c r="N101" s="256" t="s">
        <v>2290</v>
      </c>
      <c r="O101" s="10"/>
      <c r="P101" s="10"/>
    </row>
    <row r="102" spans="1:16" ht="14.65" customHeight="1" x14ac:dyDescent="0.3">
      <c r="A102">
        <f t="shared" si="1"/>
        <v>101</v>
      </c>
      <c r="B102" t="s">
        <v>770</v>
      </c>
      <c r="C102">
        <v>2</v>
      </c>
      <c r="D102" s="3">
        <v>134</v>
      </c>
      <c r="E102" s="2">
        <f>VLOOKUP( T_Aop[[#This Row],[Id]], T_Aop[], ID_Jezik +10, 1)</f>
        <v>400</v>
      </c>
      <c r="F102" t="str">
        <f>REPT( "  ", T_Aop[[#This Row],[Aop nivo]]) &amp; VLOOKUP( T_Aop[[#This Row],[Id]], T_Aop[], ID_Jezik + 6, 1)</f>
        <v xml:space="preserve">    1. Rezervisanja za troškove u garantnom roku</v>
      </c>
      <c r="G102" s="288" t="s">
        <v>94</v>
      </c>
      <c r="H102" s="288" t="s">
        <v>505</v>
      </c>
      <c r="I102" s="291" t="s">
        <v>1771</v>
      </c>
      <c r="J102" s="370" t="s">
        <v>2046</v>
      </c>
      <c r="K102" s="376">
        <v>400</v>
      </c>
      <c r="L102" s="275">
        <v>400</v>
      </c>
      <c r="M102" s="293">
        <v>400</v>
      </c>
      <c r="N102" s="256">
        <v>400</v>
      </c>
      <c r="O102" s="10"/>
      <c r="P102" s="10"/>
    </row>
    <row r="103" spans="1:16" ht="14.65" customHeight="1" x14ac:dyDescent="0.3">
      <c r="A103">
        <f t="shared" si="1"/>
        <v>102</v>
      </c>
      <c r="B103" t="s">
        <v>770</v>
      </c>
      <c r="C103">
        <v>2</v>
      </c>
      <c r="D103" s="3">
        <v>135</v>
      </c>
      <c r="E103" s="2">
        <f>VLOOKUP( T_Aop[[#This Row],[Id]], T_Aop[], ID_Jezik +10, 1)</f>
        <v>404</v>
      </c>
      <c r="F103" t="str">
        <f>REPT( "  ", T_Aop[[#This Row],[Aop nivo]]) &amp; VLOOKUP( T_Aop[[#This Row],[Id]], T_Aop[], ID_Jezik + 6, 1)</f>
        <v xml:space="preserve">    2. Rezervisanja za naknade i beneficije zaposlenih</v>
      </c>
      <c r="G103" s="288" t="s">
        <v>1092</v>
      </c>
      <c r="H103" s="288" t="s">
        <v>883</v>
      </c>
      <c r="I103" s="291" t="s">
        <v>1772</v>
      </c>
      <c r="J103" s="370" t="s">
        <v>2047</v>
      </c>
      <c r="K103" s="376">
        <v>404</v>
      </c>
      <c r="L103" s="275">
        <v>404</v>
      </c>
      <c r="M103" s="293">
        <v>404</v>
      </c>
      <c r="N103" s="256">
        <v>404</v>
      </c>
      <c r="O103" s="10"/>
      <c r="P103" s="10"/>
    </row>
    <row r="104" spans="1:16" ht="14.65" customHeight="1" x14ac:dyDescent="0.3">
      <c r="A104">
        <f t="shared" si="1"/>
        <v>103</v>
      </c>
      <c r="B104" t="s">
        <v>770</v>
      </c>
      <c r="C104">
        <v>2</v>
      </c>
      <c r="D104" s="3">
        <v>136</v>
      </c>
      <c r="E104" s="2" t="str">
        <f>VLOOKUP( T_Aop[[#This Row],[Id]], T_Aop[], ID_Jezik +10, 1)</f>
        <v>401, 402, 403, dio 409</v>
      </c>
      <c r="F104" t="str">
        <f>REPT( "  ", T_Aop[[#This Row],[Aop nivo]]) &amp; VLOOKUP( T_Aop[[#This Row],[Id]], T_Aop[], ID_Jezik + 6, 1)</f>
        <v xml:space="preserve">    3. Ostala dugoročna rezervisanja</v>
      </c>
      <c r="G104" s="288" t="s">
        <v>1093</v>
      </c>
      <c r="H104" s="288" t="s">
        <v>884</v>
      </c>
      <c r="I104" s="291" t="s">
        <v>1773</v>
      </c>
      <c r="J104" s="370" t="s">
        <v>2048</v>
      </c>
      <c r="K104" s="376" t="s">
        <v>1821</v>
      </c>
      <c r="L104" s="275" t="s">
        <v>920</v>
      </c>
      <c r="M104" s="293" t="s">
        <v>1811</v>
      </c>
      <c r="N104" s="256" t="s">
        <v>2291</v>
      </c>
      <c r="O104" s="10">
        <v>1</v>
      </c>
      <c r="P104" s="10"/>
    </row>
    <row r="105" spans="1:16" ht="14.65" customHeight="1" x14ac:dyDescent="0.3">
      <c r="A105">
        <f t="shared" si="1"/>
        <v>104</v>
      </c>
      <c r="B105" t="s">
        <v>770</v>
      </c>
      <c r="C105">
        <v>1</v>
      </c>
      <c r="D105" s="3">
        <v>137</v>
      </c>
      <c r="E105" s="2" t="str">
        <f>VLOOKUP( T_Aop[[#This Row],[Id]], T_Aop[], ID_Jezik +10, 1)</f>
        <v xml:space="preserve"> </v>
      </c>
      <c r="F105" t="str">
        <f>REPT( "  ", T_Aop[[#This Row],[Aop nivo]]) &amp; VLOOKUP( T_Aop[[#This Row],[Id]], T_Aop[], ID_Jezik + 6, 1)</f>
        <v xml:space="preserve">  II DUGOROČNE OBAVEZE (138 do 144)</v>
      </c>
      <c r="G105" s="288" t="s">
        <v>1094</v>
      </c>
      <c r="H105" s="288" t="s">
        <v>885</v>
      </c>
      <c r="I105" s="291" t="s">
        <v>1774</v>
      </c>
      <c r="J105" s="370" t="s">
        <v>2510</v>
      </c>
      <c r="K105" s="376" t="s">
        <v>786</v>
      </c>
      <c r="L105" s="275" t="s">
        <v>786</v>
      </c>
      <c r="M105" s="293" t="s">
        <v>786</v>
      </c>
      <c r="N105" s="256"/>
      <c r="O105" s="10">
        <v>1</v>
      </c>
      <c r="P105" s="10"/>
    </row>
    <row r="106" spans="1:16" ht="14.65" customHeight="1" x14ac:dyDescent="0.3">
      <c r="A106">
        <f t="shared" si="1"/>
        <v>105</v>
      </c>
      <c r="B106" t="s">
        <v>770</v>
      </c>
      <c r="C106">
        <v>2</v>
      </c>
      <c r="D106" s="3">
        <v>138</v>
      </c>
      <c r="E106" s="2">
        <f>VLOOKUP( T_Aop[[#This Row],[Id]], T_Aop[], ID_Jezik +10, 1)</f>
        <v>411</v>
      </c>
      <c r="F106" t="str">
        <f>REPT( "  ", T_Aop[[#This Row],[Aop nivo]]) &amp; VLOOKUP( T_Aop[[#This Row],[Id]], T_Aop[], ID_Jezik + 6, 1)</f>
        <v xml:space="preserve">    1. Obaveze prema povezanim pravnim licima</v>
      </c>
      <c r="G106" s="288" t="s">
        <v>1095</v>
      </c>
      <c r="H106" s="288" t="s">
        <v>886</v>
      </c>
      <c r="I106" s="291" t="s">
        <v>1775</v>
      </c>
      <c r="J106" s="370" t="s">
        <v>2830</v>
      </c>
      <c r="K106" s="376">
        <v>411</v>
      </c>
      <c r="L106" s="275">
        <v>411</v>
      </c>
      <c r="M106" s="293">
        <v>411</v>
      </c>
      <c r="N106" s="256">
        <v>411</v>
      </c>
      <c r="O106" s="10"/>
      <c r="P106" s="10"/>
    </row>
    <row r="107" spans="1:16" ht="14.65" customHeight="1" x14ac:dyDescent="0.3">
      <c r="A107">
        <f t="shared" si="1"/>
        <v>106</v>
      </c>
      <c r="B107" t="s">
        <v>770</v>
      </c>
      <c r="C107">
        <v>2</v>
      </c>
      <c r="D107" s="3">
        <v>139</v>
      </c>
      <c r="E107" s="2">
        <f>VLOOKUP( T_Aop[[#This Row],[Id]], T_Aop[], ID_Jezik +10, 1)</f>
        <v>413</v>
      </c>
      <c r="F107" t="str">
        <f>REPT( "  ", T_Aop[[#This Row],[Aop nivo]]) &amp; VLOOKUP( T_Aop[[#This Row],[Id]], T_Aop[], ID_Jezik + 6, 1)</f>
        <v xml:space="preserve">    2. Dugoročni krediti u zemlji</v>
      </c>
      <c r="G107" s="288" t="s">
        <v>1096</v>
      </c>
      <c r="H107" s="288" t="s">
        <v>887</v>
      </c>
      <c r="I107" s="291" t="s">
        <v>1776</v>
      </c>
      <c r="J107" s="370" t="s">
        <v>2831</v>
      </c>
      <c r="K107" s="376">
        <v>413</v>
      </c>
      <c r="L107" s="275">
        <v>413</v>
      </c>
      <c r="M107" s="293">
        <v>413</v>
      </c>
      <c r="N107" s="256">
        <v>413</v>
      </c>
      <c r="O107" s="10"/>
      <c r="P107" s="10"/>
    </row>
    <row r="108" spans="1:16" ht="14.65" customHeight="1" x14ac:dyDescent="0.3">
      <c r="A108">
        <f t="shared" si="1"/>
        <v>107</v>
      </c>
      <c r="B108" t="s">
        <v>770</v>
      </c>
      <c r="C108">
        <v>2</v>
      </c>
      <c r="D108" s="3">
        <v>140</v>
      </c>
      <c r="E108" s="2">
        <f>VLOOKUP( T_Aop[[#This Row],[Id]], T_Aop[], ID_Jezik +10, 1)</f>
        <v>414</v>
      </c>
      <c r="F108" t="str">
        <f>REPT( "  ", T_Aop[[#This Row],[Aop nivo]]) &amp; VLOOKUP( T_Aop[[#This Row],[Id]], T_Aop[], ID_Jezik + 6, 1)</f>
        <v xml:space="preserve">    3. Dugoročni krediti u inostranstvu</v>
      </c>
      <c r="G108" s="288" t="s">
        <v>1097</v>
      </c>
      <c r="H108" s="288" t="s">
        <v>888</v>
      </c>
      <c r="I108" s="291" t="s">
        <v>1777</v>
      </c>
      <c r="J108" s="370" t="s">
        <v>2832</v>
      </c>
      <c r="K108" s="376">
        <v>414</v>
      </c>
      <c r="L108" s="275">
        <v>414</v>
      </c>
      <c r="M108" s="293">
        <v>414</v>
      </c>
      <c r="N108" s="256">
        <v>414</v>
      </c>
      <c r="O108" s="10"/>
      <c r="P108" s="10"/>
    </row>
    <row r="109" spans="1:16" ht="14.65" customHeight="1" x14ac:dyDescent="0.3">
      <c r="A109">
        <f t="shared" si="1"/>
        <v>108</v>
      </c>
      <c r="B109" t="s">
        <v>770</v>
      </c>
      <c r="C109">
        <v>2</v>
      </c>
      <c r="D109" s="3">
        <v>141</v>
      </c>
      <c r="E109" s="2">
        <f>VLOOKUP( T_Aop[[#This Row],[Id]], T_Aop[], ID_Jezik +10, 1)</f>
        <v>412</v>
      </c>
      <c r="F109" t="str">
        <f>REPT( "  ", T_Aop[[#This Row],[Aop nivo]]) &amp; VLOOKUP( T_Aop[[#This Row],[Id]], T_Aop[], ID_Jezik + 6, 1)</f>
        <v xml:space="preserve">    4. Obaveze po emitovanim dužničkim instrumentima</v>
      </c>
      <c r="G109" s="288" t="s">
        <v>1098</v>
      </c>
      <c r="H109" s="288" t="s">
        <v>889</v>
      </c>
      <c r="I109" s="291" t="s">
        <v>1778</v>
      </c>
      <c r="J109" s="370" t="s">
        <v>2833</v>
      </c>
      <c r="K109" s="376">
        <v>412</v>
      </c>
      <c r="L109" s="275">
        <v>412</v>
      </c>
      <c r="M109" s="293">
        <v>412</v>
      </c>
      <c r="N109" s="256">
        <v>412</v>
      </c>
      <c r="O109" s="10"/>
      <c r="P109" s="10"/>
    </row>
    <row r="110" spans="1:16" ht="14.65" customHeight="1" x14ac:dyDescent="0.3">
      <c r="A110">
        <f t="shared" si="1"/>
        <v>109</v>
      </c>
      <c r="B110" t="s">
        <v>770</v>
      </c>
      <c r="C110">
        <v>2</v>
      </c>
      <c r="D110">
        <v>142</v>
      </c>
      <c r="E110" s="2" t="str">
        <f>VLOOKUP( T_Aop[[#This Row],[Id]], T_Aop[], ID_Jezik +10, 1)</f>
        <v>415, 416</v>
      </c>
      <c r="F110" t="str">
        <f>REPT( "  ", T_Aop[[#This Row],[Aop nivo]]) &amp; VLOOKUP( T_Aop[[#This Row],[Id]], T_Aop[], ID_Jezik + 6, 1)</f>
        <v xml:space="preserve">    5. Dugoročne obaveze po lizingu</v>
      </c>
      <c r="G110" s="288" t="s">
        <v>1099</v>
      </c>
      <c r="H110" s="288" t="s">
        <v>890</v>
      </c>
      <c r="I110" s="291" t="s">
        <v>1779</v>
      </c>
      <c r="J110" s="370" t="s">
        <v>2834</v>
      </c>
      <c r="K110" s="376" t="s">
        <v>641</v>
      </c>
      <c r="L110" s="275" t="s">
        <v>641</v>
      </c>
      <c r="M110" s="293" t="s">
        <v>641</v>
      </c>
      <c r="N110" s="256" t="s">
        <v>641</v>
      </c>
      <c r="O110" s="10"/>
      <c r="P110" s="10"/>
    </row>
    <row r="111" spans="1:16" ht="14.65" customHeight="1" x14ac:dyDescent="0.3">
      <c r="A111">
        <f t="shared" si="1"/>
        <v>110</v>
      </c>
      <c r="B111" t="s">
        <v>770</v>
      </c>
      <c r="C111">
        <v>2</v>
      </c>
      <c r="D111" s="3">
        <v>143</v>
      </c>
      <c r="E111" s="2" t="str">
        <f>VLOOKUP( T_Aop[[#This Row],[Id]], T_Aop[], ID_Jezik +10, 1)</f>
        <v>418</v>
      </c>
      <c r="F111" t="str">
        <f>REPT( "  ", T_Aop[[#This Row],[Aop nivo]]) &amp; VLOOKUP( T_Aop[[#This Row],[Id]], T_Aop[], ID_Jezik + 6, 1)</f>
        <v xml:space="preserve">    6. Ostale dugoročne finansijske obaveze po amortizovanoj vrijednosti</v>
      </c>
      <c r="G111" s="288" t="s">
        <v>1100</v>
      </c>
      <c r="H111" s="288" t="s">
        <v>891</v>
      </c>
      <c r="I111" s="291" t="s">
        <v>1780</v>
      </c>
      <c r="J111" s="370" t="s">
        <v>2835</v>
      </c>
      <c r="K111" s="376" t="s">
        <v>1829</v>
      </c>
      <c r="L111" s="275">
        <v>418</v>
      </c>
      <c r="M111" s="293">
        <v>418</v>
      </c>
      <c r="N111" s="256">
        <v>418</v>
      </c>
      <c r="O111" s="10"/>
      <c r="P111" s="10"/>
    </row>
    <row r="112" spans="1:16" ht="14.65" customHeight="1" x14ac:dyDescent="0.3">
      <c r="A112">
        <f t="shared" si="1"/>
        <v>111</v>
      </c>
      <c r="B112" t="s">
        <v>770</v>
      </c>
      <c r="C112">
        <v>2</v>
      </c>
      <c r="D112" s="3">
        <v>144</v>
      </c>
      <c r="E112" s="2" t="str">
        <f>VLOOKUP( T_Aop[[#This Row],[Id]], T_Aop[], ID_Jezik +10, 1)</f>
        <v>dio 409, 410, 419</v>
      </c>
      <c r="F112" t="str">
        <f>REPT( "  ", T_Aop[[#This Row],[Aop nivo]]) &amp; VLOOKUP( T_Aop[[#This Row],[Id]], T_Aop[], ID_Jezik + 6, 1)</f>
        <v xml:space="preserve">    7. Ostale dugoročne obaveze, uključujući razgraničenja</v>
      </c>
      <c r="G112" s="288" t="s">
        <v>1101</v>
      </c>
      <c r="H112" s="288" t="s">
        <v>892</v>
      </c>
      <c r="I112" s="291" t="s">
        <v>2776</v>
      </c>
      <c r="J112" s="370" t="s">
        <v>2777</v>
      </c>
      <c r="K112" s="376" t="s">
        <v>1822</v>
      </c>
      <c r="L112" s="275" t="s">
        <v>921</v>
      </c>
      <c r="M112" s="293" t="s">
        <v>1812</v>
      </c>
      <c r="N112" s="256" t="s">
        <v>2292</v>
      </c>
      <c r="O112" s="10"/>
      <c r="P112" s="10"/>
    </row>
    <row r="113" spans="1:16" ht="14.65" customHeight="1" x14ac:dyDescent="0.3">
      <c r="A113">
        <f t="shared" si="1"/>
        <v>112</v>
      </c>
      <c r="B113" t="s">
        <v>770</v>
      </c>
      <c r="C113">
        <v>1</v>
      </c>
      <c r="D113" s="3">
        <v>145</v>
      </c>
      <c r="E113" s="2">
        <f>VLOOKUP( T_Aop[[#This Row],[Id]], T_Aop[], ID_Jezik +10, 1)</f>
        <v>408</v>
      </c>
      <c r="F113" t="str">
        <f>REPT( "  ", T_Aop[[#This Row],[Aop nivo]]) &amp; VLOOKUP( T_Aop[[#This Row],[Id]], T_Aop[], ID_Jezik + 6, 1)</f>
        <v xml:space="preserve">  III RAZGRANIČENI PRIHODI I PRIMLJENE DONACIJE</v>
      </c>
      <c r="G113" s="281" t="s">
        <v>1648</v>
      </c>
      <c r="H113" s="288" t="s">
        <v>893</v>
      </c>
      <c r="I113" s="291" t="s">
        <v>1781</v>
      </c>
      <c r="J113" s="370" t="s">
        <v>2049</v>
      </c>
      <c r="K113" s="377">
        <v>408</v>
      </c>
      <c r="L113" s="272">
        <v>408</v>
      </c>
      <c r="M113" s="293">
        <v>408</v>
      </c>
      <c r="N113" s="256">
        <v>408</v>
      </c>
      <c r="O113" s="10">
        <v>1</v>
      </c>
      <c r="P113" s="10"/>
    </row>
    <row r="114" spans="1:16" ht="14.65" customHeight="1" x14ac:dyDescent="0.3">
      <c r="A114">
        <f t="shared" si="1"/>
        <v>113</v>
      </c>
      <c r="B114" t="s">
        <v>770</v>
      </c>
      <c r="C114">
        <v>1</v>
      </c>
      <c r="D114" s="3">
        <v>146</v>
      </c>
      <c r="E114" s="2">
        <f>VLOOKUP( T_Aop[[#This Row],[Id]], T_Aop[], ID_Jezik +10, 1)</f>
        <v>407</v>
      </c>
      <c r="F114" t="str">
        <f>REPT( "  ", T_Aop[[#This Row],[Aop nivo]]) &amp; VLOOKUP( T_Aop[[#This Row],[Id]], T_Aop[], ID_Jezik + 6, 1)</f>
        <v xml:space="preserve">  V. ODLOŽENE PORESKE OBAVEZE </v>
      </c>
      <c r="G114" s="281" t="s">
        <v>1102</v>
      </c>
      <c r="H114" s="288" t="s">
        <v>894</v>
      </c>
      <c r="I114" s="291" t="s">
        <v>1782</v>
      </c>
      <c r="J114" s="370" t="s">
        <v>2050</v>
      </c>
      <c r="K114" s="378">
        <v>407</v>
      </c>
      <c r="L114" s="276">
        <v>407</v>
      </c>
      <c r="M114" s="294">
        <v>407</v>
      </c>
      <c r="N114" s="293">
        <v>407</v>
      </c>
      <c r="O114" s="10"/>
      <c r="P114" s="10"/>
    </row>
    <row r="115" spans="1:16" ht="14.65" customHeight="1" x14ac:dyDescent="0.3">
      <c r="A115">
        <f t="shared" si="1"/>
        <v>114</v>
      </c>
      <c r="B115" t="s">
        <v>770</v>
      </c>
      <c r="C115">
        <v>1</v>
      </c>
      <c r="D115" s="3">
        <v>147</v>
      </c>
      <c r="E115" s="2" t="str">
        <f>VLOOKUP( T_Aop[[#This Row],[Id]], T_Aop[], ID_Jezik +10, 1)</f>
        <v>42 do 49</v>
      </c>
      <c r="F115" t="str">
        <f>REPT( "  ", T_Aop[[#This Row],[Aop nivo]]) &amp; VLOOKUP( T_Aop[[#This Row],[Id]], T_Aop[], ID_Jezik + 6, 1)</f>
        <v xml:space="preserve">   G. KRATKOROČNE OBAVEZE I KRATKOROČNA REZERVISANJA(148 + 155 + 161 + 162 + 163 + 164 + 165 + 166 + 167 + 168)</v>
      </c>
      <c r="G115" s="281" t="s">
        <v>1647</v>
      </c>
      <c r="H115" s="288" t="s">
        <v>895</v>
      </c>
      <c r="I115" s="291" t="s">
        <v>1783</v>
      </c>
      <c r="J115" s="370" t="s">
        <v>2051</v>
      </c>
      <c r="K115" s="376" t="s">
        <v>642</v>
      </c>
      <c r="L115" s="275" t="s">
        <v>643</v>
      </c>
      <c r="M115" s="293" t="s">
        <v>644</v>
      </c>
      <c r="N115" s="293" t="s">
        <v>643</v>
      </c>
      <c r="O115" s="10"/>
      <c r="P115" s="10"/>
    </row>
    <row r="116" spans="1:16" ht="14.65" customHeight="1" x14ac:dyDescent="0.3">
      <c r="A116">
        <f t="shared" si="1"/>
        <v>115</v>
      </c>
      <c r="B116" t="s">
        <v>770</v>
      </c>
      <c r="C116">
        <v>2</v>
      </c>
      <c r="D116" s="3">
        <v>148</v>
      </c>
      <c r="E116" s="2">
        <f>VLOOKUP( T_Aop[[#This Row],[Id]], T_Aop[], ID_Jezik +10, 1)</f>
        <v>42</v>
      </c>
      <c r="F116" t="str">
        <f>REPT( "  ", T_Aop[[#This Row],[Aop nivo]]) &amp; VLOOKUP( T_Aop[[#This Row],[Id]], T_Aop[], ID_Jezik + 6, 1)</f>
        <v xml:space="preserve">    1. Kratkoročne finansijske obaveze (149 do 154)</v>
      </c>
      <c r="G116" s="288" t="s">
        <v>1103</v>
      </c>
      <c r="H116" s="288" t="s">
        <v>896</v>
      </c>
      <c r="I116" s="291" t="s">
        <v>1784</v>
      </c>
      <c r="J116" s="370" t="s">
        <v>2052</v>
      </c>
      <c r="K116" s="376">
        <v>42</v>
      </c>
      <c r="L116" s="275">
        <v>42</v>
      </c>
      <c r="M116" s="293">
        <v>42</v>
      </c>
      <c r="N116" s="293">
        <v>42</v>
      </c>
      <c r="O116" s="10"/>
      <c r="P116" s="10"/>
    </row>
    <row r="117" spans="1:16" ht="14.65" customHeight="1" x14ac:dyDescent="0.3">
      <c r="A117">
        <f t="shared" si="1"/>
        <v>116</v>
      </c>
      <c r="B117" t="s">
        <v>770</v>
      </c>
      <c r="C117">
        <v>3</v>
      </c>
      <c r="D117" s="3">
        <v>149</v>
      </c>
      <c r="E117" s="2">
        <f>VLOOKUP( T_Aop[[#This Row],[Id]], T_Aop[], ID_Jezik +10, 1)</f>
        <v>420</v>
      </c>
      <c r="F117" t="str">
        <f>REPT( "  ", T_Aop[[#This Row],[Aop nivo]]) &amp; VLOOKUP( T_Aop[[#This Row],[Id]], T_Aop[], ID_Jezik + 6, 1)</f>
        <v xml:space="preserve">      1.1. Kratkoročne finansijske obaveze prema povezanim pravnim licima</v>
      </c>
      <c r="G117" s="288" t="s">
        <v>1104</v>
      </c>
      <c r="H117" s="288" t="s">
        <v>897</v>
      </c>
      <c r="I117" s="291" t="s">
        <v>1785</v>
      </c>
      <c r="J117" s="370" t="s">
        <v>2823</v>
      </c>
      <c r="K117" s="376">
        <v>420</v>
      </c>
      <c r="L117" s="275">
        <v>420</v>
      </c>
      <c r="M117" s="293">
        <v>420</v>
      </c>
      <c r="N117" s="293">
        <v>420</v>
      </c>
      <c r="O117" s="10"/>
      <c r="P117" s="10"/>
    </row>
    <row r="118" spans="1:16" ht="14.65" customHeight="1" x14ac:dyDescent="0.3">
      <c r="A118">
        <f t="shared" si="1"/>
        <v>117</v>
      </c>
      <c r="B118" t="s">
        <v>770</v>
      </c>
      <c r="C118">
        <v>3</v>
      </c>
      <c r="D118" s="3">
        <v>150</v>
      </c>
      <c r="E118" s="2" t="str">
        <f>VLOOKUP( T_Aop[[#This Row],[Id]], T_Aop[], ID_Jezik +10, 1)</f>
        <v>421 do 424</v>
      </c>
      <c r="F118" t="str">
        <f>REPT( "  ", T_Aop[[#This Row],[Aop nivo]]) &amp; VLOOKUP( T_Aop[[#This Row],[Id]], T_Aop[], ID_Jezik + 6, 1)</f>
        <v xml:space="preserve">      1.2. Kratkoročni krediti i obaveze po emitovanim kratkoročnim hartijama od vrijednosti</v>
      </c>
      <c r="G118" s="288" t="s">
        <v>1105</v>
      </c>
      <c r="H118" s="288" t="s">
        <v>898</v>
      </c>
      <c r="I118" s="291" t="s">
        <v>1786</v>
      </c>
      <c r="J118" s="370" t="s">
        <v>2824</v>
      </c>
      <c r="K118" s="376" t="s">
        <v>1823</v>
      </c>
      <c r="L118" s="275" t="s">
        <v>922</v>
      </c>
      <c r="M118" s="293" t="s">
        <v>1813</v>
      </c>
      <c r="N118" s="293" t="s">
        <v>922</v>
      </c>
      <c r="O118" s="10"/>
      <c r="P118" s="10"/>
    </row>
    <row r="119" spans="1:16" ht="14.65" customHeight="1" x14ac:dyDescent="0.3">
      <c r="A119">
        <f t="shared" si="1"/>
        <v>118</v>
      </c>
      <c r="B119" t="s">
        <v>770</v>
      </c>
      <c r="C119">
        <v>3</v>
      </c>
      <c r="D119" s="3">
        <v>151</v>
      </c>
      <c r="E119" s="2" t="str">
        <f>VLOOKUP( T_Aop[[#This Row],[Id]], T_Aop[], ID_Jezik +10, 1)</f>
        <v>425 i 426</v>
      </c>
      <c r="F119" t="str">
        <f>REPT( "  ", T_Aop[[#This Row],[Aop nivo]]) &amp; VLOOKUP( T_Aop[[#This Row],[Id]], T_Aop[], ID_Jezik + 6, 1)</f>
        <v xml:space="preserve">      1.3. Kratkoročne obaveze po lizingu</v>
      </c>
      <c r="G119" s="288" t="s">
        <v>1106</v>
      </c>
      <c r="H119" s="288" t="s">
        <v>899</v>
      </c>
      <c r="I119" s="291" t="s">
        <v>1787</v>
      </c>
      <c r="J119" s="370" t="s">
        <v>2822</v>
      </c>
      <c r="K119" s="376" t="s">
        <v>1824</v>
      </c>
      <c r="L119" s="275" t="s">
        <v>923</v>
      </c>
      <c r="M119" s="293" t="s">
        <v>1814</v>
      </c>
      <c r="N119" s="293" t="s">
        <v>923</v>
      </c>
      <c r="O119" s="10"/>
      <c r="P119" s="10"/>
    </row>
    <row r="120" spans="1:16" ht="14.65" customHeight="1" x14ac:dyDescent="0.3">
      <c r="A120">
        <f t="shared" si="1"/>
        <v>119</v>
      </c>
      <c r="B120" t="s">
        <v>770</v>
      </c>
      <c r="C120">
        <v>3</v>
      </c>
      <c r="D120" s="3">
        <v>152</v>
      </c>
      <c r="E120" s="2">
        <f>VLOOKUP( T_Aop[[#This Row],[Id]], T_Aop[], ID_Jezik +10, 1)</f>
        <v>427</v>
      </c>
      <c r="F120" t="str">
        <f>REPT( "  ", T_Aop[[#This Row],[Aop nivo]]) &amp; VLOOKUP( T_Aop[[#This Row],[Id]], T_Aop[], ID_Jezik + 6, 1)</f>
        <v xml:space="preserve">      1.4. Kratkoročne obaveze po fer vrijednosti kroz bilans uspjeha</v>
      </c>
      <c r="G120" s="288" t="s">
        <v>1107</v>
      </c>
      <c r="H120" s="288" t="s">
        <v>900</v>
      </c>
      <c r="I120" s="291" t="s">
        <v>1788</v>
      </c>
      <c r="J120" s="370" t="s">
        <v>2819</v>
      </c>
      <c r="K120" s="376">
        <v>427</v>
      </c>
      <c r="L120" s="275">
        <v>427</v>
      </c>
      <c r="M120" s="293">
        <v>427</v>
      </c>
      <c r="N120" s="293">
        <v>427</v>
      </c>
      <c r="O120" s="10"/>
      <c r="P120" s="10"/>
    </row>
    <row r="121" spans="1:16" ht="14.65" customHeight="1" x14ac:dyDescent="0.3">
      <c r="A121">
        <f t="shared" si="1"/>
        <v>120</v>
      </c>
      <c r="B121" t="s">
        <v>770</v>
      </c>
      <c r="C121">
        <v>3</v>
      </c>
      <c r="D121" s="3">
        <v>153</v>
      </c>
      <c r="E121" s="2">
        <f>VLOOKUP( T_Aop[[#This Row],[Id]], T_Aop[], ID_Jezik +10, 1)</f>
        <v>428</v>
      </c>
      <c r="F121" t="str">
        <f>REPT( "  ", T_Aop[[#This Row],[Aop nivo]]) &amp; VLOOKUP( T_Aop[[#This Row],[Id]], T_Aop[], ID_Jezik + 6, 1)</f>
        <v xml:space="preserve">      1.5. Derivatne finansijske obaveze</v>
      </c>
      <c r="G121" s="288" t="s">
        <v>1108</v>
      </c>
      <c r="H121" s="288" t="s">
        <v>901</v>
      </c>
      <c r="I121" s="291" t="s">
        <v>1789</v>
      </c>
      <c r="J121" s="370" t="s">
        <v>2820</v>
      </c>
      <c r="K121" s="376">
        <v>428</v>
      </c>
      <c r="L121" s="275">
        <v>428</v>
      </c>
      <c r="M121" s="293">
        <v>428</v>
      </c>
      <c r="N121" s="293">
        <v>428</v>
      </c>
      <c r="O121" s="10"/>
      <c r="P121" s="10"/>
    </row>
    <row r="122" spans="1:16" ht="14.65" customHeight="1" x14ac:dyDescent="0.3">
      <c r="A122">
        <f t="shared" si="1"/>
        <v>121</v>
      </c>
      <c r="B122" t="s">
        <v>770</v>
      </c>
      <c r="C122">
        <v>3</v>
      </c>
      <c r="D122" s="3">
        <v>154</v>
      </c>
      <c r="E122" s="2">
        <f>VLOOKUP( T_Aop[[#This Row],[Id]], T_Aop[], ID_Jezik +10, 1)</f>
        <v>429</v>
      </c>
      <c r="F122" t="str">
        <f>REPT( "  ", T_Aop[[#This Row],[Aop nivo]]) &amp; VLOOKUP( T_Aop[[#This Row],[Id]], T_Aop[], ID_Jezik + 6, 1)</f>
        <v xml:space="preserve">      1.6. Ostale obaveze po amortizovanoj vrijednosti</v>
      </c>
      <c r="G122" s="288" t="s">
        <v>1109</v>
      </c>
      <c r="H122" s="288" t="s">
        <v>902</v>
      </c>
      <c r="I122" s="291" t="s">
        <v>1790</v>
      </c>
      <c r="J122" s="370" t="s">
        <v>2821</v>
      </c>
      <c r="K122" s="376">
        <v>429</v>
      </c>
      <c r="L122" s="275">
        <v>429</v>
      </c>
      <c r="M122" s="293">
        <v>429</v>
      </c>
      <c r="N122" s="293">
        <v>429</v>
      </c>
      <c r="O122" s="10"/>
      <c r="P122" s="10"/>
    </row>
    <row r="123" spans="1:16" ht="13.9" customHeight="1" x14ac:dyDescent="0.3">
      <c r="A123">
        <f t="shared" si="1"/>
        <v>122</v>
      </c>
      <c r="B123" t="s">
        <v>770</v>
      </c>
      <c r="C123">
        <v>2</v>
      </c>
      <c r="D123" s="3">
        <v>155</v>
      </c>
      <c r="E123" s="2">
        <f>VLOOKUP( T_Aop[[#This Row],[Id]], T_Aop[], ID_Jezik +10, 1)</f>
        <v>43</v>
      </c>
      <c r="F123" t="str">
        <f>REPT( "  ", T_Aop[[#This Row],[Aop nivo]]) &amp; VLOOKUP( T_Aop[[#This Row],[Id]], T_Aop[], ID_Jezik + 6, 1)</f>
        <v xml:space="preserve">    2. Obaveze iz poslovanja (156 do 160)</v>
      </c>
      <c r="G123" s="288" t="s">
        <v>1110</v>
      </c>
      <c r="H123" s="288" t="s">
        <v>903</v>
      </c>
      <c r="I123" s="291" t="s">
        <v>1791</v>
      </c>
      <c r="J123" s="370" t="s">
        <v>2053</v>
      </c>
      <c r="K123" s="376">
        <v>43</v>
      </c>
      <c r="L123" s="275">
        <v>43</v>
      </c>
      <c r="M123" s="293">
        <v>43</v>
      </c>
      <c r="N123" s="293">
        <v>43</v>
      </c>
      <c r="O123" s="10"/>
      <c r="P123" s="10"/>
    </row>
    <row r="124" spans="1:16" ht="13.9" customHeight="1" x14ac:dyDescent="0.3">
      <c r="A124">
        <f t="shared" si="1"/>
        <v>123</v>
      </c>
      <c r="B124" t="s">
        <v>770</v>
      </c>
      <c r="C124">
        <v>3</v>
      </c>
      <c r="D124" s="3">
        <v>156</v>
      </c>
      <c r="E124" s="2" t="str">
        <f>VLOOKUP( T_Aop[[#This Row],[Id]], T_Aop[], ID_Jezik +10, 1)</f>
        <v>430 i 436</v>
      </c>
      <c r="F124" t="str">
        <f>REPT( "  ", T_Aop[[#This Row],[Aop nivo]]) &amp; VLOOKUP( T_Aop[[#This Row],[Id]], T_Aop[], ID_Jezik + 6, 1)</f>
        <v xml:space="preserve">      2.1. Primljeni avansi, depoziti i kaucije</v>
      </c>
      <c r="G124" s="288" t="s">
        <v>1111</v>
      </c>
      <c r="H124" s="288" t="s">
        <v>904</v>
      </c>
      <c r="I124" s="291" t="s">
        <v>1792</v>
      </c>
      <c r="J124" s="370" t="s">
        <v>2829</v>
      </c>
      <c r="K124" s="376" t="s">
        <v>1830</v>
      </c>
      <c r="L124" s="275" t="s">
        <v>924</v>
      </c>
      <c r="M124" s="293" t="s">
        <v>1815</v>
      </c>
      <c r="N124" s="293" t="s">
        <v>924</v>
      </c>
      <c r="O124" s="10"/>
      <c r="P124" s="10"/>
    </row>
    <row r="125" spans="1:16" ht="13.9" customHeight="1" x14ac:dyDescent="0.3">
      <c r="A125">
        <f t="shared" si="1"/>
        <v>124</v>
      </c>
      <c r="B125" t="s">
        <v>770</v>
      </c>
      <c r="C125">
        <v>3</v>
      </c>
      <c r="D125" s="3">
        <v>157</v>
      </c>
      <c r="E125" s="2">
        <f>VLOOKUP( T_Aop[[#This Row],[Id]], T_Aop[], ID_Jezik +10, 1)</f>
        <v>431</v>
      </c>
      <c r="F125" t="str">
        <f>REPT( "  ", T_Aop[[#This Row],[Aop nivo]]) &amp; VLOOKUP( T_Aop[[#This Row],[Id]], T_Aop[], ID_Jezik + 6, 1)</f>
        <v xml:space="preserve">      2.2. Dobavljači – povezana pravna lica</v>
      </c>
      <c r="G125" s="288" t="s">
        <v>1112</v>
      </c>
      <c r="H125" s="288" t="s">
        <v>905</v>
      </c>
      <c r="I125" s="291" t="s">
        <v>1793</v>
      </c>
      <c r="J125" s="370" t="s">
        <v>2828</v>
      </c>
      <c r="K125" s="376">
        <v>431</v>
      </c>
      <c r="L125" s="275">
        <v>431</v>
      </c>
      <c r="M125" s="293">
        <v>431</v>
      </c>
      <c r="N125" s="293">
        <v>431</v>
      </c>
      <c r="O125" s="10"/>
      <c r="P125" s="10"/>
    </row>
    <row r="126" spans="1:16" ht="13.9" customHeight="1" x14ac:dyDescent="0.3">
      <c r="A126">
        <f t="shared" si="1"/>
        <v>125</v>
      </c>
      <c r="B126" t="s">
        <v>770</v>
      </c>
      <c r="C126">
        <v>3</v>
      </c>
      <c r="D126" s="3">
        <v>158</v>
      </c>
      <c r="E126" s="2" t="str">
        <f>VLOOKUP( T_Aop[[#This Row],[Id]], T_Aop[], ID_Jezik +10, 1)</f>
        <v>432, 433, 434</v>
      </c>
      <c r="F126" t="str">
        <f>REPT( "  ", T_Aop[[#This Row],[Aop nivo]]) &amp; VLOOKUP( T_Aop[[#This Row],[Id]], T_Aop[], ID_Jezik + 6, 1)</f>
        <v xml:space="preserve">      2.3. Dobavljači u zemlji</v>
      </c>
      <c r="G126" s="288" t="s">
        <v>1113</v>
      </c>
      <c r="H126" s="288" t="s">
        <v>906</v>
      </c>
      <c r="I126" s="291" t="s">
        <v>1794</v>
      </c>
      <c r="J126" s="370" t="s">
        <v>2827</v>
      </c>
      <c r="K126" s="376" t="s">
        <v>645</v>
      </c>
      <c r="L126" s="275" t="s">
        <v>645</v>
      </c>
      <c r="M126" s="293" t="s">
        <v>645</v>
      </c>
      <c r="N126" s="293" t="s">
        <v>645</v>
      </c>
      <c r="O126" s="10"/>
      <c r="P126" s="10"/>
    </row>
    <row r="127" spans="1:16" ht="13.9" customHeight="1" x14ac:dyDescent="0.3">
      <c r="A127">
        <f t="shared" si="1"/>
        <v>126</v>
      </c>
      <c r="B127" t="s">
        <v>770</v>
      </c>
      <c r="C127">
        <v>3</v>
      </c>
      <c r="D127" s="3">
        <v>159</v>
      </c>
      <c r="E127" s="2">
        <f>VLOOKUP( T_Aop[[#This Row],[Id]], T_Aop[], ID_Jezik +10, 1)</f>
        <v>435</v>
      </c>
      <c r="F127" t="str">
        <f>REPT( "  ", T_Aop[[#This Row],[Aop nivo]]) &amp; VLOOKUP( T_Aop[[#This Row],[Id]], T_Aop[], ID_Jezik + 6, 1)</f>
        <v xml:space="preserve">      2.4. Dobavljači iz inostranstva</v>
      </c>
      <c r="G127" s="288" t="s">
        <v>1114</v>
      </c>
      <c r="H127" s="288" t="s">
        <v>907</v>
      </c>
      <c r="I127" s="291" t="s">
        <v>1795</v>
      </c>
      <c r="J127" s="370" t="s">
        <v>2826</v>
      </c>
      <c r="K127" s="376">
        <v>435</v>
      </c>
      <c r="L127" s="275">
        <v>435</v>
      </c>
      <c r="M127" s="293">
        <v>435</v>
      </c>
      <c r="N127" s="293">
        <v>435</v>
      </c>
      <c r="O127" s="10"/>
      <c r="P127" s="10"/>
    </row>
    <row r="128" spans="1:16" ht="13.9" customHeight="1" x14ac:dyDescent="0.3">
      <c r="A128">
        <f t="shared" si="1"/>
        <v>127</v>
      </c>
      <c r="B128" t="s">
        <v>770</v>
      </c>
      <c r="C128">
        <v>3</v>
      </c>
      <c r="D128" s="3">
        <v>160</v>
      </c>
      <c r="E128" s="2" t="str">
        <f>VLOOKUP( T_Aop[[#This Row],[Id]], T_Aop[], ID_Jezik +10, 1)</f>
        <v>437, 439</v>
      </c>
      <c r="F128" t="str">
        <f>REPT( "  ", T_Aop[[#This Row],[Aop nivo]]) &amp; VLOOKUP( T_Aop[[#This Row],[Id]], T_Aop[], ID_Jezik + 6, 1)</f>
        <v xml:space="preserve">      2.5. Ostale obaveze iz poslovanja</v>
      </c>
      <c r="G128" s="288" t="s">
        <v>1115</v>
      </c>
      <c r="H128" s="288" t="s">
        <v>908</v>
      </c>
      <c r="I128" s="291" t="s">
        <v>1796</v>
      </c>
      <c r="J128" s="370" t="s">
        <v>2825</v>
      </c>
      <c r="K128" s="376" t="s">
        <v>925</v>
      </c>
      <c r="L128" s="275" t="s">
        <v>925</v>
      </c>
      <c r="M128" s="293" t="s">
        <v>925</v>
      </c>
      <c r="N128" s="293" t="s">
        <v>2293</v>
      </c>
      <c r="O128" s="10"/>
      <c r="P128" s="10"/>
    </row>
    <row r="129" spans="1:16" ht="13.9" customHeight="1" x14ac:dyDescent="0.3">
      <c r="A129">
        <f t="shared" si="1"/>
        <v>128</v>
      </c>
      <c r="B129" t="s">
        <v>770</v>
      </c>
      <c r="C129">
        <v>2</v>
      </c>
      <c r="D129" s="3">
        <v>161</v>
      </c>
      <c r="E129" s="2" t="str">
        <f>VLOOKUP( T_Aop[[#This Row],[Id]], T_Aop[], ID_Jezik +10, 1)</f>
        <v>440 do 449</v>
      </c>
      <c r="F129" t="str">
        <f>REPT( "  ", T_Aop[[#This Row],[Aop nivo]]) &amp; VLOOKUP( T_Aop[[#This Row],[Id]], T_Aop[], ID_Jezik + 6, 1)</f>
        <v xml:space="preserve">    3. Obaveze iz specifičnih poslova</v>
      </c>
      <c r="G129" s="288" t="s">
        <v>0</v>
      </c>
      <c r="H129" s="288" t="s">
        <v>506</v>
      </c>
      <c r="I129" s="291" t="s">
        <v>1797</v>
      </c>
      <c r="J129" s="370" t="s">
        <v>2054</v>
      </c>
      <c r="K129" s="376" t="s">
        <v>98</v>
      </c>
      <c r="L129" s="275" t="s">
        <v>646</v>
      </c>
      <c r="M129" s="293" t="s">
        <v>10</v>
      </c>
      <c r="N129" s="293" t="s">
        <v>646</v>
      </c>
      <c r="O129" s="10"/>
      <c r="P129" s="10"/>
    </row>
    <row r="130" spans="1:16" ht="13.9" customHeight="1" x14ac:dyDescent="0.3">
      <c r="A130">
        <f t="shared" ref="A130:A193" si="2">ROW()-ROW($A$1)</f>
        <v>129</v>
      </c>
      <c r="B130" t="s">
        <v>770</v>
      </c>
      <c r="C130">
        <v>2</v>
      </c>
      <c r="D130">
        <v>162</v>
      </c>
      <c r="E130" s="2" t="str">
        <f>VLOOKUP( T_Aop[[#This Row],[Id]], T_Aop[], ID_Jezik +10, 1)</f>
        <v>450 do 458</v>
      </c>
      <c r="F130" t="str">
        <f>REPT( "  ", T_Aop[[#This Row],[Aop nivo]]) &amp; VLOOKUP( T_Aop[[#This Row],[Id]], T_Aop[], ID_Jezik + 6, 1)</f>
        <v xml:space="preserve">    4. Obaveze za plate i naknade plata</v>
      </c>
      <c r="G130" s="288" t="s">
        <v>2204</v>
      </c>
      <c r="H130" s="288" t="s">
        <v>2205</v>
      </c>
      <c r="I130" s="291" t="s">
        <v>1798</v>
      </c>
      <c r="J130" s="370" t="s">
        <v>2055</v>
      </c>
      <c r="K130" s="376" t="s">
        <v>99</v>
      </c>
      <c r="L130" s="275" t="s">
        <v>647</v>
      </c>
      <c r="M130" s="293" t="s">
        <v>11</v>
      </c>
      <c r="N130" s="293" t="s">
        <v>647</v>
      </c>
      <c r="O130" s="10"/>
      <c r="P130" s="10"/>
    </row>
    <row r="131" spans="1:16" ht="13.9" customHeight="1" x14ac:dyDescent="0.3">
      <c r="A131">
        <f t="shared" si="2"/>
        <v>130</v>
      </c>
      <c r="B131" t="s">
        <v>770</v>
      </c>
      <c r="C131">
        <v>2</v>
      </c>
      <c r="D131" s="3">
        <v>163</v>
      </c>
      <c r="E131" s="2" t="str">
        <f>VLOOKUP( T_Aop[[#This Row],[Id]], T_Aop[], ID_Jezik +10, 1)</f>
        <v>460 do 469</v>
      </c>
      <c r="F131" t="str">
        <f>REPT( "  ", T_Aop[[#This Row],[Aop nivo]]) &amp; VLOOKUP( T_Aop[[#This Row],[Id]], T_Aop[], ID_Jezik + 6, 1)</f>
        <v xml:space="preserve">    5. Ostale obaveze</v>
      </c>
      <c r="G131" s="288" t="s">
        <v>1116</v>
      </c>
      <c r="H131" s="288" t="s">
        <v>909</v>
      </c>
      <c r="I131" s="291" t="s">
        <v>1799</v>
      </c>
      <c r="J131" s="370" t="s">
        <v>2056</v>
      </c>
      <c r="K131" s="376" t="s">
        <v>2889</v>
      </c>
      <c r="L131" s="275" t="s">
        <v>2294</v>
      </c>
      <c r="M131" s="293" t="s">
        <v>2890</v>
      </c>
      <c r="N131" s="293" t="s">
        <v>2294</v>
      </c>
      <c r="O131" s="10"/>
      <c r="P131" s="10"/>
    </row>
    <row r="132" spans="1:16" ht="13.9" customHeight="1" x14ac:dyDescent="0.3">
      <c r="A132">
        <f t="shared" si="2"/>
        <v>131</v>
      </c>
      <c r="B132" t="s">
        <v>770</v>
      </c>
      <c r="C132">
        <v>2</v>
      </c>
      <c r="D132" s="3">
        <v>164</v>
      </c>
      <c r="E132" s="2" t="str">
        <f>VLOOKUP( T_Aop[[#This Row],[Id]], T_Aop[], ID_Jezik +10, 1)</f>
        <v>470 do 479</v>
      </c>
      <c r="F132" t="str">
        <f>REPT( "  ", T_Aop[[#This Row],[Aop nivo]]) &amp; VLOOKUP( T_Aop[[#This Row],[Id]], T_Aop[], ID_Jezik + 6, 1)</f>
        <v xml:space="preserve">    6. Porez na dodatu vrijednost</v>
      </c>
      <c r="G132" s="288" t="s">
        <v>95</v>
      </c>
      <c r="H132" s="288" t="s">
        <v>507</v>
      </c>
      <c r="I132" s="291" t="s">
        <v>1800</v>
      </c>
      <c r="J132" s="370" t="s">
        <v>2057</v>
      </c>
      <c r="K132" s="376" t="s">
        <v>100</v>
      </c>
      <c r="L132" s="275" t="s">
        <v>648</v>
      </c>
      <c r="M132" s="293" t="s">
        <v>12</v>
      </c>
      <c r="N132" s="293" t="s">
        <v>648</v>
      </c>
      <c r="O132" s="10"/>
      <c r="P132" s="10"/>
    </row>
    <row r="133" spans="1:16" ht="13.9" customHeight="1" x14ac:dyDescent="0.3">
      <c r="A133">
        <f t="shared" si="2"/>
        <v>132</v>
      </c>
      <c r="B133" t="s">
        <v>770</v>
      </c>
      <c r="C133">
        <v>2</v>
      </c>
      <c r="D133" s="3">
        <v>165</v>
      </c>
      <c r="E133" s="2" t="str">
        <f>VLOOKUP( T_Aop[[#This Row],[Id]], T_Aop[], ID_Jezik +10, 1)</f>
        <v>48, osim 481</v>
      </c>
      <c r="F133" t="str">
        <f>REPT( "  ", T_Aop[[#This Row],[Aop nivo]]) &amp; VLOOKUP( T_Aop[[#This Row],[Id]], T_Aop[], ID_Jezik + 6, 1)</f>
        <v xml:space="preserve">    7. Obaveze za ostale poreze, doprinose i druge dažbine</v>
      </c>
      <c r="G133" s="288" t="s">
        <v>96</v>
      </c>
      <c r="H133" s="288" t="s">
        <v>508</v>
      </c>
      <c r="I133" s="291" t="s">
        <v>1801</v>
      </c>
      <c r="J133" s="370" t="s">
        <v>2058</v>
      </c>
      <c r="K133" s="376" t="s">
        <v>649</v>
      </c>
      <c r="L133" s="275" t="s">
        <v>650</v>
      </c>
      <c r="M133" s="293" t="s">
        <v>651</v>
      </c>
      <c r="N133" s="293" t="s">
        <v>2295</v>
      </c>
      <c r="O133" s="10">
        <v>1</v>
      </c>
      <c r="P133" s="10"/>
    </row>
    <row r="134" spans="1:16" s="355" customFormat="1" ht="13.9" customHeight="1" x14ac:dyDescent="0.3">
      <c r="A134" s="339">
        <f t="shared" si="2"/>
        <v>133</v>
      </c>
      <c r="B134" s="339" t="s">
        <v>770</v>
      </c>
      <c r="C134" s="339">
        <v>2</v>
      </c>
      <c r="D134" s="340">
        <v>166</v>
      </c>
      <c r="E134" s="341">
        <f>VLOOKUP( T_Aop[[#This Row],[Id]], T_Aop[], ID_Jezik +10, 1)</f>
        <v>481</v>
      </c>
      <c r="F134" s="339" t="str">
        <f>REPT( "  ", T_Aop[[#This Row],[Aop nivo]]) &amp; VLOOKUP( T_Aop[[#This Row],[Id]], T_Aop[], ID_Jezik + 6, 1)</f>
        <v xml:space="preserve">    8. Obaveze za porez na dobit</v>
      </c>
      <c r="G134" s="312" t="s">
        <v>1117</v>
      </c>
      <c r="H134" s="312" t="s">
        <v>910</v>
      </c>
      <c r="I134" s="342" t="s">
        <v>1802</v>
      </c>
      <c r="J134" s="379" t="s">
        <v>2059</v>
      </c>
      <c r="K134" s="376">
        <v>481</v>
      </c>
      <c r="L134" s="275">
        <v>481</v>
      </c>
      <c r="M134" s="293">
        <v>481</v>
      </c>
      <c r="N134" s="293">
        <v>481</v>
      </c>
      <c r="O134" s="344">
        <v>1</v>
      </c>
      <c r="P134" s="344"/>
    </row>
    <row r="135" spans="1:16" ht="13.9" customHeight="1" x14ac:dyDescent="0.3">
      <c r="A135">
        <f t="shared" si="2"/>
        <v>134</v>
      </c>
      <c r="B135" t="s">
        <v>770</v>
      </c>
      <c r="C135">
        <v>2</v>
      </c>
      <c r="D135" s="340">
        <v>167</v>
      </c>
      <c r="E135" s="341" t="str">
        <f>VLOOKUP( T_Aop[[#This Row],[Id]], T_Aop[], ID_Jezik +10, 1)</f>
        <v>49, osim 496</v>
      </c>
      <c r="F135" s="339" t="str">
        <f>REPT( "  ", T_Aop[[#This Row],[Aop nivo]]) &amp; VLOOKUP( T_Aop[[#This Row],[Id]], T_Aop[], ID_Jezik + 6, 1)</f>
        <v xml:space="preserve">    9. Kratkoročna razgraničenja</v>
      </c>
      <c r="G135" s="288" t="s">
        <v>1118</v>
      </c>
      <c r="H135" s="288" t="s">
        <v>911</v>
      </c>
      <c r="I135" s="291" t="s">
        <v>1803</v>
      </c>
      <c r="J135" s="370" t="s">
        <v>2060</v>
      </c>
      <c r="K135" s="293" t="s">
        <v>1825</v>
      </c>
      <c r="L135" s="293" t="s">
        <v>926</v>
      </c>
      <c r="M135" s="293" t="s">
        <v>1816</v>
      </c>
      <c r="N135" s="293" t="s">
        <v>2296</v>
      </c>
      <c r="O135" s="10"/>
      <c r="P135" s="10"/>
    </row>
    <row r="136" spans="1:16" ht="13.9" customHeight="1" x14ac:dyDescent="0.3">
      <c r="A136">
        <f t="shared" si="2"/>
        <v>135</v>
      </c>
      <c r="B136" t="s">
        <v>770</v>
      </c>
      <c r="C136">
        <v>2</v>
      </c>
      <c r="D136" s="55">
        <v>168</v>
      </c>
      <c r="E136" s="2">
        <f>VLOOKUP( T_Aop[[#This Row],[Id]], T_Aop[], ID_Jezik +10, 1)</f>
        <v>496</v>
      </c>
      <c r="F136" t="str">
        <f>REPT( "  ", T_Aop[[#This Row],[Aop nivo]]) &amp; VLOOKUP( T_Aop[[#This Row],[Id]], T_Aop[], ID_Jezik + 6, 1)</f>
        <v xml:space="preserve">    10. Kratkoročna rezervisanja</v>
      </c>
      <c r="G136" s="288" t="s">
        <v>1119</v>
      </c>
      <c r="H136" s="288" t="s">
        <v>912</v>
      </c>
      <c r="I136" s="291" t="s">
        <v>1804</v>
      </c>
      <c r="J136" s="370" t="s">
        <v>2061</v>
      </c>
      <c r="K136" s="293">
        <v>496</v>
      </c>
      <c r="L136" s="293">
        <v>496</v>
      </c>
      <c r="M136" s="293">
        <v>496</v>
      </c>
      <c r="N136" s="293">
        <v>496</v>
      </c>
      <c r="O136" s="10"/>
      <c r="P136" s="10"/>
    </row>
    <row r="137" spans="1:16" ht="13.9" customHeight="1" x14ac:dyDescent="0.3">
      <c r="A137">
        <f t="shared" si="2"/>
        <v>136</v>
      </c>
      <c r="B137" t="s">
        <v>770</v>
      </c>
      <c r="D137" s="55"/>
      <c r="E137" s="2"/>
      <c r="F137" t="str">
        <f>REPT( "  ", T_Aop[[#This Row],[Aop nivo]]) &amp; VLOOKUP( T_Aop[[#This Row],[Id]], T_Aop[], ID_Jezik + 6, 1)</f>
        <v/>
      </c>
      <c r="I137" s="291"/>
      <c r="J137" s="298"/>
      <c r="K137" s="293"/>
      <c r="L137" s="293"/>
      <c r="M137" s="293"/>
      <c r="N137" s="293"/>
      <c r="O137" s="10"/>
      <c r="P137" s="10"/>
    </row>
    <row r="138" spans="1:16" ht="13.9" customHeight="1" x14ac:dyDescent="0.3">
      <c r="A138">
        <f t="shared" si="2"/>
        <v>137</v>
      </c>
      <c r="B138" t="s">
        <v>770</v>
      </c>
      <c r="C138">
        <v>1</v>
      </c>
      <c r="D138">
        <v>169</v>
      </c>
      <c r="E138" s="2"/>
      <c r="F138" t="str">
        <f>REPT( "  ", T_Aop[[#This Row],[Aop nivo]]) &amp; VLOOKUP( T_Aop[[#This Row],[Id]], T_Aop[], ID_Jezik + 6, 1)</f>
        <v xml:space="preserve">  D. BILANSNA PASIVA (101 + 132 + 146 + 147)</v>
      </c>
      <c r="G138" s="281" t="s">
        <v>1120</v>
      </c>
      <c r="H138" s="288" t="s">
        <v>913</v>
      </c>
      <c r="I138" s="291" t="s">
        <v>1805</v>
      </c>
      <c r="J138" s="370" t="s">
        <v>2062</v>
      </c>
      <c r="K138" s="293"/>
      <c r="L138" s="293"/>
      <c r="M138" s="293"/>
      <c r="N138" s="293"/>
      <c r="O138" s="10"/>
      <c r="P138" s="10"/>
    </row>
    <row r="139" spans="1:16" ht="13.9" customHeight="1" x14ac:dyDescent="0.3">
      <c r="A139">
        <f t="shared" si="2"/>
        <v>138</v>
      </c>
      <c r="B139" s="258" t="s">
        <v>770</v>
      </c>
      <c r="C139" s="258">
        <v>1</v>
      </c>
      <c r="D139" s="367">
        <v>170</v>
      </c>
      <c r="E139" s="2" t="str">
        <f>VLOOKUP( T_Aop[[#This Row],[Id]], T_Aop[], ID_Jezik +10, 1)</f>
        <v>890 do 898</v>
      </c>
      <c r="F139" t="str">
        <f>REPT( "  ", T_Aop[[#This Row],[Aop nivo]]) &amp; VLOOKUP( T_Aop[[#This Row],[Id]], T_Aop[], ID_Jezik + 6, 1)</f>
        <v xml:space="preserve">  Đ. VANBILANSNA PASIVA</v>
      </c>
      <c r="G139" s="281" t="s">
        <v>1121</v>
      </c>
      <c r="H139" s="288" t="s">
        <v>914</v>
      </c>
      <c r="I139" s="291" t="s">
        <v>20</v>
      </c>
      <c r="J139" s="370" t="s">
        <v>2063</v>
      </c>
      <c r="K139" s="293" t="s">
        <v>2562</v>
      </c>
      <c r="L139" s="293" t="s">
        <v>2297</v>
      </c>
      <c r="M139" s="293" t="s">
        <v>13</v>
      </c>
      <c r="N139" s="293" t="s">
        <v>2297</v>
      </c>
      <c r="O139" s="10"/>
      <c r="P139" s="10"/>
    </row>
    <row r="140" spans="1:16" ht="37.5" customHeight="1" x14ac:dyDescent="0.3">
      <c r="A140">
        <f t="shared" si="2"/>
        <v>139</v>
      </c>
      <c r="B140" t="s">
        <v>255</v>
      </c>
      <c r="C140">
        <v>1</v>
      </c>
      <c r="D140">
        <v>201</v>
      </c>
      <c r="E140" s="2">
        <f>VLOOKUP( T_Aop[[#This Row],[Id]], T_Aop[], ID_Jezik +10, 1)</f>
        <v>0</v>
      </c>
      <c r="F140" t="str">
        <f>REPT( "  ", T_Aop[[#This Row],[Aop nivo]]) &amp; VLOOKUP( T_Aop[[#This Row],[Id]], T_Aop[], ID_Jezik + 6, 1)</f>
        <v xml:space="preserve">  A. POSLOVNI PRIHODI I RASHODI
I POSLOVNI PRIHODI 
(202 + 206 + 210 + 214 – 215 + 216 – 217 + 218)</v>
      </c>
      <c r="G140" s="280" t="s">
        <v>2762</v>
      </c>
      <c r="H140" s="288" t="s">
        <v>927</v>
      </c>
      <c r="I140" s="287" t="s">
        <v>1831</v>
      </c>
      <c r="J140" s="370" t="s">
        <v>2218</v>
      </c>
      <c r="K140" s="376">
        <v>0</v>
      </c>
      <c r="L140" s="275"/>
      <c r="M140" s="293"/>
      <c r="N140" s="293"/>
      <c r="O140" s="10">
        <v>1</v>
      </c>
      <c r="P140" s="10"/>
    </row>
    <row r="141" spans="1:16" ht="13.9" customHeight="1" x14ac:dyDescent="0.3">
      <c r="A141">
        <f t="shared" si="2"/>
        <v>140</v>
      </c>
      <c r="B141" t="s">
        <v>255</v>
      </c>
      <c r="C141">
        <v>2</v>
      </c>
      <c r="D141">
        <v>202</v>
      </c>
      <c r="E141" s="2">
        <f>VLOOKUP( T_Aop[[#This Row],[Id]], T_Aop[], ID_Jezik +10, 1)</f>
        <v>60</v>
      </c>
      <c r="F141" t="str">
        <f>REPT( "  ", T_Aop[[#This Row],[Aop nivo]]) &amp; VLOOKUP( T_Aop[[#This Row],[Id]], T_Aop[], ID_Jezik + 6, 1)</f>
        <v xml:space="preserve">    1. Prihodi od prodaje robe (203 do 205)</v>
      </c>
      <c r="G141" s="288" t="s">
        <v>66</v>
      </c>
      <c r="H141" s="288" t="s">
        <v>1129</v>
      </c>
      <c r="I141" s="295" t="s">
        <v>2778</v>
      </c>
      <c r="J141" s="370" t="s">
        <v>2511</v>
      </c>
      <c r="K141" s="376">
        <v>60</v>
      </c>
      <c r="L141" s="275">
        <v>60</v>
      </c>
      <c r="M141" s="293">
        <v>60</v>
      </c>
      <c r="N141" s="293">
        <v>60</v>
      </c>
      <c r="O141" s="10">
        <v>1</v>
      </c>
      <c r="P141" s="10"/>
    </row>
    <row r="142" spans="1:16" ht="13.9" customHeight="1" x14ac:dyDescent="0.3">
      <c r="A142">
        <f t="shared" si="2"/>
        <v>141</v>
      </c>
      <c r="B142" t="s">
        <v>255</v>
      </c>
      <c r="C142">
        <v>3</v>
      </c>
      <c r="D142">
        <v>203</v>
      </c>
      <c r="E142" s="2" t="str">
        <f>VLOOKUP( T_Aop[[#This Row],[Id]], T_Aop[], ID_Jezik +10, 1)</f>
        <v>600, dio 605</v>
      </c>
      <c r="F142" t="str">
        <f>REPT( "  ", T_Aop[[#This Row],[Aop nivo]]) &amp; VLOOKUP( T_Aop[[#This Row],[Id]], T_Aop[], ID_Jezik + 6, 1)</f>
        <v xml:space="preserve">      a) Prihodi od prodaje robe povezanim pravnim licima</v>
      </c>
      <c r="G142" s="288" t="s">
        <v>2206</v>
      </c>
      <c r="H142" s="288" t="s">
        <v>2694</v>
      </c>
      <c r="I142" s="295" t="s">
        <v>42</v>
      </c>
      <c r="J142" s="370" t="s">
        <v>2064</v>
      </c>
      <c r="K142" s="376" t="s">
        <v>1247</v>
      </c>
      <c r="L142" s="275" t="s">
        <v>1132</v>
      </c>
      <c r="M142" s="293" t="s">
        <v>1923</v>
      </c>
      <c r="N142" s="293" t="s">
        <v>2298</v>
      </c>
      <c r="O142" s="10"/>
      <c r="P142" s="10"/>
    </row>
    <row r="143" spans="1:16" ht="13.9" customHeight="1" x14ac:dyDescent="0.3">
      <c r="A143">
        <f t="shared" si="2"/>
        <v>142</v>
      </c>
      <c r="B143" t="s">
        <v>255</v>
      </c>
      <c r="C143">
        <v>3</v>
      </c>
      <c r="D143">
        <v>204</v>
      </c>
      <c r="E143" s="2" t="str">
        <f>VLOOKUP( T_Aop[[#This Row],[Id]], T_Aop[], ID_Jezik +10, 1)</f>
        <v>601, 602, 603,dio 605</v>
      </c>
      <c r="F143" t="str">
        <f>REPT( "  ", T_Aop[[#This Row],[Aop nivo]]) &amp; VLOOKUP( T_Aop[[#This Row],[Id]], T_Aop[], ID_Jezik + 6, 1)</f>
        <v xml:space="preserve">      b) Prihodi od prodaje robe na domaćem tržištu</v>
      </c>
      <c r="G143" s="288" t="s">
        <v>67</v>
      </c>
      <c r="H143" s="288" t="s">
        <v>509</v>
      </c>
      <c r="I143" s="295" t="s">
        <v>53</v>
      </c>
      <c r="J143" s="370" t="s">
        <v>2065</v>
      </c>
      <c r="K143" s="376" t="s">
        <v>1248</v>
      </c>
      <c r="L143" s="275" t="s">
        <v>1133</v>
      </c>
      <c r="M143" s="293" t="s">
        <v>1924</v>
      </c>
      <c r="N143" s="293" t="s">
        <v>2299</v>
      </c>
      <c r="O143" s="10"/>
      <c r="P143" s="10"/>
    </row>
    <row r="144" spans="1:16" ht="13.9" customHeight="1" x14ac:dyDescent="0.3">
      <c r="A144">
        <f t="shared" si="2"/>
        <v>143</v>
      </c>
      <c r="B144" t="s">
        <v>255</v>
      </c>
      <c r="C144">
        <v>3</v>
      </c>
      <c r="D144">
        <v>205</v>
      </c>
      <c r="E144" s="2" t="str">
        <f>VLOOKUP( T_Aop[[#This Row],[Id]], T_Aop[], ID_Jezik +10, 1)</f>
        <v>604, dio 605</v>
      </c>
      <c r="F144" t="str">
        <f>REPT( "  ", T_Aop[[#This Row],[Aop nivo]]) &amp; VLOOKUP( T_Aop[[#This Row],[Id]], T_Aop[], ID_Jezik + 6, 1)</f>
        <v xml:space="preserve">      c) Prihodi od prodaje robe na inostranom tržištu</v>
      </c>
      <c r="G144" s="288" t="s">
        <v>2695</v>
      </c>
      <c r="H144" s="288" t="s">
        <v>510</v>
      </c>
      <c r="I144" s="295" t="s">
        <v>511</v>
      </c>
      <c r="J144" s="370" t="s">
        <v>2066</v>
      </c>
      <c r="K144" s="376" t="s">
        <v>1249</v>
      </c>
      <c r="L144" s="275" t="s">
        <v>1134</v>
      </c>
      <c r="M144" s="293" t="s">
        <v>1922</v>
      </c>
      <c r="N144" s="293" t="s">
        <v>2300</v>
      </c>
      <c r="O144" s="10"/>
      <c r="P144" s="10"/>
    </row>
    <row r="145" spans="1:16" ht="13.9" customHeight="1" x14ac:dyDescent="0.3">
      <c r="A145">
        <f t="shared" si="2"/>
        <v>144</v>
      </c>
      <c r="B145" t="s">
        <v>255</v>
      </c>
      <c r="C145">
        <v>2</v>
      </c>
      <c r="D145">
        <v>206</v>
      </c>
      <c r="E145" s="2" t="str">
        <f>VLOOKUP( T_Aop[[#This Row],[Id]], T_Aop[], ID_Jezik +10, 1)</f>
        <v>61</v>
      </c>
      <c r="F145" t="str">
        <f>REPT( "  ", T_Aop[[#This Row],[Aop nivo]]) &amp; VLOOKUP( T_Aop[[#This Row],[Id]], T_Aop[], ID_Jezik + 6, 1)</f>
        <v xml:space="preserve">    2. Prihodi od prodaje proizvoda (207 do 209)</v>
      </c>
      <c r="G145" s="288" t="s">
        <v>1175</v>
      </c>
      <c r="H145" s="288" t="s">
        <v>1130</v>
      </c>
      <c r="I145" s="295" t="s">
        <v>2779</v>
      </c>
      <c r="J145" s="370" t="s">
        <v>2512</v>
      </c>
      <c r="K145" s="376" t="s">
        <v>1250</v>
      </c>
      <c r="L145" s="275">
        <v>61</v>
      </c>
      <c r="M145" s="293">
        <v>61</v>
      </c>
      <c r="N145" s="293">
        <v>61</v>
      </c>
      <c r="O145" s="10"/>
      <c r="P145" s="10"/>
    </row>
    <row r="146" spans="1:16" ht="13.9" customHeight="1" x14ac:dyDescent="0.3">
      <c r="A146">
        <f t="shared" si="2"/>
        <v>145</v>
      </c>
      <c r="B146" t="s">
        <v>255</v>
      </c>
      <c r="C146">
        <v>3</v>
      </c>
      <c r="D146">
        <v>207</v>
      </c>
      <c r="E146" s="2" t="str">
        <f>VLOOKUP( T_Aop[[#This Row],[Id]], T_Aop[], ID_Jezik +10, 1)</f>
        <v>610, dio 615</v>
      </c>
      <c r="F146" t="str">
        <f>REPT( "  ", T_Aop[[#This Row],[Aop nivo]]) &amp; VLOOKUP( T_Aop[[#This Row],[Id]], T_Aop[], ID_Jezik + 6, 1)</f>
        <v xml:space="preserve">      a) Prihodi od prodaje proizvoda povezanim pravnim licima</v>
      </c>
      <c r="G146" s="288" t="s">
        <v>1176</v>
      </c>
      <c r="H146" s="288" t="s">
        <v>928</v>
      </c>
      <c r="I146" s="295" t="s">
        <v>1832</v>
      </c>
      <c r="J146" s="370" t="s">
        <v>2067</v>
      </c>
      <c r="K146" s="376" t="s">
        <v>1251</v>
      </c>
      <c r="L146" s="275" t="s">
        <v>1135</v>
      </c>
      <c r="M146" s="293" t="s">
        <v>1921</v>
      </c>
      <c r="N146" s="293" t="s">
        <v>2301</v>
      </c>
      <c r="O146" s="10"/>
      <c r="P146" s="10"/>
    </row>
    <row r="147" spans="1:16" ht="13.9" customHeight="1" x14ac:dyDescent="0.3">
      <c r="A147">
        <f t="shared" si="2"/>
        <v>146</v>
      </c>
      <c r="B147" t="s">
        <v>255</v>
      </c>
      <c r="C147">
        <v>3</v>
      </c>
      <c r="D147">
        <v>208</v>
      </c>
      <c r="E147" s="2" t="str">
        <f>VLOOKUP( T_Aop[[#This Row],[Id]], T_Aop[], ID_Jezik +10, 1)</f>
        <v>611, 612, 613, dio 615</v>
      </c>
      <c r="F147" t="str">
        <f>REPT( "  ", T_Aop[[#This Row],[Aop nivo]]) &amp; VLOOKUP( T_Aop[[#This Row],[Id]], T_Aop[], ID_Jezik + 6, 1)</f>
        <v xml:space="preserve">      b) Prihodi od prodaje proizvoda na domaćem tržištu</v>
      </c>
      <c r="G147" s="288" t="s">
        <v>1177</v>
      </c>
      <c r="H147" s="288" t="s">
        <v>929</v>
      </c>
      <c r="I147" s="295" t="s">
        <v>1833</v>
      </c>
      <c r="J147" s="370" t="s">
        <v>2068</v>
      </c>
      <c r="K147" s="376" t="s">
        <v>2565</v>
      </c>
      <c r="L147" s="275" t="s">
        <v>2564</v>
      </c>
      <c r="M147" s="293" t="s">
        <v>2563</v>
      </c>
      <c r="N147" s="293" t="s">
        <v>2302</v>
      </c>
      <c r="O147" s="10"/>
      <c r="P147" s="10"/>
    </row>
    <row r="148" spans="1:16" ht="13.9" customHeight="1" x14ac:dyDescent="0.3">
      <c r="A148">
        <f t="shared" si="2"/>
        <v>147</v>
      </c>
      <c r="B148" t="s">
        <v>255</v>
      </c>
      <c r="C148">
        <v>3</v>
      </c>
      <c r="D148">
        <v>209</v>
      </c>
      <c r="E148" s="2" t="str">
        <f>VLOOKUP( T_Aop[[#This Row],[Id]], T_Aop[], ID_Jezik +10, 1)</f>
        <v>614, dio 615</v>
      </c>
      <c r="F148" t="str">
        <f>REPT( "  ", T_Aop[[#This Row],[Aop nivo]]) &amp; VLOOKUP( T_Aop[[#This Row],[Id]], T_Aop[], ID_Jezik + 6, 1)</f>
        <v xml:space="preserve">      c) Prihodi od prodaje proizvoda na inostranom tržištu</v>
      </c>
      <c r="G148" s="288" t="s">
        <v>2696</v>
      </c>
      <c r="H148" s="288" t="s">
        <v>930</v>
      </c>
      <c r="I148" s="295" t="s">
        <v>1834</v>
      </c>
      <c r="J148" s="370" t="s">
        <v>2069</v>
      </c>
      <c r="K148" s="376" t="s">
        <v>1252</v>
      </c>
      <c r="L148" s="275" t="s">
        <v>1136</v>
      </c>
      <c r="M148" s="293" t="s">
        <v>1920</v>
      </c>
      <c r="N148" s="293" t="s">
        <v>2303</v>
      </c>
      <c r="O148" s="10"/>
      <c r="P148" s="10"/>
    </row>
    <row r="149" spans="1:16" ht="13.9" customHeight="1" x14ac:dyDescent="0.3">
      <c r="A149">
        <f t="shared" si="2"/>
        <v>148</v>
      </c>
      <c r="B149" t="s">
        <v>255</v>
      </c>
      <c r="C149">
        <v>2</v>
      </c>
      <c r="D149">
        <v>210</v>
      </c>
      <c r="E149" s="2" t="str">
        <f>VLOOKUP( T_Aop[[#This Row],[Id]], T_Aop[], ID_Jezik +10, 1)</f>
        <v>62</v>
      </c>
      <c r="F149" t="str">
        <f>REPT( "  ", T_Aop[[#This Row],[Aop nivo]]) &amp; VLOOKUP( T_Aop[[#This Row],[Id]], T_Aop[], ID_Jezik + 6, 1)</f>
        <v xml:space="preserve">     3. Prihodi od pruženih usluga (211 do 213)</v>
      </c>
      <c r="G149" s="288" t="s">
        <v>1178</v>
      </c>
      <c r="H149" s="288" t="s">
        <v>1131</v>
      </c>
      <c r="I149" s="295" t="s">
        <v>1835</v>
      </c>
      <c r="J149" s="370" t="s">
        <v>2513</v>
      </c>
      <c r="K149" s="376" t="s">
        <v>1253</v>
      </c>
      <c r="L149" s="275">
        <v>62</v>
      </c>
      <c r="M149" s="293">
        <v>62</v>
      </c>
      <c r="N149" s="293">
        <v>62</v>
      </c>
      <c r="O149" s="10"/>
      <c r="P149" s="10"/>
    </row>
    <row r="150" spans="1:16" ht="13.9" customHeight="1" x14ac:dyDescent="0.3">
      <c r="A150">
        <f t="shared" si="2"/>
        <v>149</v>
      </c>
      <c r="B150" t="s">
        <v>255</v>
      </c>
      <c r="C150">
        <v>3</v>
      </c>
      <c r="D150">
        <v>211</v>
      </c>
      <c r="E150" s="2" t="str">
        <f>VLOOKUP( T_Aop[[#This Row],[Id]], T_Aop[], ID_Jezik +10, 1)</f>
        <v>620, dio 625</v>
      </c>
      <c r="F150" t="str">
        <f>REPT( "  ", T_Aop[[#This Row],[Aop nivo]]) &amp; VLOOKUP( T_Aop[[#This Row],[Id]], T_Aop[], ID_Jezik + 6, 1)</f>
        <v xml:space="preserve">      a) Prihodi od pruženih usluga povezanim licima</v>
      </c>
      <c r="G150" s="288" t="s">
        <v>1179</v>
      </c>
      <c r="H150" s="288" t="s">
        <v>931</v>
      </c>
      <c r="I150" s="295" t="s">
        <v>1836</v>
      </c>
      <c r="J150" s="370" t="s">
        <v>2070</v>
      </c>
      <c r="K150" s="376" t="s">
        <v>1254</v>
      </c>
      <c r="L150" s="275" t="s">
        <v>1137</v>
      </c>
      <c r="M150" s="293" t="s">
        <v>2566</v>
      </c>
      <c r="N150" s="293" t="s">
        <v>2304</v>
      </c>
      <c r="O150" s="10"/>
      <c r="P150" s="10"/>
    </row>
    <row r="151" spans="1:16" ht="13.9" customHeight="1" x14ac:dyDescent="0.3">
      <c r="A151">
        <f t="shared" si="2"/>
        <v>150</v>
      </c>
      <c r="B151" t="s">
        <v>255</v>
      </c>
      <c r="C151">
        <v>3</v>
      </c>
      <c r="D151">
        <v>212</v>
      </c>
      <c r="E151" s="2" t="str">
        <f>VLOOKUP( T_Aop[[#This Row],[Id]], T_Aop[], ID_Jezik +10, 1)</f>
        <v>621, 622, 623, dio 625</v>
      </c>
      <c r="F151" t="str">
        <f>REPT( "  ", T_Aop[[#This Row],[Aop nivo]]) &amp; VLOOKUP( T_Aop[[#This Row],[Id]], T_Aop[], ID_Jezik + 6, 1)</f>
        <v xml:space="preserve">      b) Prihodi od pruženih usluga na domaćem tržištu</v>
      </c>
      <c r="G151" s="288" t="s">
        <v>1180</v>
      </c>
      <c r="H151" s="288" t="s">
        <v>932</v>
      </c>
      <c r="I151" s="295" t="s">
        <v>1837</v>
      </c>
      <c r="J151" s="370" t="s">
        <v>2071</v>
      </c>
      <c r="K151" s="376" t="s">
        <v>1255</v>
      </c>
      <c r="L151" s="275" t="s">
        <v>1138</v>
      </c>
      <c r="M151" s="293" t="s">
        <v>1919</v>
      </c>
      <c r="N151" s="293" t="s">
        <v>2305</v>
      </c>
      <c r="O151" s="10"/>
      <c r="P151" s="10"/>
    </row>
    <row r="152" spans="1:16" ht="13.9" customHeight="1" x14ac:dyDescent="0.3">
      <c r="A152">
        <f t="shared" si="2"/>
        <v>151</v>
      </c>
      <c r="B152" t="s">
        <v>255</v>
      </c>
      <c r="C152">
        <v>3</v>
      </c>
      <c r="D152">
        <v>213</v>
      </c>
      <c r="E152" s="2" t="str">
        <f>VLOOKUP( T_Aop[[#This Row],[Id]], T_Aop[], ID_Jezik +10, 1)</f>
        <v>624, dio 625</v>
      </c>
      <c r="F152" t="str">
        <f>REPT( "  ", T_Aop[[#This Row],[Aop nivo]]) &amp; VLOOKUP( T_Aop[[#This Row],[Id]], T_Aop[], ID_Jezik + 6, 1)</f>
        <v xml:space="preserve">      c) Prihodi od pruženih usluga na inostranom tržištu</v>
      </c>
      <c r="G152" s="288" t="s">
        <v>2697</v>
      </c>
      <c r="H152" s="288" t="s">
        <v>933</v>
      </c>
      <c r="I152" s="295" t="s">
        <v>1838</v>
      </c>
      <c r="J152" s="370" t="s">
        <v>2072</v>
      </c>
      <c r="K152" s="376" t="s">
        <v>1256</v>
      </c>
      <c r="L152" s="275" t="s">
        <v>1139</v>
      </c>
      <c r="M152" s="293" t="s">
        <v>2567</v>
      </c>
      <c r="N152" s="293" t="s">
        <v>2306</v>
      </c>
      <c r="O152" s="10"/>
      <c r="P152" s="10"/>
    </row>
    <row r="153" spans="1:16" ht="13.9" customHeight="1" x14ac:dyDescent="0.3">
      <c r="A153">
        <f t="shared" si="2"/>
        <v>152</v>
      </c>
      <c r="B153" t="s">
        <v>255</v>
      </c>
      <c r="C153">
        <v>2</v>
      </c>
      <c r="D153">
        <v>214</v>
      </c>
      <c r="E153" s="2" t="str">
        <f>VLOOKUP( T_Aop[[#This Row],[Id]], T_Aop[], ID_Jezik +10, 1)</f>
        <v>630</v>
      </c>
      <c r="F153" t="str">
        <f>REPT( "  ", T_Aop[[#This Row],[Aop nivo]]) &amp; VLOOKUP( T_Aop[[#This Row],[Id]], T_Aop[], ID_Jezik + 6, 1)</f>
        <v xml:space="preserve">    4. Povećanje vrijednosti zaliha učinaka</v>
      </c>
      <c r="G153" s="288" t="s">
        <v>1214</v>
      </c>
      <c r="H153" s="288" t="s">
        <v>1217</v>
      </c>
      <c r="I153" s="295" t="s">
        <v>1839</v>
      </c>
      <c r="J153" s="370" t="s">
        <v>2836</v>
      </c>
      <c r="K153" s="376" t="s">
        <v>1257</v>
      </c>
      <c r="L153" s="275">
        <v>630</v>
      </c>
      <c r="M153" s="293">
        <v>630</v>
      </c>
      <c r="N153" s="293">
        <v>630</v>
      </c>
      <c r="O153" s="10"/>
      <c r="P153" s="10"/>
    </row>
    <row r="154" spans="1:16" ht="13.9" customHeight="1" x14ac:dyDescent="0.3">
      <c r="A154">
        <f t="shared" si="2"/>
        <v>153</v>
      </c>
      <c r="B154" t="s">
        <v>255</v>
      </c>
      <c r="C154">
        <v>2</v>
      </c>
      <c r="D154">
        <v>215</v>
      </c>
      <c r="E154" s="2" t="str">
        <f>VLOOKUP( T_Aop[[#This Row],[Id]], T_Aop[], ID_Jezik +10, 1)</f>
        <v>631</v>
      </c>
      <c r="F154" t="str">
        <f>REPT( "  ", T_Aop[[#This Row],[Aop nivo]]) &amp; VLOOKUP( T_Aop[[#This Row],[Id]], T_Aop[], ID_Jezik + 6, 1)</f>
        <v xml:space="preserve">    5. Smanjenje vrijednosti zaliha učinaka</v>
      </c>
      <c r="G154" s="288" t="s">
        <v>1215</v>
      </c>
      <c r="H154" s="288" t="s">
        <v>1216</v>
      </c>
      <c r="I154" s="295" t="s">
        <v>1840</v>
      </c>
      <c r="J154" s="370" t="s">
        <v>2837</v>
      </c>
      <c r="K154" s="376" t="s">
        <v>1258</v>
      </c>
      <c r="L154" s="275">
        <v>631</v>
      </c>
      <c r="M154" s="293">
        <v>631</v>
      </c>
      <c r="N154" s="293">
        <v>631</v>
      </c>
      <c r="O154" s="10"/>
      <c r="P154" s="10"/>
    </row>
    <row r="155" spans="1:16" ht="12.75" customHeight="1" x14ac:dyDescent="0.3">
      <c r="A155">
        <f t="shared" si="2"/>
        <v>154</v>
      </c>
      <c r="B155" t="s">
        <v>255</v>
      </c>
      <c r="C155">
        <v>2</v>
      </c>
      <c r="D155">
        <v>216</v>
      </c>
      <c r="E155" s="2" t="str">
        <f>VLOOKUP( T_Aop[[#This Row],[Id]], T_Aop[], ID_Jezik +10, 1)</f>
        <v>640 i 641</v>
      </c>
      <c r="F155" t="str">
        <f>REPT( "  ", T_Aop[[#This Row],[Aop nivo]]) &amp; VLOOKUP( T_Aop[[#This Row],[Id]], T_Aop[], ID_Jezik + 6, 1)</f>
        <v xml:space="preserve">    6. Povećanje vrijednosti investicionih nekretnina i bioloških sredstava koja se ne amortizuju</v>
      </c>
      <c r="G155" s="288" t="s">
        <v>1224</v>
      </c>
      <c r="H155" s="288" t="s">
        <v>1218</v>
      </c>
      <c r="I155" s="295" t="s">
        <v>1841</v>
      </c>
      <c r="J155" s="370" t="s">
        <v>2838</v>
      </c>
      <c r="K155" s="376" t="s">
        <v>1259</v>
      </c>
      <c r="L155" s="275" t="s">
        <v>1140</v>
      </c>
      <c r="M155" s="293" t="s">
        <v>2730</v>
      </c>
      <c r="N155" s="293" t="s">
        <v>1140</v>
      </c>
      <c r="O155" s="10"/>
      <c r="P155" s="10"/>
    </row>
    <row r="156" spans="1:16" ht="12.75" customHeight="1" x14ac:dyDescent="0.3">
      <c r="A156">
        <f t="shared" si="2"/>
        <v>155</v>
      </c>
      <c r="B156" t="s">
        <v>255</v>
      </c>
      <c r="C156">
        <v>2</v>
      </c>
      <c r="D156">
        <v>217</v>
      </c>
      <c r="E156" s="2" t="str">
        <f>VLOOKUP( T_Aop[[#This Row],[Id]], T_Aop[], ID_Jezik +10, 1)</f>
        <v>642 i 643</v>
      </c>
      <c r="F156" t="str">
        <f>REPT( "  ", T_Aop[[#This Row],[Aop nivo]]) &amp; VLOOKUP( T_Aop[[#This Row],[Id]], T_Aop[], ID_Jezik + 6, 1)</f>
        <v xml:space="preserve">    7.  Smanjenje vrijednosti investicionih nekretnina i bioloških sredstava koja se ne amortizuju</v>
      </c>
      <c r="G156" s="288" t="s">
        <v>1225</v>
      </c>
      <c r="H156" s="288" t="s">
        <v>1219</v>
      </c>
      <c r="I156" s="295" t="s">
        <v>1842</v>
      </c>
      <c r="J156" s="370" t="s">
        <v>2839</v>
      </c>
      <c r="K156" s="376" t="s">
        <v>1260</v>
      </c>
      <c r="L156" s="275" t="s">
        <v>1141</v>
      </c>
      <c r="M156" s="293" t="s">
        <v>2568</v>
      </c>
      <c r="N156" s="293" t="s">
        <v>1141</v>
      </c>
      <c r="O156" s="10">
        <v>1</v>
      </c>
      <c r="P156" s="10"/>
    </row>
    <row r="157" spans="1:16" ht="12.75" customHeight="1" x14ac:dyDescent="0.3">
      <c r="A157">
        <f t="shared" si="2"/>
        <v>156</v>
      </c>
      <c r="B157" t="s">
        <v>255</v>
      </c>
      <c r="C157">
        <v>2</v>
      </c>
      <c r="D157">
        <v>218</v>
      </c>
      <c r="E157" s="2" t="str">
        <f>VLOOKUP( T_Aop[[#This Row],[Id]], T_Aop[], ID_Jezik +10, 1)</f>
        <v>650 do 659</v>
      </c>
      <c r="F157" t="str">
        <f>REPT( "  ", T_Aop[[#This Row],[Aop nivo]]) &amp; VLOOKUP( T_Aop[[#This Row],[Id]], T_Aop[], ID_Jezik + 6, 1)</f>
        <v xml:space="preserve">    8. Ostali poslovni prihodi</v>
      </c>
      <c r="G157" s="288" t="s">
        <v>2</v>
      </c>
      <c r="H157" s="288" t="s">
        <v>512</v>
      </c>
      <c r="I157" s="295" t="s">
        <v>1843</v>
      </c>
      <c r="J157" s="370" t="s">
        <v>2073</v>
      </c>
      <c r="K157" s="376" t="s">
        <v>1</v>
      </c>
      <c r="L157" s="275" t="s">
        <v>652</v>
      </c>
      <c r="M157" s="293" t="s">
        <v>2569</v>
      </c>
      <c r="N157" s="293" t="s">
        <v>652</v>
      </c>
      <c r="O157" s="10"/>
      <c r="P157" s="10"/>
    </row>
    <row r="158" spans="1:16" ht="12.75" customHeight="1" x14ac:dyDescent="0.3">
      <c r="A158">
        <f t="shared" si="2"/>
        <v>157</v>
      </c>
      <c r="B158" t="s">
        <v>255</v>
      </c>
      <c r="C158">
        <v>1</v>
      </c>
      <c r="D158">
        <v>219</v>
      </c>
      <c r="E158" s="2">
        <f>VLOOKUP( T_Aop[[#This Row],[Id]], T_Aop[], ID_Jezik +10, 1)</f>
        <v>0</v>
      </c>
      <c r="F158" t="str">
        <f>REPT( "  ", T_Aop[[#This Row],[Aop nivo]]) &amp; VLOOKUP( T_Aop[[#This Row],[Id]], T_Aop[], ID_Jezik + 6, 1)</f>
        <v xml:space="preserve">  II  POSLOVNI RASHODI  (220 + 221 + 222 + 223 + 226 + 227 + 234 + 235 + 236)</v>
      </c>
      <c r="G158" s="281" t="s">
        <v>1181</v>
      </c>
      <c r="H158" s="288" t="s">
        <v>934</v>
      </c>
      <c r="I158" s="295" t="s">
        <v>2780</v>
      </c>
      <c r="J158" s="370" t="s">
        <v>2074</v>
      </c>
      <c r="K158" s="376"/>
      <c r="L158" s="275"/>
      <c r="M158" s="293"/>
      <c r="N158" s="293"/>
      <c r="O158" s="10"/>
      <c r="P158" s="10"/>
    </row>
    <row r="159" spans="1:16" ht="12.75" customHeight="1" x14ac:dyDescent="0.3">
      <c r="A159">
        <f t="shared" si="2"/>
        <v>158</v>
      </c>
      <c r="B159" t="s">
        <v>255</v>
      </c>
      <c r="C159">
        <v>2</v>
      </c>
      <c r="D159">
        <v>220</v>
      </c>
      <c r="E159" s="2" t="str">
        <f>VLOOKUP( T_Aop[[#This Row],[Id]], T_Aop[], ID_Jezik +10, 1)</f>
        <v>500 do 502</v>
      </c>
      <c r="F159" t="str">
        <f>REPT( "  ", T_Aop[[#This Row],[Aop nivo]]) &amp; VLOOKUP( T_Aop[[#This Row],[Id]], T_Aop[], ID_Jezik + 6, 1)</f>
        <v xml:space="preserve">    1. Nabavna vrijednost prodate robe</v>
      </c>
      <c r="G159" s="288" t="s">
        <v>1226</v>
      </c>
      <c r="H159" s="288" t="s">
        <v>1220</v>
      </c>
      <c r="I159" s="295" t="s">
        <v>1844</v>
      </c>
      <c r="J159" s="370" t="s">
        <v>2514</v>
      </c>
      <c r="K159" s="376" t="s">
        <v>3</v>
      </c>
      <c r="L159" s="275" t="s">
        <v>653</v>
      </c>
      <c r="M159" s="293" t="s">
        <v>2570</v>
      </c>
      <c r="N159" s="293" t="s">
        <v>653</v>
      </c>
      <c r="O159" s="10"/>
      <c r="P159" s="10"/>
    </row>
    <row r="160" spans="1:16" ht="12.75" customHeight="1" x14ac:dyDescent="0.3">
      <c r="A160">
        <f t="shared" si="2"/>
        <v>159</v>
      </c>
      <c r="B160" t="s">
        <v>255</v>
      </c>
      <c r="C160">
        <v>2</v>
      </c>
      <c r="D160">
        <v>221</v>
      </c>
      <c r="E160" s="2" t="str">
        <f>VLOOKUP( T_Aop[[#This Row],[Id]], T_Aop[], ID_Jezik +10, 1)</f>
        <v>510 do 512</v>
      </c>
      <c r="F160" t="str">
        <f>REPT( "  ", T_Aop[[#This Row],[Aop nivo]]) &amp; VLOOKUP( T_Aop[[#This Row],[Id]], T_Aop[], ID_Jezik + 6, 1)</f>
        <v xml:space="preserve">    2. Troškovi materijala</v>
      </c>
      <c r="G160" s="288" t="s">
        <v>1227</v>
      </c>
      <c r="H160" s="288" t="s">
        <v>1221</v>
      </c>
      <c r="I160" s="295" t="s">
        <v>1845</v>
      </c>
      <c r="J160" s="370" t="s">
        <v>2515</v>
      </c>
      <c r="K160" s="376" t="s">
        <v>1261</v>
      </c>
      <c r="L160" s="275" t="s">
        <v>1142</v>
      </c>
      <c r="M160" s="293" t="s">
        <v>2571</v>
      </c>
      <c r="N160" s="293" t="s">
        <v>1142</v>
      </c>
      <c r="O160" s="10"/>
      <c r="P160" s="10"/>
    </row>
    <row r="161" spans="1:16" ht="12.75" customHeight="1" x14ac:dyDescent="0.3">
      <c r="A161">
        <f t="shared" si="2"/>
        <v>160</v>
      </c>
      <c r="B161" t="s">
        <v>255</v>
      </c>
      <c r="C161">
        <v>2</v>
      </c>
      <c r="D161">
        <v>222</v>
      </c>
      <c r="E161" s="2" t="str">
        <f>VLOOKUP( T_Aop[[#This Row],[Id]], T_Aop[], ID_Jezik +10, 1)</f>
        <v>513</v>
      </c>
      <c r="F161" t="str">
        <f>REPT( "  ", T_Aop[[#This Row],[Aop nivo]]) &amp; VLOOKUP( T_Aop[[#This Row],[Id]], T_Aop[], ID_Jezik + 6, 1)</f>
        <v xml:space="preserve">    3. Troškovi goriva i energije</v>
      </c>
      <c r="G161" s="288" t="s">
        <v>2698</v>
      </c>
      <c r="H161" s="288" t="s">
        <v>1222</v>
      </c>
      <c r="I161" s="295" t="s">
        <v>1846</v>
      </c>
      <c r="J161" s="370" t="s">
        <v>2516</v>
      </c>
      <c r="K161" s="376" t="s">
        <v>1262</v>
      </c>
      <c r="L161" s="275">
        <v>513</v>
      </c>
      <c r="M161" s="293">
        <v>513</v>
      </c>
      <c r="N161" s="293">
        <v>513</v>
      </c>
      <c r="O161" s="10"/>
      <c r="P161" s="10"/>
    </row>
    <row r="162" spans="1:16" ht="12.75" customHeight="1" x14ac:dyDescent="0.3">
      <c r="A162">
        <f t="shared" si="2"/>
        <v>161</v>
      </c>
      <c r="B162" t="s">
        <v>255</v>
      </c>
      <c r="C162">
        <v>2</v>
      </c>
      <c r="D162">
        <v>223</v>
      </c>
      <c r="E162" s="2" t="str">
        <f>VLOOKUP( T_Aop[[#This Row],[Id]], T_Aop[], ID_Jezik +10, 1)</f>
        <v>52</v>
      </c>
      <c r="F162" t="str">
        <f>REPT( "  ", T_Aop[[#This Row],[Aop nivo]]) &amp; VLOOKUP( T_Aop[[#This Row],[Id]], T_Aop[], ID_Jezik + 6, 1)</f>
        <v xml:space="preserve">    4. Troškovi plata, naknada plata i ostalih ličnih primanja (224 + 225)</v>
      </c>
      <c r="G162" s="288" t="s">
        <v>1228</v>
      </c>
      <c r="H162" s="288" t="s">
        <v>1223</v>
      </c>
      <c r="I162" s="295" t="s">
        <v>1847</v>
      </c>
      <c r="J162" s="370" t="s">
        <v>2517</v>
      </c>
      <c r="K162" s="376" t="s">
        <v>1263</v>
      </c>
      <c r="L162" s="275">
        <v>52</v>
      </c>
      <c r="M162" s="293">
        <v>52</v>
      </c>
      <c r="N162" s="293">
        <v>52</v>
      </c>
      <c r="O162" s="10"/>
      <c r="P162" s="10"/>
    </row>
    <row r="163" spans="1:16" ht="12.75" customHeight="1" x14ac:dyDescent="0.3">
      <c r="A163">
        <f t="shared" si="2"/>
        <v>162</v>
      </c>
      <c r="B163" t="s">
        <v>255</v>
      </c>
      <c r="C163">
        <v>3</v>
      </c>
      <c r="D163">
        <v>224</v>
      </c>
      <c r="E163" s="2" t="str">
        <f>VLOOKUP( T_Aop[[#This Row],[Id]], T_Aop[], ID_Jezik +10, 1)</f>
        <v>520 i 523</v>
      </c>
      <c r="F163" t="str">
        <f>REPT( "  ", T_Aop[[#This Row],[Aop nivo]]) &amp; VLOOKUP( T_Aop[[#This Row],[Id]], T_Aop[], ID_Jezik + 6, 1)</f>
        <v xml:space="preserve">      a) Troškovi bruto plata i bruto naknada plata</v>
      </c>
      <c r="G163" s="288" t="s">
        <v>1182</v>
      </c>
      <c r="H163" s="288" t="s">
        <v>935</v>
      </c>
      <c r="I163" s="295" t="s">
        <v>43</v>
      </c>
      <c r="J163" s="370" t="s">
        <v>2075</v>
      </c>
      <c r="K163" s="376" t="s">
        <v>1264</v>
      </c>
      <c r="L163" s="275" t="s">
        <v>1143</v>
      </c>
      <c r="M163" s="293" t="s">
        <v>2731</v>
      </c>
      <c r="N163" s="293" t="s">
        <v>1143</v>
      </c>
      <c r="O163" s="10"/>
      <c r="P163" s="10"/>
    </row>
    <row r="164" spans="1:16" ht="12.75" customHeight="1" x14ac:dyDescent="0.3">
      <c r="A164">
        <f t="shared" si="2"/>
        <v>163</v>
      </c>
      <c r="B164" t="s">
        <v>255</v>
      </c>
      <c r="C164">
        <v>3</v>
      </c>
      <c r="D164">
        <v>225</v>
      </c>
      <c r="E164" s="2" t="str">
        <f>VLOOKUP( T_Aop[[#This Row],[Id]], T_Aop[], ID_Jezik +10, 1)</f>
        <v>524 do 529</v>
      </c>
      <c r="F164" t="str">
        <f>REPT( "  ", T_Aop[[#This Row],[Aop nivo]]) &amp; VLOOKUP( T_Aop[[#This Row],[Id]], T_Aop[], ID_Jezik + 6, 1)</f>
        <v xml:space="preserve">      b) Troškovi ostalih ličnih primanja</v>
      </c>
      <c r="G164" s="288" t="s">
        <v>1183</v>
      </c>
      <c r="H164" s="288" t="s">
        <v>936</v>
      </c>
      <c r="I164" s="295" t="s">
        <v>44</v>
      </c>
      <c r="J164" s="370" t="s">
        <v>2076</v>
      </c>
      <c r="K164" s="376" t="s">
        <v>654</v>
      </c>
      <c r="L164" s="275" t="s">
        <v>655</v>
      </c>
      <c r="M164" s="293" t="s">
        <v>2732</v>
      </c>
      <c r="N164" s="293" t="s">
        <v>655</v>
      </c>
      <c r="O164" s="10"/>
      <c r="P164" s="10"/>
    </row>
    <row r="165" spans="1:16" ht="12.75" customHeight="1" x14ac:dyDescent="0.3">
      <c r="A165">
        <f t="shared" si="2"/>
        <v>164</v>
      </c>
      <c r="B165" t="s">
        <v>255</v>
      </c>
      <c r="C165">
        <v>2</v>
      </c>
      <c r="D165">
        <v>226</v>
      </c>
      <c r="E165" s="2" t="str">
        <f>VLOOKUP( T_Aop[[#This Row],[Id]], T_Aop[], ID_Jezik +10, 1)</f>
        <v>530 do 539</v>
      </c>
      <c r="F165" t="str">
        <f>REPT( "  ", T_Aop[[#This Row],[Aop nivo]]) &amp; VLOOKUP( T_Aop[[#This Row],[Id]], T_Aop[], ID_Jezik + 6, 1)</f>
        <v xml:space="preserve">    5. Troškovi proizvodnih usluga</v>
      </c>
      <c r="G165" s="288" t="s">
        <v>1229</v>
      </c>
      <c r="H165" s="288" t="s">
        <v>1237</v>
      </c>
      <c r="I165" s="295" t="s">
        <v>1848</v>
      </c>
      <c r="J165" s="370" t="s">
        <v>2518</v>
      </c>
      <c r="K165" s="376" t="s">
        <v>4</v>
      </c>
      <c r="L165" s="275" t="s">
        <v>656</v>
      </c>
      <c r="M165" s="293" t="s">
        <v>2733</v>
      </c>
      <c r="N165" s="293" t="s">
        <v>656</v>
      </c>
      <c r="O165" s="10"/>
      <c r="P165" s="10"/>
    </row>
    <row r="166" spans="1:16" ht="12.75" customHeight="1" x14ac:dyDescent="0.3">
      <c r="A166">
        <f t="shared" si="2"/>
        <v>165</v>
      </c>
      <c r="B166" t="s">
        <v>255</v>
      </c>
      <c r="C166">
        <v>2</v>
      </c>
      <c r="D166">
        <v>227</v>
      </c>
      <c r="E166" s="2" t="str">
        <f>VLOOKUP( T_Aop[[#This Row],[Id]], T_Aop[], ID_Jezik +10, 1)</f>
        <v>54</v>
      </c>
      <c r="F166" t="str">
        <f>REPT( "  ", T_Aop[[#This Row],[Aop nivo]]) &amp; VLOOKUP( T_Aop[[#This Row],[Id]], T_Aop[], ID_Jezik + 6, 1)</f>
        <v xml:space="preserve">    6. Troškovi amortizacije i rezervisanja (228 + 233)</v>
      </c>
      <c r="G166" s="288" t="s">
        <v>1230</v>
      </c>
      <c r="H166" s="288" t="s">
        <v>1238</v>
      </c>
      <c r="I166" s="295" t="s">
        <v>1849</v>
      </c>
      <c r="J166" s="370" t="s">
        <v>2519</v>
      </c>
      <c r="K166" s="376" t="s">
        <v>1265</v>
      </c>
      <c r="L166" s="275">
        <v>54</v>
      </c>
      <c r="M166" s="293">
        <v>54</v>
      </c>
      <c r="N166" s="293">
        <v>54</v>
      </c>
      <c r="O166" s="10"/>
      <c r="P166" s="10"/>
    </row>
    <row r="167" spans="1:16" ht="12.75" customHeight="1" x14ac:dyDescent="0.3">
      <c r="A167">
        <f t="shared" si="2"/>
        <v>166</v>
      </c>
      <c r="B167" t="s">
        <v>255</v>
      </c>
      <c r="C167">
        <v>3</v>
      </c>
      <c r="D167">
        <v>228</v>
      </c>
      <c r="E167" s="2" t="str">
        <f>VLOOKUP( T_Aop[[#This Row],[Id]], T_Aop[], ID_Jezik +10, 1)</f>
        <v>540</v>
      </c>
      <c r="F167" t="str">
        <f>REPT( "  ", T_Aop[[#This Row],[Aop nivo]]) &amp; VLOOKUP( T_Aop[[#This Row],[Id]], T_Aop[], ID_Jezik + 6, 1)</f>
        <v xml:space="preserve">      6.1 Troškovi amortizacije (229 do 232)</v>
      </c>
      <c r="G167" s="288" t="s">
        <v>1184</v>
      </c>
      <c r="H167" s="288" t="s">
        <v>940</v>
      </c>
      <c r="I167" s="295" t="s">
        <v>2699</v>
      </c>
      <c r="J167" s="370" t="s">
        <v>2520</v>
      </c>
      <c r="K167" s="376" t="s">
        <v>1266</v>
      </c>
      <c r="L167" s="275">
        <v>540</v>
      </c>
      <c r="M167" s="293">
        <v>540</v>
      </c>
      <c r="N167" s="293">
        <v>540</v>
      </c>
      <c r="O167" s="10"/>
      <c r="P167" s="10"/>
    </row>
    <row r="168" spans="1:16" ht="12.75" customHeight="1" x14ac:dyDescent="0.3">
      <c r="A168">
        <f t="shared" si="2"/>
        <v>167</v>
      </c>
      <c r="B168" t="s">
        <v>255</v>
      </c>
      <c r="C168">
        <v>4</v>
      </c>
      <c r="D168">
        <v>229</v>
      </c>
      <c r="E168" s="2" t="str">
        <f>VLOOKUP( T_Aop[[#This Row],[Id]], T_Aop[], ID_Jezik +10, 1)</f>
        <v>dio 540</v>
      </c>
      <c r="F168" t="str">
        <f>REPT( "  ", T_Aop[[#This Row],[Aop nivo]]) &amp; VLOOKUP( T_Aop[[#This Row],[Id]], T_Aop[], ID_Jezik + 6, 1)</f>
        <v xml:space="preserve">        a) Amortizacija nekretnina, postrojenja i opreme</v>
      </c>
      <c r="G168" s="288" t="s">
        <v>1185</v>
      </c>
      <c r="H168" s="288" t="s">
        <v>937</v>
      </c>
      <c r="I168" s="295" t="s">
        <v>1850</v>
      </c>
      <c r="J168" s="370" t="s">
        <v>2077</v>
      </c>
      <c r="K168" s="376" t="s">
        <v>1267</v>
      </c>
      <c r="L168" s="275" t="s">
        <v>1144</v>
      </c>
      <c r="M168" s="293" t="s">
        <v>1916</v>
      </c>
      <c r="N168" s="293" t="s">
        <v>2307</v>
      </c>
      <c r="O168" s="10"/>
      <c r="P168" s="10"/>
    </row>
    <row r="169" spans="1:16" ht="12.75" customHeight="1" x14ac:dyDescent="0.3">
      <c r="A169">
        <f t="shared" si="2"/>
        <v>168</v>
      </c>
      <c r="B169" t="s">
        <v>255</v>
      </c>
      <c r="C169">
        <v>4</v>
      </c>
      <c r="D169">
        <v>230</v>
      </c>
      <c r="E169" s="2" t="str">
        <f>VLOOKUP( T_Aop[[#This Row],[Id]], T_Aop[], ID_Jezik +10, 1)</f>
        <v>dio 540</v>
      </c>
      <c r="F169" t="str">
        <f>REPT( "  ", T_Aop[[#This Row],[Aop nivo]]) &amp; VLOOKUP( T_Aop[[#This Row],[Id]], T_Aop[], ID_Jezik + 6, 1)</f>
        <v xml:space="preserve">        b) Amortizacija investicionih nekretnina</v>
      </c>
      <c r="G169" s="288" t="s">
        <v>1186</v>
      </c>
      <c r="H169" s="288" t="s">
        <v>941</v>
      </c>
      <c r="I169" s="295" t="s">
        <v>1851</v>
      </c>
      <c r="J169" s="370" t="s">
        <v>2521</v>
      </c>
      <c r="K169" s="376" t="s">
        <v>1267</v>
      </c>
      <c r="L169" s="275" t="s">
        <v>1144</v>
      </c>
      <c r="M169" s="293" t="s">
        <v>1916</v>
      </c>
      <c r="N169" s="293" t="s">
        <v>2307</v>
      </c>
      <c r="O169" s="10">
        <v>1</v>
      </c>
      <c r="P169" s="10"/>
    </row>
    <row r="170" spans="1:16" ht="12.75" customHeight="1" x14ac:dyDescent="0.3">
      <c r="A170">
        <f t="shared" si="2"/>
        <v>169</v>
      </c>
      <c r="B170" t="s">
        <v>255</v>
      </c>
      <c r="C170">
        <v>4</v>
      </c>
      <c r="D170">
        <v>231</v>
      </c>
      <c r="E170" s="2" t="str">
        <f>VLOOKUP( T_Aop[[#This Row],[Id]], T_Aop[], ID_Jezik +10, 1)</f>
        <v>dio 540</v>
      </c>
      <c r="F170" t="str">
        <f>REPT( "  ", T_Aop[[#This Row],[Aop nivo]]) &amp; VLOOKUP( T_Aop[[#This Row],[Id]], T_Aop[], ID_Jezik + 6, 1)</f>
        <v xml:space="preserve">        c) Amortizacija sredstava uzetih u zakup</v>
      </c>
      <c r="G170" s="288" t="s">
        <v>2700</v>
      </c>
      <c r="H170" s="288" t="s">
        <v>938</v>
      </c>
      <c r="I170" s="295" t="s">
        <v>1852</v>
      </c>
      <c r="J170" s="370" t="s">
        <v>2078</v>
      </c>
      <c r="K170" s="376" t="s">
        <v>1267</v>
      </c>
      <c r="L170" s="275" t="s">
        <v>1144</v>
      </c>
      <c r="M170" s="293" t="s">
        <v>1916</v>
      </c>
      <c r="N170" s="293" t="s">
        <v>2307</v>
      </c>
      <c r="O170" s="10">
        <v>1</v>
      </c>
      <c r="P170" s="10"/>
    </row>
    <row r="171" spans="1:16" ht="12.75" customHeight="1" x14ac:dyDescent="0.3">
      <c r="A171">
        <f t="shared" si="2"/>
        <v>170</v>
      </c>
      <c r="B171" t="s">
        <v>255</v>
      </c>
      <c r="C171">
        <v>4</v>
      </c>
      <c r="D171">
        <v>232</v>
      </c>
      <c r="E171" s="2" t="str">
        <f>VLOOKUP( T_Aop[[#This Row],[Id]], T_Aop[], ID_Jezik +10, 1)</f>
        <v>dio 540</v>
      </c>
      <c r="F171" t="str">
        <f>REPT( "  ", T_Aop[[#This Row],[Aop nivo]]) &amp; VLOOKUP( T_Aop[[#This Row],[Id]], T_Aop[], ID_Jezik + 6, 1)</f>
        <v xml:space="preserve">        d) Amortizacija ostalih sredstava</v>
      </c>
      <c r="G171" s="288" t="s">
        <v>2701</v>
      </c>
      <c r="H171" s="288" t="s">
        <v>939</v>
      </c>
      <c r="I171" s="295" t="s">
        <v>1853</v>
      </c>
      <c r="J171" s="370" t="s">
        <v>2079</v>
      </c>
      <c r="K171" s="376" t="s">
        <v>1267</v>
      </c>
      <c r="L171" s="275" t="s">
        <v>1144</v>
      </c>
      <c r="M171" s="293" t="s">
        <v>1916</v>
      </c>
      <c r="N171" s="293" t="s">
        <v>2307</v>
      </c>
      <c r="O171" s="10">
        <v>1</v>
      </c>
      <c r="P171" s="10"/>
    </row>
    <row r="172" spans="1:16" ht="12.75" customHeight="1" x14ac:dyDescent="0.3">
      <c r="A172">
        <f t="shared" si="2"/>
        <v>171</v>
      </c>
      <c r="B172" t="s">
        <v>255</v>
      </c>
      <c r="C172">
        <v>3</v>
      </c>
      <c r="D172">
        <v>233</v>
      </c>
      <c r="E172" s="2" t="str">
        <f>VLOOKUP( T_Aop[[#This Row],[Id]], T_Aop[], ID_Jezik +10, 1)</f>
        <v>541</v>
      </c>
      <c r="F172" t="str">
        <f>REPT( "  ", T_Aop[[#This Row],[Aop nivo]]) &amp; VLOOKUP( T_Aop[[#This Row],[Id]], T_Aop[], ID_Jezik + 6, 1)</f>
        <v xml:space="preserve">      6.2 Troškovi rezervisanja</v>
      </c>
      <c r="G172" s="288" t="s">
        <v>1187</v>
      </c>
      <c r="H172" s="288" t="s">
        <v>942</v>
      </c>
      <c r="I172" s="295" t="s">
        <v>1854</v>
      </c>
      <c r="J172" s="370" t="s">
        <v>2522</v>
      </c>
      <c r="K172" s="376" t="s">
        <v>1268</v>
      </c>
      <c r="L172" s="275">
        <v>541</v>
      </c>
      <c r="M172" s="293">
        <v>541</v>
      </c>
      <c r="N172" s="293">
        <v>541</v>
      </c>
      <c r="O172" s="10">
        <v>1</v>
      </c>
      <c r="P172" s="10"/>
    </row>
    <row r="173" spans="1:16" ht="12.75" customHeight="1" x14ac:dyDescent="0.3">
      <c r="A173">
        <f t="shared" si="2"/>
        <v>172</v>
      </c>
      <c r="B173" t="s">
        <v>255</v>
      </c>
      <c r="C173">
        <v>2</v>
      </c>
      <c r="D173">
        <v>234</v>
      </c>
      <c r="E173" s="2" t="str">
        <f>VLOOKUP( T_Aop[[#This Row],[Id]], T_Aop[], ID_Jezik +10, 1)</f>
        <v>55 osim 555 i 556</v>
      </c>
      <c r="F173" t="str">
        <f>REPT( "  ", T_Aop[[#This Row],[Aop nivo]]) &amp; VLOOKUP( T_Aop[[#This Row],[Id]], T_Aop[], ID_Jezik + 6, 1)</f>
        <v xml:space="preserve">    7. Nematerijalni troškovi (bez poreza i doprinosa)</v>
      </c>
      <c r="G173" s="288" t="s">
        <v>1233</v>
      </c>
      <c r="H173" s="288" t="s">
        <v>1234</v>
      </c>
      <c r="I173" s="295" t="s">
        <v>1855</v>
      </c>
      <c r="J173" s="370" t="s">
        <v>2523</v>
      </c>
      <c r="K173" s="376" t="s">
        <v>1269</v>
      </c>
      <c r="L173" s="275" t="s">
        <v>1145</v>
      </c>
      <c r="M173" s="293" t="s">
        <v>1917</v>
      </c>
      <c r="N173" s="293" t="s">
        <v>2308</v>
      </c>
      <c r="O173" s="10"/>
      <c r="P173" s="10"/>
    </row>
    <row r="174" spans="1:16" x14ac:dyDescent="0.3">
      <c r="A174">
        <f t="shared" si="2"/>
        <v>173</v>
      </c>
      <c r="B174" t="s">
        <v>255</v>
      </c>
      <c r="C174">
        <v>2</v>
      </c>
      <c r="D174">
        <v>235</v>
      </c>
      <c r="E174" s="2" t="str">
        <f>VLOOKUP( T_Aop[[#This Row],[Id]], T_Aop[], ID_Jezik +10, 1)</f>
        <v>555</v>
      </c>
      <c r="F174" t="str">
        <f>REPT( "  ", T_Aop[[#This Row],[Aop nivo]]) &amp; VLOOKUP( T_Aop[[#This Row],[Id]], T_Aop[], ID_Jezik + 6, 1)</f>
        <v xml:space="preserve">    8. Troškovi poreza</v>
      </c>
      <c r="G174" s="288" t="s">
        <v>1231</v>
      </c>
      <c r="H174" s="288" t="s">
        <v>1235</v>
      </c>
      <c r="I174" s="295" t="s">
        <v>1856</v>
      </c>
      <c r="J174" s="370" t="s">
        <v>2524</v>
      </c>
      <c r="K174" s="376" t="s">
        <v>1270</v>
      </c>
      <c r="L174" s="275">
        <v>555</v>
      </c>
      <c r="M174" s="293">
        <v>555</v>
      </c>
      <c r="N174" s="293">
        <v>555</v>
      </c>
      <c r="O174" s="10"/>
      <c r="P174" s="10"/>
    </row>
    <row r="175" spans="1:16" ht="12.75" customHeight="1" x14ac:dyDescent="0.3">
      <c r="A175">
        <f t="shared" si="2"/>
        <v>174</v>
      </c>
      <c r="B175" t="s">
        <v>255</v>
      </c>
      <c r="C175">
        <v>2</v>
      </c>
      <c r="D175">
        <v>236</v>
      </c>
      <c r="E175" s="2" t="str">
        <f>VLOOKUP( T_Aop[[#This Row],[Id]], T_Aop[], ID_Jezik +10, 1)</f>
        <v>556</v>
      </c>
      <c r="F175" t="str">
        <f>REPT( "  ", T_Aop[[#This Row],[Aop nivo]]) &amp; VLOOKUP( T_Aop[[#This Row],[Id]], T_Aop[], ID_Jezik + 6, 1)</f>
        <v xml:space="preserve">    9. Troškovi doprinosa</v>
      </c>
      <c r="G175" s="288" t="s">
        <v>1232</v>
      </c>
      <c r="H175" s="288" t="s">
        <v>1236</v>
      </c>
      <c r="I175" s="295" t="s">
        <v>1857</v>
      </c>
      <c r="J175" s="370" t="s">
        <v>2525</v>
      </c>
      <c r="K175" s="376" t="s">
        <v>1271</v>
      </c>
      <c r="L175" s="275">
        <v>556</v>
      </c>
      <c r="M175" s="293">
        <v>556</v>
      </c>
      <c r="N175" s="293">
        <v>556</v>
      </c>
      <c r="O175" s="10"/>
      <c r="P175" s="10"/>
    </row>
    <row r="176" spans="1:16" ht="12.75" customHeight="1" x14ac:dyDescent="0.3">
      <c r="A176">
        <f t="shared" si="2"/>
        <v>175</v>
      </c>
      <c r="B176" t="s">
        <v>255</v>
      </c>
      <c r="C176">
        <v>1</v>
      </c>
      <c r="D176">
        <v>237</v>
      </c>
      <c r="E176" s="2">
        <f>VLOOKUP( T_Aop[[#This Row],[Id]], T_Aop[], ID_Jezik +10, 1)</f>
        <v>0</v>
      </c>
      <c r="F176" t="str">
        <f>REPT( "  ", T_Aop[[#This Row],[Aop nivo]]) &amp; VLOOKUP( T_Aop[[#This Row],[Id]], T_Aop[], ID_Jezik + 6, 1)</f>
        <v xml:space="preserve">  B.  POSLOVNI DOBITAK (201 – 219)</v>
      </c>
      <c r="G176" s="281" t="s">
        <v>1188</v>
      </c>
      <c r="H176" s="288" t="s">
        <v>943</v>
      </c>
      <c r="I176" s="295" t="s">
        <v>1858</v>
      </c>
      <c r="J176" s="370" t="s">
        <v>2080</v>
      </c>
      <c r="K176" s="376"/>
      <c r="L176" s="275"/>
      <c r="M176" s="293"/>
      <c r="N176" s="293"/>
      <c r="O176" s="10"/>
      <c r="P176" s="10"/>
    </row>
    <row r="177" spans="1:16" ht="12.75" customHeight="1" x14ac:dyDescent="0.3">
      <c r="A177">
        <f t="shared" si="2"/>
        <v>176</v>
      </c>
      <c r="B177" t="s">
        <v>255</v>
      </c>
      <c r="C177">
        <v>1</v>
      </c>
      <c r="D177">
        <v>238</v>
      </c>
      <c r="E177" s="2">
        <f>VLOOKUP( T_Aop[[#This Row],[Id]], T_Aop[], ID_Jezik +10, 1)</f>
        <v>0</v>
      </c>
      <c r="F177" t="str">
        <f>REPT( "  ", T_Aop[[#This Row],[Aop nivo]]) &amp; VLOOKUP( T_Aop[[#This Row],[Id]], T_Aop[], ID_Jezik + 6, 1)</f>
        <v xml:space="preserve">  V.  POSLOVNI GUBITAK (219 – 201)</v>
      </c>
      <c r="G177" s="281" t="s">
        <v>1189</v>
      </c>
      <c r="H177" s="288" t="s">
        <v>944</v>
      </c>
      <c r="I177" s="295" t="s">
        <v>1859</v>
      </c>
      <c r="J177" s="370" t="s">
        <v>2081</v>
      </c>
      <c r="K177" s="376"/>
      <c r="L177" s="275"/>
      <c r="M177" s="293"/>
      <c r="N177" s="293"/>
      <c r="O177" s="10"/>
      <c r="P177" s="10"/>
    </row>
    <row r="178" spans="1:16" ht="15.25" customHeight="1" x14ac:dyDescent="0.3">
      <c r="A178">
        <f t="shared" si="2"/>
        <v>177</v>
      </c>
      <c r="B178" t="s">
        <v>255</v>
      </c>
      <c r="C178">
        <v>1</v>
      </c>
      <c r="D178">
        <v>239</v>
      </c>
      <c r="E178" s="2" t="str">
        <f>VLOOKUP( T_Aop[[#This Row],[Id]], T_Aop[], ID_Jezik +10, 1)</f>
        <v>66</v>
      </c>
      <c r="F178" t="str">
        <f>REPT( "  ", T_Aop[[#This Row],[Aop nivo]]) &amp; VLOOKUP( T_Aop[[#This Row],[Id]], T_Aop[], ID_Jezik + 6, 1)</f>
        <v xml:space="preserve">  G. FINANSIJSKI PRIHODI I RASHODI _x000D_
I  FINANSIJSKI PRIHODI (240 do 243)</v>
      </c>
      <c r="G178" s="280" t="s">
        <v>1190</v>
      </c>
      <c r="H178" s="288" t="s">
        <v>945</v>
      </c>
      <c r="I178" s="295" t="s">
        <v>1860</v>
      </c>
      <c r="J178" s="370" t="s">
        <v>2217</v>
      </c>
      <c r="K178" s="376" t="s">
        <v>1272</v>
      </c>
      <c r="L178" s="275">
        <v>66</v>
      </c>
      <c r="M178" s="293">
        <v>66</v>
      </c>
      <c r="N178" s="293">
        <v>66</v>
      </c>
      <c r="O178" s="10"/>
      <c r="P178" s="10"/>
    </row>
    <row r="179" spans="1:16" x14ac:dyDescent="0.3">
      <c r="A179">
        <f t="shared" si="2"/>
        <v>178</v>
      </c>
      <c r="B179" t="s">
        <v>255</v>
      </c>
      <c r="C179">
        <v>2</v>
      </c>
      <c r="D179">
        <v>240</v>
      </c>
      <c r="E179" s="2" t="str">
        <f>VLOOKUP( T_Aop[[#This Row],[Id]], T_Aop[], ID_Jezik +10, 1)</f>
        <v>660, 661</v>
      </c>
      <c r="F179" t="str">
        <f>REPT( "  ", T_Aop[[#This Row],[Aop nivo]]) &amp; VLOOKUP( T_Aop[[#This Row],[Id]], T_Aop[], ID_Jezik + 6, 1)</f>
        <v xml:space="preserve">    1.   Prihodi od kamata</v>
      </c>
      <c r="G179" s="288" t="s">
        <v>1191</v>
      </c>
      <c r="H179" s="288" t="s">
        <v>946</v>
      </c>
      <c r="I179" s="295" t="s">
        <v>1861</v>
      </c>
      <c r="J179" s="370" t="s">
        <v>2526</v>
      </c>
      <c r="K179" s="376" t="s">
        <v>1146</v>
      </c>
      <c r="L179" s="275" t="s">
        <v>1146</v>
      </c>
      <c r="M179" s="293" t="s">
        <v>1146</v>
      </c>
      <c r="N179" s="293" t="s">
        <v>1146</v>
      </c>
      <c r="O179" s="10">
        <v>1</v>
      </c>
      <c r="P179" s="10"/>
    </row>
    <row r="180" spans="1:16" ht="12.75" customHeight="1" x14ac:dyDescent="0.3">
      <c r="A180">
        <f t="shared" si="2"/>
        <v>179</v>
      </c>
      <c r="B180" t="s">
        <v>255</v>
      </c>
      <c r="C180">
        <v>2</v>
      </c>
      <c r="D180">
        <v>241</v>
      </c>
      <c r="E180" s="2" t="str">
        <f>VLOOKUP( T_Aop[[#This Row],[Id]], T_Aop[], ID_Jezik +10, 1)</f>
        <v>662</v>
      </c>
      <c r="F180" t="str">
        <f>REPT( "  ", T_Aop[[#This Row],[Aop nivo]]) &amp; VLOOKUP( T_Aop[[#This Row],[Id]], T_Aop[], ID_Jezik + 6, 1)</f>
        <v xml:space="preserve">    2.   Pozitivne kursne razlike</v>
      </c>
      <c r="G180" s="288" t="s">
        <v>1192</v>
      </c>
      <c r="H180" s="288" t="s">
        <v>947</v>
      </c>
      <c r="I180" s="295" t="s">
        <v>1862</v>
      </c>
      <c r="J180" s="370" t="s">
        <v>2527</v>
      </c>
      <c r="K180" s="376" t="s">
        <v>1273</v>
      </c>
      <c r="L180" s="275">
        <v>662</v>
      </c>
      <c r="M180" s="293">
        <v>662</v>
      </c>
      <c r="N180" s="293">
        <v>662</v>
      </c>
      <c r="O180" s="10"/>
      <c r="P180" s="10"/>
    </row>
    <row r="181" spans="1:16" ht="12.75" customHeight="1" x14ac:dyDescent="0.3">
      <c r="A181">
        <f t="shared" si="2"/>
        <v>180</v>
      </c>
      <c r="B181" t="s">
        <v>255</v>
      </c>
      <c r="C181">
        <v>2</v>
      </c>
      <c r="D181">
        <v>242</v>
      </c>
      <c r="E181" s="2" t="str">
        <f>VLOOKUP( T_Aop[[#This Row],[Id]], T_Aop[], ID_Jezik +10, 1)</f>
        <v>663</v>
      </c>
      <c r="F181" t="str">
        <f>REPT( "  ", T_Aop[[#This Row],[Aop nivo]]) &amp; VLOOKUP( T_Aop[[#This Row],[Id]], T_Aop[], ID_Jezik + 6, 1)</f>
        <v xml:space="preserve">    3.   Prihodi od efekata valutne klauzule</v>
      </c>
      <c r="G181" s="288" t="s">
        <v>1193</v>
      </c>
      <c r="H181" s="288" t="s">
        <v>948</v>
      </c>
      <c r="I181" s="295" t="s">
        <v>1863</v>
      </c>
      <c r="J181" s="370" t="s">
        <v>2528</v>
      </c>
      <c r="K181" s="376" t="s">
        <v>1274</v>
      </c>
      <c r="L181" s="275">
        <v>663</v>
      </c>
      <c r="M181" s="293">
        <v>663</v>
      </c>
      <c r="N181" s="293">
        <v>663</v>
      </c>
      <c r="O181" s="10"/>
      <c r="P181" s="10"/>
    </row>
    <row r="182" spans="1:16" ht="12.75" customHeight="1" x14ac:dyDescent="0.3">
      <c r="A182">
        <f t="shared" si="2"/>
        <v>181</v>
      </c>
      <c r="B182" t="s">
        <v>255</v>
      </c>
      <c r="C182">
        <v>2</v>
      </c>
      <c r="D182">
        <v>243</v>
      </c>
      <c r="E182" s="2" t="str">
        <f>VLOOKUP( T_Aop[[#This Row],[Id]], T_Aop[], ID_Jezik +10, 1)</f>
        <v>669</v>
      </c>
      <c r="F182" t="str">
        <f>REPT( "  ", T_Aop[[#This Row],[Aop nivo]]) &amp; VLOOKUP( T_Aop[[#This Row],[Id]], T_Aop[], ID_Jezik + 6, 1)</f>
        <v xml:space="preserve">    4.   Ostali finansijski prihodi</v>
      </c>
      <c r="G182" s="288" t="s">
        <v>1194</v>
      </c>
      <c r="H182" s="288" t="s">
        <v>949</v>
      </c>
      <c r="I182" s="295" t="s">
        <v>1864</v>
      </c>
      <c r="J182" s="370" t="s">
        <v>2529</v>
      </c>
      <c r="K182" s="376" t="s">
        <v>1275</v>
      </c>
      <c r="L182" s="275">
        <v>669</v>
      </c>
      <c r="M182" s="293">
        <v>669</v>
      </c>
      <c r="N182" s="293">
        <v>669</v>
      </c>
      <c r="O182" s="10"/>
      <c r="P182" s="10"/>
    </row>
    <row r="183" spans="1:16" ht="12.75" customHeight="1" x14ac:dyDescent="0.3">
      <c r="A183">
        <f t="shared" si="2"/>
        <v>182</v>
      </c>
      <c r="B183" t="s">
        <v>255</v>
      </c>
      <c r="C183">
        <v>1</v>
      </c>
      <c r="D183">
        <v>244</v>
      </c>
      <c r="E183" s="2" t="str">
        <f>VLOOKUP( T_Aop[[#This Row],[Id]], T_Aop[], ID_Jezik +10, 1)</f>
        <v>56</v>
      </c>
      <c r="F183" t="str">
        <f>REPT( "  ", T_Aop[[#This Row],[Aop nivo]]) &amp; VLOOKUP( T_Aop[[#This Row],[Id]], T_Aop[], ID_Jezik + 6, 1)</f>
        <v xml:space="preserve">  II  FINANSIJSKI RASHODI (245 do 248)</v>
      </c>
      <c r="G183" s="281" t="s">
        <v>1195</v>
      </c>
      <c r="H183" s="288" t="s">
        <v>950</v>
      </c>
      <c r="I183" s="295" t="s">
        <v>2724</v>
      </c>
      <c r="J183" s="370" t="s">
        <v>2082</v>
      </c>
      <c r="K183" s="376" t="s">
        <v>1276</v>
      </c>
      <c r="L183" s="275">
        <v>56</v>
      </c>
      <c r="M183" s="293">
        <v>56</v>
      </c>
      <c r="N183" s="293">
        <v>56</v>
      </c>
      <c r="O183" s="10"/>
      <c r="P183" s="10"/>
    </row>
    <row r="184" spans="1:16" x14ac:dyDescent="0.3">
      <c r="A184">
        <f t="shared" si="2"/>
        <v>183</v>
      </c>
      <c r="B184" t="s">
        <v>255</v>
      </c>
      <c r="C184">
        <v>2</v>
      </c>
      <c r="D184">
        <v>245</v>
      </c>
      <c r="E184" s="2" t="str">
        <f>VLOOKUP( T_Aop[[#This Row],[Id]], T_Aop[], ID_Jezik +10, 1)</f>
        <v>560, 561</v>
      </c>
      <c r="F184" t="str">
        <f>REPT( "  ", T_Aop[[#This Row],[Aop nivo]]) &amp; VLOOKUP( T_Aop[[#This Row],[Id]], T_Aop[], ID_Jezik + 6, 1)</f>
        <v xml:space="preserve">    1. Rashodi kamata</v>
      </c>
      <c r="G184" s="288" t="s">
        <v>1243</v>
      </c>
      <c r="H184" s="288" t="s">
        <v>1239</v>
      </c>
      <c r="I184" s="295" t="s">
        <v>1865</v>
      </c>
      <c r="J184" s="370" t="s">
        <v>2841</v>
      </c>
      <c r="K184" s="376" t="s">
        <v>1147</v>
      </c>
      <c r="L184" s="275" t="s">
        <v>1147</v>
      </c>
      <c r="M184" s="293" t="s">
        <v>1147</v>
      </c>
      <c r="N184" s="293" t="s">
        <v>1147</v>
      </c>
      <c r="O184" s="10"/>
      <c r="P184" s="10"/>
    </row>
    <row r="185" spans="1:16" ht="12.75" customHeight="1" x14ac:dyDescent="0.3">
      <c r="A185">
        <f t="shared" si="2"/>
        <v>184</v>
      </c>
      <c r="B185" t="s">
        <v>255</v>
      </c>
      <c r="C185">
        <v>2</v>
      </c>
      <c r="D185">
        <v>246</v>
      </c>
      <c r="E185" s="2" t="str">
        <f>VLOOKUP( T_Aop[[#This Row],[Id]], T_Aop[], ID_Jezik +10, 1)</f>
        <v>562</v>
      </c>
      <c r="F185" t="str">
        <f>REPT( "  ", T_Aop[[#This Row],[Aop nivo]]) &amp; VLOOKUP( T_Aop[[#This Row],[Id]], T_Aop[], ID_Jezik + 6, 1)</f>
        <v xml:space="preserve">    2. Negativne kursne razlike</v>
      </c>
      <c r="G185" s="288" t="s">
        <v>1244</v>
      </c>
      <c r="H185" s="288" t="s">
        <v>1240</v>
      </c>
      <c r="I185" s="295" t="s">
        <v>1866</v>
      </c>
      <c r="J185" s="370" t="s">
        <v>2840</v>
      </c>
      <c r="K185" s="376" t="s">
        <v>1277</v>
      </c>
      <c r="L185" s="275">
        <v>562</v>
      </c>
      <c r="M185" s="293">
        <v>562</v>
      </c>
      <c r="N185" s="293">
        <v>562</v>
      </c>
      <c r="O185" s="10">
        <v>1</v>
      </c>
      <c r="P185" s="10"/>
    </row>
    <row r="186" spans="1:16" ht="12.75" customHeight="1" x14ac:dyDescent="0.3">
      <c r="A186">
        <f t="shared" si="2"/>
        <v>185</v>
      </c>
      <c r="B186" t="s">
        <v>255</v>
      </c>
      <c r="C186">
        <v>2</v>
      </c>
      <c r="D186">
        <v>247</v>
      </c>
      <c r="E186" s="2" t="str">
        <f>VLOOKUP( T_Aop[[#This Row],[Id]], T_Aop[], ID_Jezik +10, 1)</f>
        <v>563</v>
      </c>
      <c r="F186" t="str">
        <f>REPT( "  ", T_Aop[[#This Row],[Aop nivo]]) &amp; VLOOKUP( T_Aop[[#This Row],[Id]], T_Aop[], ID_Jezik + 6, 1)</f>
        <v xml:space="preserve">    3. Rashodi po osnovu valutne klauzule</v>
      </c>
      <c r="G186" s="288" t="s">
        <v>1245</v>
      </c>
      <c r="H186" s="288" t="s">
        <v>1241</v>
      </c>
      <c r="I186" s="295" t="s">
        <v>1867</v>
      </c>
      <c r="J186" s="370" t="s">
        <v>2842</v>
      </c>
      <c r="K186" s="376" t="s">
        <v>1278</v>
      </c>
      <c r="L186" s="275">
        <v>563</v>
      </c>
      <c r="M186" s="293">
        <v>563</v>
      </c>
      <c r="N186" s="293">
        <v>563</v>
      </c>
      <c r="O186" s="10">
        <v>1</v>
      </c>
      <c r="P186" s="10"/>
    </row>
    <row r="187" spans="1:16" ht="12.75" customHeight="1" x14ac:dyDescent="0.3">
      <c r="A187">
        <f t="shared" si="2"/>
        <v>186</v>
      </c>
      <c r="B187" t="s">
        <v>255</v>
      </c>
      <c r="C187">
        <v>2</v>
      </c>
      <c r="D187">
        <v>248</v>
      </c>
      <c r="E187" s="2" t="str">
        <f>VLOOKUP( T_Aop[[#This Row],[Id]], T_Aop[], ID_Jezik +10, 1)</f>
        <v>569</v>
      </c>
      <c r="F187" t="str">
        <f>REPT( "  ", T_Aop[[#This Row],[Aop nivo]]) &amp; VLOOKUP( T_Aop[[#This Row],[Id]], T_Aop[], ID_Jezik + 6, 1)</f>
        <v xml:space="preserve">    4. Ostali finansijski rashodi</v>
      </c>
      <c r="G187" s="288" t="s">
        <v>1246</v>
      </c>
      <c r="H187" s="288" t="s">
        <v>1242</v>
      </c>
      <c r="I187" s="295" t="s">
        <v>1868</v>
      </c>
      <c r="J187" s="370" t="s">
        <v>2530</v>
      </c>
      <c r="K187" s="376" t="s">
        <v>1279</v>
      </c>
      <c r="L187" s="275">
        <v>569</v>
      </c>
      <c r="M187" s="293">
        <v>569</v>
      </c>
      <c r="N187" s="293">
        <v>569</v>
      </c>
      <c r="O187" s="10">
        <v>1</v>
      </c>
      <c r="P187" s="10"/>
    </row>
    <row r="188" spans="1:16" ht="24.25" customHeight="1" x14ac:dyDescent="0.3">
      <c r="A188">
        <f t="shared" si="2"/>
        <v>187</v>
      </c>
      <c r="B188" t="s">
        <v>255</v>
      </c>
      <c r="C188">
        <v>1</v>
      </c>
      <c r="D188">
        <v>249</v>
      </c>
      <c r="E188" s="2">
        <f>VLOOKUP( T_Aop[[#This Row],[Id]], T_Aop[], ID_Jezik +10, 1)</f>
        <v>0</v>
      </c>
      <c r="F188" t="str">
        <f>REPT( "  ", T_Aop[[#This Row],[Aop nivo]]) &amp; VLOOKUP( T_Aop[[#This Row],[Id]], T_Aop[], ID_Jezik + 6, 1)</f>
        <v xml:space="preserve">  D. DOBITAK REDOVNE AKTIVNOSTI  (237 + 239 – 244) ili (239-244-238)     </v>
      </c>
      <c r="G188" s="291" t="s">
        <v>2224</v>
      </c>
      <c r="H188" s="291" t="s">
        <v>2211</v>
      </c>
      <c r="I188" s="295" t="s">
        <v>2212</v>
      </c>
      <c r="J188" s="370" t="s">
        <v>2083</v>
      </c>
      <c r="K188" s="376"/>
      <c r="L188" s="275"/>
      <c r="M188" s="293"/>
      <c r="N188" s="293"/>
      <c r="O188" s="10">
        <v>1</v>
      </c>
      <c r="P188" s="10"/>
    </row>
    <row r="189" spans="1:16" ht="24.25" customHeight="1" x14ac:dyDescent="0.3">
      <c r="A189">
        <f t="shared" si="2"/>
        <v>188</v>
      </c>
      <c r="B189" t="s">
        <v>255</v>
      </c>
      <c r="C189">
        <v>1</v>
      </c>
      <c r="D189">
        <v>250</v>
      </c>
      <c r="E189" s="2">
        <f>VLOOKUP( T_Aop[[#This Row],[Id]], T_Aop[], ID_Jezik +10, 1)</f>
        <v>0</v>
      </c>
      <c r="F189" t="str">
        <f>REPT( "  ", T_Aop[[#This Row],[Aop nivo]]) &amp; VLOOKUP( T_Aop[[#This Row],[Id]], T_Aop[], ID_Jezik + 6, 1)</f>
        <v xml:space="preserve">  Đ. GUBITAK REDOVNE AKTIVNOSTI (238 + 244 -239) ili (244-239-237)</v>
      </c>
      <c r="G189" s="291" t="s">
        <v>2225</v>
      </c>
      <c r="H189" s="291" t="s">
        <v>2210</v>
      </c>
      <c r="I189" s="295" t="s">
        <v>2573</v>
      </c>
      <c r="J189" s="370" t="s">
        <v>2084</v>
      </c>
      <c r="K189" s="376"/>
      <c r="L189" s="275"/>
      <c r="M189" s="293"/>
      <c r="N189" s="293"/>
      <c r="O189" s="10"/>
      <c r="P189" s="10"/>
    </row>
    <row r="190" spans="1:16" ht="29.25" customHeight="1" x14ac:dyDescent="0.3">
      <c r="A190">
        <f t="shared" si="2"/>
        <v>189</v>
      </c>
      <c r="B190" t="s">
        <v>255</v>
      </c>
      <c r="C190">
        <v>1</v>
      </c>
      <c r="D190">
        <v>251</v>
      </c>
      <c r="E190" s="2" t="str">
        <f>VLOOKUP( T_Aop[[#This Row],[Id]], T_Aop[], ID_Jezik +10, 1)</f>
        <v>67</v>
      </c>
      <c r="F190" t="str">
        <f>REPT( "  ", T_Aop[[#This Row],[Aop nivo]]) &amp; VLOOKUP( T_Aop[[#This Row],[Id]], T_Aop[], ID_Jezik + 6, 1)</f>
        <v xml:space="preserve">  E. OSTALI DOBICI I GUBICI 
I OSTALI PRIHODI I DOBICI (252 do 260)</v>
      </c>
      <c r="G190" s="291" t="s">
        <v>2913</v>
      </c>
      <c r="H190" s="288" t="s">
        <v>2763</v>
      </c>
      <c r="I190" s="295" t="s">
        <v>2764</v>
      </c>
      <c r="J190" s="370" t="s">
        <v>2572</v>
      </c>
      <c r="K190" s="376" t="s">
        <v>1280</v>
      </c>
      <c r="L190" s="275">
        <v>67</v>
      </c>
      <c r="M190" s="293">
        <v>67</v>
      </c>
      <c r="N190" s="293">
        <v>67</v>
      </c>
      <c r="O190" s="10"/>
      <c r="P190" s="10"/>
    </row>
    <row r="191" spans="1:16" ht="12.75" customHeight="1" x14ac:dyDescent="0.3">
      <c r="A191">
        <f t="shared" si="2"/>
        <v>190</v>
      </c>
      <c r="B191" t="s">
        <v>255</v>
      </c>
      <c r="C191">
        <v>2</v>
      </c>
      <c r="D191">
        <v>252</v>
      </c>
      <c r="E191" s="2" t="str">
        <f>VLOOKUP( T_Aop[[#This Row],[Id]], T_Aop[], ID_Jezik +10, 1)</f>
        <v>670, 570 neto prikaz</v>
      </c>
      <c r="F191" t="str">
        <f>REPT( "  ", T_Aop[[#This Row],[Aop nivo]]) &amp; VLOOKUP( T_Aop[[#This Row],[Id]], T_Aop[], ID_Jezik + 6, 1)</f>
        <v xml:space="preserve">    1. Neto dobici po osnovu prodaje nematerijalnih sredstava, nekretnina, postrojenja i opreme</v>
      </c>
      <c r="G191" s="288" t="s">
        <v>1564</v>
      </c>
      <c r="H191" s="288" t="s">
        <v>1574</v>
      </c>
      <c r="I191" s="295" t="s">
        <v>1869</v>
      </c>
      <c r="J191" s="370" t="s">
        <v>2843</v>
      </c>
      <c r="K191" s="376" t="s">
        <v>1281</v>
      </c>
      <c r="L191" s="275" t="s">
        <v>1148</v>
      </c>
      <c r="M191" s="293" t="s">
        <v>1925</v>
      </c>
      <c r="N191" s="293" t="s">
        <v>2309</v>
      </c>
      <c r="O191" s="10"/>
      <c r="P191" s="10"/>
    </row>
    <row r="192" spans="1:16" ht="12.75" customHeight="1" x14ac:dyDescent="0.3">
      <c r="A192">
        <f t="shared" si="2"/>
        <v>191</v>
      </c>
      <c r="B192" t="s">
        <v>255</v>
      </c>
      <c r="C192">
        <v>2</v>
      </c>
      <c r="D192">
        <v>253</v>
      </c>
      <c r="E192" s="2" t="str">
        <f>VLOOKUP( T_Aop[[#This Row],[Id]], T_Aop[], ID_Jezik +10, 1)</f>
        <v>671, 571 neto prikaz</v>
      </c>
      <c r="F192" t="str">
        <f>REPT( "  ", T_Aop[[#This Row],[Aop nivo]]) &amp; VLOOKUP( T_Aop[[#This Row],[Id]], T_Aop[], ID_Jezik + 6, 1)</f>
        <v xml:space="preserve">    2. Neto dobici po osnovu prodaje investicionih nekretnina</v>
      </c>
      <c r="G192" s="288" t="s">
        <v>1565</v>
      </c>
      <c r="H192" s="288" t="s">
        <v>1575</v>
      </c>
      <c r="I192" s="295" t="s">
        <v>1870</v>
      </c>
      <c r="J192" s="370" t="s">
        <v>2844</v>
      </c>
      <c r="K192" s="376" t="s">
        <v>1282</v>
      </c>
      <c r="L192" s="275" t="s">
        <v>1149</v>
      </c>
      <c r="M192" s="293" t="s">
        <v>1926</v>
      </c>
      <c r="N192" s="293" t="s">
        <v>2310</v>
      </c>
      <c r="O192" s="10"/>
      <c r="P192" s="10"/>
    </row>
    <row r="193" spans="1:16" ht="12.75" customHeight="1" x14ac:dyDescent="0.3">
      <c r="A193">
        <f t="shared" si="2"/>
        <v>192</v>
      </c>
      <c r="B193" t="s">
        <v>255</v>
      </c>
      <c r="C193">
        <v>2</v>
      </c>
      <c r="D193">
        <v>254</v>
      </c>
      <c r="E193" s="2" t="str">
        <f>VLOOKUP( T_Aop[[#This Row],[Id]], T_Aop[], ID_Jezik +10, 1)</f>
        <v>672, 572 neto prikaz</v>
      </c>
      <c r="F193" t="str">
        <f>REPT( "  ", T_Aop[[#This Row],[Aop nivo]]) &amp; VLOOKUP( T_Aop[[#This Row],[Id]], T_Aop[], ID_Jezik + 6, 1)</f>
        <v xml:space="preserve">    3. Neto dobici po osnovu prodaje bioloških sredstava</v>
      </c>
      <c r="G193" s="288" t="s">
        <v>2702</v>
      </c>
      <c r="H193" s="288" t="s">
        <v>1576</v>
      </c>
      <c r="I193" s="295" t="s">
        <v>1871</v>
      </c>
      <c r="J193" s="370" t="s">
        <v>2845</v>
      </c>
      <c r="K193" s="376" t="s">
        <v>1283</v>
      </c>
      <c r="L193" s="275" t="s">
        <v>1150</v>
      </c>
      <c r="M193" s="293" t="s">
        <v>1927</v>
      </c>
      <c r="N193" s="293" t="s">
        <v>2311</v>
      </c>
      <c r="O193" s="10"/>
      <c r="P193" s="10"/>
    </row>
    <row r="194" spans="1:16" ht="12.75" customHeight="1" x14ac:dyDescent="0.3">
      <c r="A194">
        <f t="shared" ref="A194:A257" si="3">ROW()-ROW($A$1)</f>
        <v>193</v>
      </c>
      <c r="B194" t="s">
        <v>255</v>
      </c>
      <c r="C194">
        <v>2</v>
      </c>
      <c r="D194">
        <v>255</v>
      </c>
      <c r="E194" s="2" t="str">
        <f>VLOOKUP( T_Aop[[#This Row],[Id]], T_Aop[], ID_Jezik +10, 1)</f>
        <v>673, 573, neto prikaz</v>
      </c>
      <c r="F194" t="str">
        <f>REPT( "  ", T_Aop[[#This Row],[Aop nivo]]) &amp; VLOOKUP( T_Aop[[#This Row],[Id]], T_Aop[], ID_Jezik + 6, 1)</f>
        <v xml:space="preserve">    4. Neto dobici po osnovu prodaje stalnih sredstava namijenjenih prodaji i sredstava poslovanja koje se obustavlja</v>
      </c>
      <c r="G194" s="288" t="s">
        <v>1566</v>
      </c>
      <c r="H194" s="288" t="s">
        <v>1577</v>
      </c>
      <c r="I194" s="295" t="s">
        <v>1872</v>
      </c>
      <c r="J194" s="370" t="s">
        <v>2850</v>
      </c>
      <c r="K194" s="376" t="s">
        <v>1284</v>
      </c>
      <c r="L194" s="275" t="s">
        <v>1151</v>
      </c>
      <c r="M194" s="293" t="s">
        <v>1928</v>
      </c>
      <c r="N194" s="293" t="s">
        <v>2312</v>
      </c>
      <c r="O194" s="10"/>
      <c r="P194" s="10"/>
    </row>
    <row r="195" spans="1:16" ht="12.75" customHeight="1" x14ac:dyDescent="0.3">
      <c r="A195">
        <f t="shared" si="3"/>
        <v>194</v>
      </c>
      <c r="B195" t="s">
        <v>255</v>
      </c>
      <c r="C195">
        <v>2</v>
      </c>
      <c r="D195">
        <v>256</v>
      </c>
      <c r="E195" s="2" t="str">
        <f>VLOOKUP( T_Aop[[#This Row],[Id]], T_Aop[], ID_Jezik +10, 1)</f>
        <v>674, 574 neto prikaz</v>
      </c>
      <c r="F195" t="str">
        <f>REPT( "  ", T_Aop[[#This Row],[Aop nivo]]) &amp; VLOOKUP( T_Aop[[#This Row],[Id]], T_Aop[], ID_Jezik + 6, 1)</f>
        <v xml:space="preserve">    5. Neto dobici po osnovu prodaje finansijskih sredstava i ulaganja u povezana lica</v>
      </c>
      <c r="G195" s="288" t="s">
        <v>1567</v>
      </c>
      <c r="H195" s="288" t="s">
        <v>1573</v>
      </c>
      <c r="I195" s="295" t="s">
        <v>1873</v>
      </c>
      <c r="J195" s="370" t="s">
        <v>2846</v>
      </c>
      <c r="K195" s="376" t="s">
        <v>1285</v>
      </c>
      <c r="L195" s="275" t="s">
        <v>1152</v>
      </c>
      <c r="M195" s="293" t="s">
        <v>1929</v>
      </c>
      <c r="N195" s="293" t="s">
        <v>2313</v>
      </c>
      <c r="O195" s="10"/>
      <c r="P195" s="10"/>
    </row>
    <row r="196" spans="1:16" ht="25.5" customHeight="1" x14ac:dyDescent="0.3">
      <c r="A196">
        <f t="shared" si="3"/>
        <v>195</v>
      </c>
      <c r="B196" t="s">
        <v>255</v>
      </c>
      <c r="C196">
        <v>2</v>
      </c>
      <c r="D196">
        <v>257</v>
      </c>
      <c r="E196" s="2" t="str">
        <f>VLOOKUP( T_Aop[[#This Row],[Id]], T_Aop[], ID_Jezik +10, 1)</f>
        <v>675, 575 neto prikaz</v>
      </c>
      <c r="F196" t="str">
        <f>REPT( "  ", T_Aop[[#This Row],[Aop nivo]]) &amp; VLOOKUP( T_Aop[[#This Row],[Id]], T_Aop[], ID_Jezik + 6, 1)</f>
        <v xml:space="preserve">    6. Neto dobici po osnovu prodaje materijala</v>
      </c>
      <c r="G196" s="288" t="s">
        <v>1568</v>
      </c>
      <c r="H196" s="288" t="s">
        <v>1572</v>
      </c>
      <c r="I196" s="295" t="s">
        <v>1874</v>
      </c>
      <c r="J196" s="370" t="s">
        <v>2847</v>
      </c>
      <c r="K196" s="376" t="s">
        <v>1286</v>
      </c>
      <c r="L196" s="275" t="s">
        <v>1153</v>
      </c>
      <c r="M196" s="293" t="s">
        <v>1930</v>
      </c>
      <c r="N196" s="293" t="s">
        <v>2314</v>
      </c>
      <c r="O196" s="10"/>
      <c r="P196" s="10"/>
    </row>
    <row r="197" spans="1:16" x14ac:dyDescent="0.3">
      <c r="A197">
        <f t="shared" si="3"/>
        <v>196</v>
      </c>
      <c r="B197" t="s">
        <v>255</v>
      </c>
      <c r="C197">
        <v>2</v>
      </c>
      <c r="D197">
        <v>258</v>
      </c>
      <c r="E197" s="2" t="str">
        <f>VLOOKUP( T_Aop[[#This Row],[Id]], T_Aop[], ID_Jezik +10, 1)</f>
        <v>676</v>
      </c>
      <c r="F197" t="str">
        <f>REPT( "  ", T_Aop[[#This Row],[Aop nivo]]) &amp; VLOOKUP( T_Aop[[#This Row],[Id]], T_Aop[], ID_Jezik + 6, 1)</f>
        <v xml:space="preserve">    7. Viškovi</v>
      </c>
      <c r="G197" s="288" t="s">
        <v>1569</v>
      </c>
      <c r="H197" s="288" t="s">
        <v>1578</v>
      </c>
      <c r="I197" s="295" t="s">
        <v>1875</v>
      </c>
      <c r="J197" s="370" t="s">
        <v>2848</v>
      </c>
      <c r="K197" s="376" t="s">
        <v>1287</v>
      </c>
      <c r="L197" s="275">
        <v>676</v>
      </c>
      <c r="M197" s="293">
        <v>676</v>
      </c>
      <c r="N197" s="293">
        <v>676</v>
      </c>
      <c r="O197" s="10"/>
      <c r="P197" s="10">
        <v>1</v>
      </c>
    </row>
    <row r="198" spans="1:16" ht="12.75" customHeight="1" x14ac:dyDescent="0.3">
      <c r="A198">
        <f t="shared" si="3"/>
        <v>197</v>
      </c>
      <c r="B198" t="s">
        <v>255</v>
      </c>
      <c r="C198">
        <v>2</v>
      </c>
      <c r="D198">
        <v>259</v>
      </c>
      <c r="E198" s="2" t="str">
        <f>VLOOKUP( T_Aop[[#This Row],[Id]], T_Aop[], ID_Jezik +10, 1)</f>
        <v>677, 679</v>
      </c>
      <c r="F198" t="str">
        <f>REPT( "  ", T_Aop[[#This Row],[Aop nivo]]) &amp; VLOOKUP( T_Aop[[#This Row],[Id]], T_Aop[], ID_Jezik + 6, 1)</f>
        <v xml:space="preserve">    8. Ostali prihodi i dobici </v>
      </c>
      <c r="G198" s="288" t="s">
        <v>1570</v>
      </c>
      <c r="H198" s="288" t="s">
        <v>1579</v>
      </c>
      <c r="I198" s="295" t="s">
        <v>1876</v>
      </c>
      <c r="J198" s="370" t="s">
        <v>2849</v>
      </c>
      <c r="K198" s="376" t="s">
        <v>1154</v>
      </c>
      <c r="L198" s="275" t="s">
        <v>1154</v>
      </c>
      <c r="M198" s="293" t="s">
        <v>1154</v>
      </c>
      <c r="N198" s="293" t="s">
        <v>1154</v>
      </c>
      <c r="O198" s="10"/>
      <c r="P198" s="10">
        <v>1</v>
      </c>
    </row>
    <row r="199" spans="1:16" ht="12.75" customHeight="1" x14ac:dyDescent="0.3">
      <c r="A199">
        <f t="shared" si="3"/>
        <v>198</v>
      </c>
      <c r="B199" t="s">
        <v>255</v>
      </c>
      <c r="C199">
        <v>2</v>
      </c>
      <c r="D199">
        <v>260</v>
      </c>
      <c r="E199" s="2" t="str">
        <f>VLOOKUP( T_Aop[[#This Row],[Id]], T_Aop[], ID_Jezik +10, 1)</f>
        <v>678, 577</v>
      </c>
      <c r="F199" t="str">
        <f>REPT( "  ", T_Aop[[#This Row],[Aop nivo]]) &amp; VLOOKUP( T_Aop[[#This Row],[Id]], T_Aop[], ID_Jezik + 6, 1)</f>
        <v xml:space="preserve">    9.  Neto dobici od derivatnih finansijskih instrumenata </v>
      </c>
      <c r="G199" s="288" t="s">
        <v>1571</v>
      </c>
      <c r="H199" s="288" t="s">
        <v>1580</v>
      </c>
      <c r="I199" s="295" t="s">
        <v>1877</v>
      </c>
      <c r="J199" s="370" t="s">
        <v>2851</v>
      </c>
      <c r="K199" s="376" t="s">
        <v>1155</v>
      </c>
      <c r="L199" s="275" t="s">
        <v>1155</v>
      </c>
      <c r="M199" s="293" t="s">
        <v>1155</v>
      </c>
      <c r="N199" s="293" t="s">
        <v>1155</v>
      </c>
      <c r="O199" s="10">
        <v>1</v>
      </c>
      <c r="P199" s="10"/>
    </row>
    <row r="200" spans="1:16" ht="12.75" customHeight="1" x14ac:dyDescent="0.3">
      <c r="A200">
        <f t="shared" si="3"/>
        <v>199</v>
      </c>
      <c r="B200" t="s">
        <v>255</v>
      </c>
      <c r="C200">
        <v>1</v>
      </c>
      <c r="D200">
        <v>261</v>
      </c>
      <c r="E200" s="2" t="str">
        <f>VLOOKUP( T_Aop[[#This Row],[Id]], T_Aop[], ID_Jezik +10, 1)</f>
        <v>57</v>
      </c>
      <c r="F200" t="str">
        <f>REPT( "  ", T_Aop[[#This Row],[Aop nivo]]) &amp; VLOOKUP( T_Aop[[#This Row],[Id]], T_Aop[], ID_Jezik + 6, 1)</f>
        <v xml:space="preserve">  II  OSTALI RASHODI I GUBICI (262 do 270)</v>
      </c>
      <c r="G200" s="288" t="s">
        <v>1196</v>
      </c>
      <c r="H200" s="288" t="s">
        <v>951</v>
      </c>
      <c r="I200" s="295" t="s">
        <v>2787</v>
      </c>
      <c r="J200" s="370" t="s">
        <v>2085</v>
      </c>
      <c r="K200" s="376" t="s">
        <v>1288</v>
      </c>
      <c r="L200" s="275">
        <v>57</v>
      </c>
      <c r="M200" s="293">
        <v>57</v>
      </c>
      <c r="N200" s="293">
        <v>57</v>
      </c>
      <c r="O200" s="10"/>
      <c r="P200" s="10"/>
    </row>
    <row r="201" spans="1:16" ht="12.75" customHeight="1" x14ac:dyDescent="0.3">
      <c r="A201">
        <f t="shared" si="3"/>
        <v>200</v>
      </c>
      <c r="B201" t="s">
        <v>255</v>
      </c>
      <c r="C201">
        <v>2</v>
      </c>
      <c r="D201">
        <v>262</v>
      </c>
      <c r="E201" s="2" t="str">
        <f>VLOOKUP( T_Aop[[#This Row],[Id]], T_Aop[], ID_Jezik +10, 1)</f>
        <v>570, 670 neto prikaz</v>
      </c>
      <c r="F201" t="str">
        <f>REPT( "  ", T_Aop[[#This Row],[Aop nivo]]) &amp; VLOOKUP( T_Aop[[#This Row],[Id]], T_Aop[], ID_Jezik + 6, 1)</f>
        <v xml:space="preserve">    1. Neto gubici po osnovu otuđenja nematerijalnih sredstava, nekretnina, postrojenja i opreme</v>
      </c>
      <c r="G201" s="288" t="s">
        <v>1540</v>
      </c>
      <c r="H201" s="288" t="s">
        <v>1531</v>
      </c>
      <c r="I201" s="295" t="s">
        <v>1878</v>
      </c>
      <c r="J201" s="370" t="s">
        <v>2852</v>
      </c>
      <c r="K201" s="376" t="s">
        <v>1289</v>
      </c>
      <c r="L201" s="275" t="s">
        <v>1156</v>
      </c>
      <c r="M201" s="293" t="s">
        <v>1931</v>
      </c>
      <c r="N201" s="293" t="s">
        <v>2315</v>
      </c>
      <c r="O201" s="10"/>
      <c r="P201" s="10"/>
    </row>
    <row r="202" spans="1:16" ht="12.75" customHeight="1" x14ac:dyDescent="0.3">
      <c r="A202">
        <f t="shared" si="3"/>
        <v>201</v>
      </c>
      <c r="B202" t="s">
        <v>255</v>
      </c>
      <c r="C202">
        <v>2</v>
      </c>
      <c r="D202">
        <v>263</v>
      </c>
      <c r="E202" s="2" t="str">
        <f>VLOOKUP( T_Aop[[#This Row],[Id]], T_Aop[], ID_Jezik +10, 1)</f>
        <v>571, 671 neto prikaz</v>
      </c>
      <c r="F202" t="str">
        <f>REPT( "  ", T_Aop[[#This Row],[Aop nivo]]) &amp; VLOOKUP( T_Aop[[#This Row],[Id]], T_Aop[], ID_Jezik + 6, 1)</f>
        <v xml:space="preserve">    2. Neto gubici po osnovu otuđenja investicionih nekretnina</v>
      </c>
      <c r="G202" s="288" t="s">
        <v>1539</v>
      </c>
      <c r="H202" s="288" t="s">
        <v>1530</v>
      </c>
      <c r="I202" s="295" t="s">
        <v>1879</v>
      </c>
      <c r="J202" s="370" t="s">
        <v>2853</v>
      </c>
      <c r="K202" s="376" t="s">
        <v>1290</v>
      </c>
      <c r="L202" s="275" t="s">
        <v>1157</v>
      </c>
      <c r="M202" s="293" t="s">
        <v>1932</v>
      </c>
      <c r="N202" s="293" t="s">
        <v>2316</v>
      </c>
      <c r="O202" s="10"/>
      <c r="P202" s="10"/>
    </row>
    <row r="203" spans="1:16" ht="12.75" customHeight="1" x14ac:dyDescent="0.3">
      <c r="A203">
        <f t="shared" si="3"/>
        <v>202</v>
      </c>
      <c r="B203" t="s">
        <v>255</v>
      </c>
      <c r="C203">
        <v>2</v>
      </c>
      <c r="D203">
        <v>264</v>
      </c>
      <c r="E203" s="2" t="str">
        <f>VLOOKUP( T_Aop[[#This Row],[Id]], T_Aop[], ID_Jezik +10, 1)</f>
        <v>572, 672 neto prikaz</v>
      </c>
      <c r="F203" t="str">
        <f>REPT( "  ", T_Aop[[#This Row],[Aop nivo]]) &amp; VLOOKUP( T_Aop[[#This Row],[Id]], T_Aop[], ID_Jezik + 6, 1)</f>
        <v xml:space="preserve">    3. Neto gubici po osnovu otuđenja bioloških sredstava</v>
      </c>
      <c r="G203" s="288" t="s">
        <v>1538</v>
      </c>
      <c r="H203" s="288" t="s">
        <v>1529</v>
      </c>
      <c r="I203" s="295" t="s">
        <v>1880</v>
      </c>
      <c r="J203" s="370" t="s">
        <v>2854</v>
      </c>
      <c r="K203" s="376" t="s">
        <v>1291</v>
      </c>
      <c r="L203" s="275" t="s">
        <v>1158</v>
      </c>
      <c r="M203" s="293" t="s">
        <v>1933</v>
      </c>
      <c r="N203" s="293" t="s">
        <v>2317</v>
      </c>
      <c r="O203" s="10"/>
      <c r="P203" s="10"/>
    </row>
    <row r="204" spans="1:16" ht="12.75" customHeight="1" x14ac:dyDescent="0.3">
      <c r="A204">
        <f t="shared" si="3"/>
        <v>203</v>
      </c>
      <c r="B204" t="s">
        <v>255</v>
      </c>
      <c r="C204">
        <v>2</v>
      </c>
      <c r="D204">
        <v>265</v>
      </c>
      <c r="E204" s="2" t="str">
        <f>VLOOKUP( T_Aop[[#This Row],[Id]], T_Aop[], ID_Jezik +10, 1)</f>
        <v>573, 673, neto prikaz</v>
      </c>
      <c r="F204" t="str">
        <f>REPT( "  ", T_Aop[[#This Row],[Aop nivo]]) &amp; VLOOKUP( T_Aop[[#This Row],[Id]], T_Aop[], ID_Jezik + 6, 1)</f>
        <v xml:space="preserve">    4. Neto gubici po osnovu otuđenja stalnih sredstava namijenjenih prodaji i sredstava poslovanja koje se obustavlja</v>
      </c>
      <c r="G204" s="288" t="s">
        <v>1537</v>
      </c>
      <c r="H204" s="288" t="s">
        <v>1528</v>
      </c>
      <c r="I204" s="295" t="s">
        <v>1881</v>
      </c>
      <c r="J204" s="370" t="s">
        <v>2855</v>
      </c>
      <c r="K204" s="376" t="s">
        <v>1292</v>
      </c>
      <c r="L204" s="275" t="s">
        <v>1159</v>
      </c>
      <c r="M204" s="293" t="s">
        <v>1934</v>
      </c>
      <c r="N204" s="293" t="s">
        <v>2318</v>
      </c>
      <c r="O204" s="10"/>
      <c r="P204" s="10"/>
    </row>
    <row r="205" spans="1:16" ht="12.75" customHeight="1" x14ac:dyDescent="0.3">
      <c r="A205">
        <f t="shared" si="3"/>
        <v>204</v>
      </c>
      <c r="B205" t="s">
        <v>255</v>
      </c>
      <c r="C205">
        <v>2</v>
      </c>
      <c r="D205">
        <v>266</v>
      </c>
      <c r="E205" s="2" t="str">
        <f>VLOOKUP( T_Aop[[#This Row],[Id]], T_Aop[], ID_Jezik +10, 1)</f>
        <v>574, 674 neto prikaz</v>
      </c>
      <c r="F205" t="str">
        <f>REPT( "  ", T_Aop[[#This Row],[Aop nivo]]) &amp; VLOOKUP( T_Aop[[#This Row],[Id]], T_Aop[], ID_Jezik + 6, 1)</f>
        <v xml:space="preserve">    5. Neto gubici od otuđenja finansijskih sredstava i ulaganja u povezana lica</v>
      </c>
      <c r="G205" s="288" t="s">
        <v>1532</v>
      </c>
      <c r="H205" s="288" t="s">
        <v>1526</v>
      </c>
      <c r="I205" s="295" t="s">
        <v>1882</v>
      </c>
      <c r="J205" s="370" t="s">
        <v>2856</v>
      </c>
      <c r="K205" s="376" t="s">
        <v>1293</v>
      </c>
      <c r="L205" s="275" t="s">
        <v>1160</v>
      </c>
      <c r="M205" s="293" t="s">
        <v>1935</v>
      </c>
      <c r="N205" s="293" t="s">
        <v>2319</v>
      </c>
      <c r="O205" s="10"/>
      <c r="P205" s="10"/>
    </row>
    <row r="206" spans="1:16" ht="17.25" customHeight="1" x14ac:dyDescent="0.3">
      <c r="A206">
        <f t="shared" si="3"/>
        <v>205</v>
      </c>
      <c r="B206" t="s">
        <v>255</v>
      </c>
      <c r="C206">
        <v>2</v>
      </c>
      <c r="D206">
        <v>267</v>
      </c>
      <c r="E206" s="2" t="str">
        <f>VLOOKUP( T_Aop[[#This Row],[Id]], T_Aop[], ID_Jezik +10, 1)</f>
        <v xml:space="preserve">575, 675 neto prikaz </v>
      </c>
      <c r="F206" t="str">
        <f>REPT( "  ", T_Aop[[#This Row],[Aop nivo]]) &amp; VLOOKUP( T_Aop[[#This Row],[Id]], T_Aop[], ID_Jezik + 6, 1)</f>
        <v xml:space="preserve">    6. Neto gubici po osnovu prodaje materijala</v>
      </c>
      <c r="G206" s="288" t="s">
        <v>1533</v>
      </c>
      <c r="H206" s="288" t="s">
        <v>1523</v>
      </c>
      <c r="I206" s="295" t="s">
        <v>1883</v>
      </c>
      <c r="J206" s="370" t="s">
        <v>2857</v>
      </c>
      <c r="K206" s="376" t="s">
        <v>1294</v>
      </c>
      <c r="L206" s="275" t="s">
        <v>1161</v>
      </c>
      <c r="M206" s="293" t="s">
        <v>1936</v>
      </c>
      <c r="N206" s="293" t="s">
        <v>2320</v>
      </c>
      <c r="O206" s="10"/>
      <c r="P206" s="10"/>
    </row>
    <row r="207" spans="1:16" x14ac:dyDescent="0.3">
      <c r="A207">
        <f t="shared" si="3"/>
        <v>206</v>
      </c>
      <c r="B207" t="s">
        <v>255</v>
      </c>
      <c r="C207">
        <v>2</v>
      </c>
      <c r="D207">
        <v>268</v>
      </c>
      <c r="E207" s="2" t="str">
        <f>VLOOKUP( T_Aop[[#This Row],[Id]], T_Aop[], ID_Jezik +10, 1)</f>
        <v>576</v>
      </c>
      <c r="F207" t="str">
        <f>REPT( "  ", T_Aop[[#This Row],[Aop nivo]]) &amp; VLOOKUP( T_Aop[[#This Row],[Id]], T_Aop[], ID_Jezik + 6, 1)</f>
        <v xml:space="preserve">    7.  Manjkovi</v>
      </c>
      <c r="G207" s="288" t="s">
        <v>1534</v>
      </c>
      <c r="H207" s="288" t="s">
        <v>1524</v>
      </c>
      <c r="I207" s="295" t="s">
        <v>1884</v>
      </c>
      <c r="J207" s="370" t="s">
        <v>2858</v>
      </c>
      <c r="K207" s="376" t="s">
        <v>1295</v>
      </c>
      <c r="L207" s="275">
        <v>576</v>
      </c>
      <c r="M207" s="293">
        <v>576</v>
      </c>
      <c r="N207" s="293">
        <v>576</v>
      </c>
      <c r="O207" s="10"/>
      <c r="P207" s="10">
        <v>1</v>
      </c>
    </row>
    <row r="208" spans="1:16" ht="12.75" customHeight="1" x14ac:dyDescent="0.3">
      <c r="A208">
        <f t="shared" si="3"/>
        <v>207</v>
      </c>
      <c r="B208" t="s">
        <v>255</v>
      </c>
      <c r="C208">
        <v>2</v>
      </c>
      <c r="D208">
        <v>269</v>
      </c>
      <c r="E208" s="2" t="str">
        <f>VLOOKUP( T_Aop[[#This Row],[Id]], T_Aop[], ID_Jezik +10, 1)</f>
        <v>577, 678 neto prikaz</v>
      </c>
      <c r="F208" t="str">
        <f>REPT( "  ", T_Aop[[#This Row],[Aop nivo]]) &amp; VLOOKUP( T_Aop[[#This Row],[Id]], T_Aop[], ID_Jezik + 6, 1)</f>
        <v xml:space="preserve">    8. Neto gubici od derivatnih finansijskih instrumenata</v>
      </c>
      <c r="G208" s="288" t="s">
        <v>1535</v>
      </c>
      <c r="H208" s="288" t="s">
        <v>1525</v>
      </c>
      <c r="I208" s="295" t="s">
        <v>1885</v>
      </c>
      <c r="J208" s="370" t="s">
        <v>2860</v>
      </c>
      <c r="K208" s="376" t="s">
        <v>1296</v>
      </c>
      <c r="L208" s="275" t="s">
        <v>1162</v>
      </c>
      <c r="M208" s="293" t="s">
        <v>1937</v>
      </c>
      <c r="N208" s="293" t="s">
        <v>2321</v>
      </c>
      <c r="O208" s="10"/>
      <c r="P208" s="10"/>
    </row>
    <row r="209" spans="1:16" ht="12.75" customHeight="1" x14ac:dyDescent="0.3">
      <c r="A209">
        <f t="shared" si="3"/>
        <v>208</v>
      </c>
      <c r="B209" t="s">
        <v>255</v>
      </c>
      <c r="C209">
        <v>2</v>
      </c>
      <c r="D209">
        <v>270</v>
      </c>
      <c r="E209" s="2" t="str">
        <f>VLOOKUP( T_Aop[[#This Row],[Id]], T_Aop[], ID_Jezik +10, 1)</f>
        <v>578, 579</v>
      </c>
      <c r="F209" t="str">
        <f>REPT( "  ", T_Aop[[#This Row],[Aop nivo]]) &amp; VLOOKUP( T_Aop[[#This Row],[Id]], T_Aop[], ID_Jezik + 6, 1)</f>
        <v xml:space="preserve">    9. Ostali rashodi i gubici</v>
      </c>
      <c r="G209" s="288" t="s">
        <v>1536</v>
      </c>
      <c r="H209" s="288" t="s">
        <v>1527</v>
      </c>
      <c r="I209" s="295" t="s">
        <v>1886</v>
      </c>
      <c r="J209" s="370" t="s">
        <v>2859</v>
      </c>
      <c r="K209" s="376" t="s">
        <v>1163</v>
      </c>
      <c r="L209" s="275" t="s">
        <v>1163</v>
      </c>
      <c r="M209" s="293" t="s">
        <v>1163</v>
      </c>
      <c r="N209" s="293" t="s">
        <v>1163</v>
      </c>
      <c r="O209" s="10"/>
      <c r="P209" s="10"/>
    </row>
    <row r="210" spans="1:16" ht="12.75" customHeight="1" x14ac:dyDescent="0.3">
      <c r="A210">
        <f t="shared" si="3"/>
        <v>209</v>
      </c>
      <c r="B210" t="s">
        <v>255</v>
      </c>
      <c r="C210">
        <v>1</v>
      </c>
      <c r="D210">
        <v>271</v>
      </c>
      <c r="E210" s="2">
        <f>VLOOKUP( T_Aop[[#This Row],[Id]], T_Aop[], ID_Jezik +10, 1)</f>
        <v>0</v>
      </c>
      <c r="F210" t="str">
        <f>REPT( "  ", T_Aop[[#This Row],[Aop nivo]]) &amp; VLOOKUP( T_Aop[[#This Row],[Id]], T_Aop[], ID_Jezik + 6, 1)</f>
        <v xml:space="preserve">  Ž. DOBITAK PO OSNOVU OSTALIH PRIHODA I RASHODA (251 – 261)</v>
      </c>
      <c r="G210" s="281" t="s">
        <v>1197</v>
      </c>
      <c r="H210" s="288" t="s">
        <v>952</v>
      </c>
      <c r="I210" s="295" t="s">
        <v>1887</v>
      </c>
      <c r="J210" s="370" t="s">
        <v>2086</v>
      </c>
      <c r="K210" s="376"/>
      <c r="L210" s="275"/>
      <c r="M210" s="293"/>
      <c r="N210" s="293"/>
      <c r="O210" s="10">
        <v>1</v>
      </c>
      <c r="P210" s="10"/>
    </row>
    <row r="211" spans="1:16" ht="12.75" customHeight="1" x14ac:dyDescent="0.3">
      <c r="A211">
        <f t="shared" si="3"/>
        <v>210</v>
      </c>
      <c r="B211" t="s">
        <v>255</v>
      </c>
      <c r="C211">
        <v>1</v>
      </c>
      <c r="D211">
        <v>272</v>
      </c>
      <c r="E211" s="2">
        <f>VLOOKUP( T_Aop[[#This Row],[Id]], T_Aop[], ID_Jezik +10, 1)</f>
        <v>0</v>
      </c>
      <c r="F211" t="str">
        <f>REPT( "  ", T_Aop[[#This Row],[Aop nivo]]) &amp; VLOOKUP( T_Aop[[#This Row],[Id]], T_Aop[], ID_Jezik + 6, 1)</f>
        <v xml:space="preserve">  Z. GUBITAK PO OSNOVU OSTALIH PRIHODA I RASHODA (261 – 251)</v>
      </c>
      <c r="G211" s="281" t="s">
        <v>1198</v>
      </c>
      <c r="H211" s="288" t="s">
        <v>953</v>
      </c>
      <c r="I211" s="295" t="s">
        <v>1888</v>
      </c>
      <c r="J211" s="370" t="s">
        <v>2087</v>
      </c>
      <c r="K211" s="376"/>
      <c r="L211" s="275"/>
      <c r="M211" s="293"/>
      <c r="N211" s="293"/>
      <c r="O211" s="10">
        <v>1</v>
      </c>
      <c r="P211" s="10"/>
    </row>
    <row r="212" spans="1:16" ht="12.75" customHeight="1" x14ac:dyDescent="0.3">
      <c r="A212">
        <f t="shared" si="3"/>
        <v>211</v>
      </c>
      <c r="B212" t="s">
        <v>255</v>
      </c>
      <c r="C212">
        <v>1</v>
      </c>
      <c r="D212">
        <v>273</v>
      </c>
      <c r="E212" s="2" t="str">
        <f>VLOOKUP( T_Aop[[#This Row],[Id]], T_Aop[], ID_Jezik +10, 1)</f>
        <v>68</v>
      </c>
      <c r="F212" t="str">
        <f>REPT( "  ", T_Aop[[#This Row],[Aop nivo]]) &amp; VLOOKUP( T_Aop[[#This Row],[Id]], T_Aop[], ID_Jezik + 6, 1)</f>
        <v xml:space="preserve">  I. PRIHODI I RASHODI OD USKLAĐIVANJA VRIJEDNOSTI IMOVINE 
I   PRIHODI OD USKLAĐIVANJA VRIJEDNOSTI IMOVINE (274 + 281)</v>
      </c>
      <c r="G212" s="280" t="s">
        <v>2765</v>
      </c>
      <c r="H212" s="291" t="s">
        <v>2209</v>
      </c>
      <c r="I212" s="296" t="s">
        <v>2208</v>
      </c>
      <c r="J212" s="370" t="s">
        <v>2863</v>
      </c>
      <c r="K212" s="376" t="s">
        <v>1297</v>
      </c>
      <c r="L212" s="275">
        <v>68</v>
      </c>
      <c r="M212" s="293">
        <v>68</v>
      </c>
      <c r="N212" s="293">
        <v>68</v>
      </c>
      <c r="O212" s="10">
        <v>1</v>
      </c>
      <c r="P212" s="10"/>
    </row>
    <row r="213" spans="1:16" ht="12.75" customHeight="1" x14ac:dyDescent="0.3">
      <c r="A213">
        <f t="shared" si="3"/>
        <v>212</v>
      </c>
      <c r="B213" t="s">
        <v>255</v>
      </c>
      <c r="C213">
        <v>2</v>
      </c>
      <c r="D213">
        <v>274</v>
      </c>
      <c r="E213" s="2" t="str">
        <f>VLOOKUP( T_Aop[[#This Row],[Id]], T_Aop[], ID_Jezik +10, 1)</f>
        <v>dio 68</v>
      </c>
      <c r="F213" t="str">
        <f>REPT( "  ", T_Aop[[#This Row],[Aop nivo]]) &amp; VLOOKUP( T_Aop[[#This Row],[Id]], T_Aop[], ID_Jezik + 6, 1)</f>
        <v xml:space="preserve">    1. Neto dobici od usklađivanja imovine (osim finansijske)  (275 do 280)</v>
      </c>
      <c r="G213" s="288" t="s">
        <v>1541</v>
      </c>
      <c r="H213" s="288" t="s">
        <v>1522</v>
      </c>
      <c r="I213" s="295" t="s">
        <v>1889</v>
      </c>
      <c r="J213" s="370" t="s">
        <v>2531</v>
      </c>
      <c r="K213" s="376" t="s">
        <v>1298</v>
      </c>
      <c r="L213" s="275" t="s">
        <v>1164</v>
      </c>
      <c r="M213" s="293" t="s">
        <v>2322</v>
      </c>
      <c r="N213" s="293" t="s">
        <v>2323</v>
      </c>
      <c r="O213" s="10">
        <v>1</v>
      </c>
      <c r="P213" s="10"/>
    </row>
    <row r="214" spans="1:16" ht="12.75" customHeight="1" x14ac:dyDescent="0.3">
      <c r="A214">
        <f t="shared" si="3"/>
        <v>213</v>
      </c>
      <c r="B214" t="s">
        <v>255</v>
      </c>
      <c r="C214">
        <v>3</v>
      </c>
      <c r="D214">
        <v>275</v>
      </c>
      <c r="E214" s="2" t="str">
        <f>VLOOKUP( T_Aop[[#This Row],[Id]], T_Aop[], ID_Jezik +10, 1)</f>
        <v>680, 580 neto prikaz</v>
      </c>
      <c r="F214" t="str">
        <f>REPT( "  ", T_Aop[[#This Row],[Aop nivo]]) &amp; VLOOKUP( T_Aop[[#This Row],[Id]], T_Aop[], ID_Jezik + 6, 1)</f>
        <v xml:space="preserve">      1.1. Neto dobici od umanjenja ranije priznatih gubitaka usljed obezvređenja nematerijalnih sredstava</v>
      </c>
      <c r="G214" s="288" t="s">
        <v>1543</v>
      </c>
      <c r="H214" s="56" t="s">
        <v>954</v>
      </c>
      <c r="I214" s="295" t="s">
        <v>2795</v>
      </c>
      <c r="J214" s="370" t="s">
        <v>2532</v>
      </c>
      <c r="K214" s="376" t="s">
        <v>1299</v>
      </c>
      <c r="L214" s="275" t="s">
        <v>1165</v>
      </c>
      <c r="M214" s="293" t="s">
        <v>1938</v>
      </c>
      <c r="N214" s="293" t="s">
        <v>2324</v>
      </c>
      <c r="O214" s="10"/>
      <c r="P214" s="10"/>
    </row>
    <row r="215" spans="1:16" ht="12.75" customHeight="1" x14ac:dyDescent="0.3">
      <c r="A215">
        <f t="shared" si="3"/>
        <v>214</v>
      </c>
      <c r="B215" t="s">
        <v>255</v>
      </c>
      <c r="C215">
        <v>3</v>
      </c>
      <c r="D215">
        <v>276</v>
      </c>
      <c r="E215" s="2" t="str">
        <f>VLOOKUP( T_Aop[[#This Row],[Id]], T_Aop[], ID_Jezik +10, 1)</f>
        <v>681, 581 neto prikaz</v>
      </c>
      <c r="F215" t="str">
        <f>REPT( "  ", T_Aop[[#This Row],[Aop nivo]]) &amp; VLOOKUP( T_Aop[[#This Row],[Id]], T_Aop[], ID_Jezik + 6, 1)</f>
        <v xml:space="preserve">      1.2. Neto dobici od umanjenja ranije priznatih gubitaka usljed obezvređenja nekretnina, postrojenja i opreme</v>
      </c>
      <c r="G215" s="288" t="s">
        <v>1544</v>
      </c>
      <c r="H215" s="56" t="s">
        <v>1521</v>
      </c>
      <c r="I215" s="295" t="s">
        <v>2796</v>
      </c>
      <c r="J215" s="370" t="s">
        <v>2533</v>
      </c>
      <c r="K215" s="376" t="s">
        <v>2461</v>
      </c>
      <c r="L215" s="275" t="s">
        <v>2462</v>
      </c>
      <c r="M215" s="293" t="s">
        <v>1939</v>
      </c>
      <c r="N215" s="293" t="s">
        <v>2325</v>
      </c>
      <c r="O215" s="10"/>
      <c r="P215" s="10"/>
    </row>
    <row r="216" spans="1:16" ht="12.75" customHeight="1" x14ac:dyDescent="0.3">
      <c r="A216">
        <f t="shared" si="3"/>
        <v>215</v>
      </c>
      <c r="B216" t="s">
        <v>255</v>
      </c>
      <c r="C216">
        <v>3</v>
      </c>
      <c r="D216">
        <v>277</v>
      </c>
      <c r="E216" s="2" t="str">
        <f>VLOOKUP( T_Aop[[#This Row],[Id]], T_Aop[], ID_Jezik +10, 1)</f>
        <v>682, 582 neto prikaz</v>
      </c>
      <c r="F216" t="str">
        <f>REPT( "  ", T_Aop[[#This Row],[Aop nivo]]) &amp; VLOOKUP( T_Aop[[#This Row],[Id]], T_Aop[], ID_Jezik + 6, 1)</f>
        <v xml:space="preserve">      1.3.  Neto dobici od umanjenja ranije priznatih gubitaka usljed obezvređenja investicionih nekretnina koje se vrednuju po nabavnoj vrijednosti</v>
      </c>
      <c r="G216" s="288" t="s">
        <v>1545</v>
      </c>
      <c r="H216" s="56" t="s">
        <v>1520</v>
      </c>
      <c r="I216" s="295" t="s">
        <v>2797</v>
      </c>
      <c r="J216" s="370" t="s">
        <v>2534</v>
      </c>
      <c r="K216" s="376" t="s">
        <v>2464</v>
      </c>
      <c r="L216" s="275" t="s">
        <v>2463</v>
      </c>
      <c r="M216" s="293" t="s">
        <v>1940</v>
      </c>
      <c r="N216" s="293" t="s">
        <v>2326</v>
      </c>
      <c r="O216" s="10"/>
      <c r="P216" s="10"/>
    </row>
    <row r="217" spans="1:16" ht="12.75" customHeight="1" x14ac:dyDescent="0.3">
      <c r="A217">
        <f t="shared" si="3"/>
        <v>216</v>
      </c>
      <c r="B217" t="s">
        <v>255</v>
      </c>
      <c r="C217">
        <v>3</v>
      </c>
      <c r="D217">
        <v>278</v>
      </c>
      <c r="E217" s="2" t="str">
        <f>VLOOKUP( T_Aop[[#This Row],[Id]], T_Aop[], ID_Jezik +10, 1)</f>
        <v>683, 583 neto prikaz</v>
      </c>
      <c r="F217" t="str">
        <f>REPT( "  ", T_Aop[[#This Row],[Aop nivo]]) &amp; VLOOKUP( T_Aop[[#This Row],[Id]], T_Aop[], ID_Jezik + 6, 1)</f>
        <v xml:space="preserve">      1.4.  Neto dobici od umanjenja ranije priznatih gubitaka usljed obezvređenja bioloških sredstva koja se vrednuju po nabavnoj vrijednosti</v>
      </c>
      <c r="G217" s="288" t="s">
        <v>1546</v>
      </c>
      <c r="H217" s="56" t="s">
        <v>1519</v>
      </c>
      <c r="I217" s="295" t="s">
        <v>2798</v>
      </c>
      <c r="J217" s="370" t="s">
        <v>2535</v>
      </c>
      <c r="K217" s="376" t="s">
        <v>2465</v>
      </c>
      <c r="L217" s="275" t="s">
        <v>2468</v>
      </c>
      <c r="M217" s="293" t="s">
        <v>1941</v>
      </c>
      <c r="N217" s="293" t="s">
        <v>2327</v>
      </c>
      <c r="O217" s="10"/>
      <c r="P217" s="10"/>
    </row>
    <row r="218" spans="1:16" ht="12.75" customHeight="1" x14ac:dyDescent="0.3">
      <c r="A218">
        <f t="shared" si="3"/>
        <v>217</v>
      </c>
      <c r="B218" t="s">
        <v>255</v>
      </c>
      <c r="C218">
        <v>3</v>
      </c>
      <c r="D218">
        <v>279</v>
      </c>
      <c r="E218" s="2" t="str">
        <f>VLOOKUP( T_Aop[[#This Row],[Id]], T_Aop[], ID_Jezik +10, 1)</f>
        <v>685, 585 neto prikaz</v>
      </c>
      <c r="F218" t="str">
        <f>REPT( "  ", T_Aop[[#This Row],[Aop nivo]]) &amp; VLOOKUP( T_Aop[[#This Row],[Id]], T_Aop[], ID_Jezik + 6, 1)</f>
        <v xml:space="preserve">      1.5.  Neto dobici od usklađivanja vrijednosti zaliha materijala i robe </v>
      </c>
      <c r="G218" s="288" t="s">
        <v>1547</v>
      </c>
      <c r="H218" s="56" t="s">
        <v>1518</v>
      </c>
      <c r="I218" s="295" t="s">
        <v>2799</v>
      </c>
      <c r="J218" s="370" t="s">
        <v>2536</v>
      </c>
      <c r="K218" s="376" t="s">
        <v>2466</v>
      </c>
      <c r="L218" s="275" t="s">
        <v>2467</v>
      </c>
      <c r="M218" s="293" t="s">
        <v>1942</v>
      </c>
      <c r="N218" s="293" t="s">
        <v>2328</v>
      </c>
      <c r="O218" s="10"/>
      <c r="P218" s="10">
        <v>1</v>
      </c>
    </row>
    <row r="219" spans="1:16" ht="12.75" customHeight="1" x14ac:dyDescent="0.3">
      <c r="A219">
        <f t="shared" si="3"/>
        <v>218</v>
      </c>
      <c r="B219" t="s">
        <v>255</v>
      </c>
      <c r="C219">
        <v>3</v>
      </c>
      <c r="D219">
        <v>280</v>
      </c>
      <c r="E219" s="2" t="str">
        <f>VLOOKUP( T_Aop[[#This Row],[Id]], T_Aop[], ID_Jezik +10, 1)</f>
        <v>688, dio 689, 588, dio 589neto prikaz</v>
      </c>
      <c r="F219" t="str">
        <f>REPT( "  ", T_Aop[[#This Row],[Aop nivo]]) &amp; VLOOKUP( T_Aop[[#This Row],[Id]], T_Aop[], ID_Jezik + 6, 1)</f>
        <v xml:space="preserve">      1.6.  Neto dobici od usklađivanja vrijednost stalnih sredstava namijenjenih prodaji, sredstava poslovanja koje se obustavlja i ostalih nefinansijskih sredstava</v>
      </c>
      <c r="G219" s="288" t="s">
        <v>1548</v>
      </c>
      <c r="H219" s="56" t="s">
        <v>1514</v>
      </c>
      <c r="I219" s="295" t="s">
        <v>2800</v>
      </c>
      <c r="J219" s="370" t="s">
        <v>2537</v>
      </c>
      <c r="K219" s="376" t="s">
        <v>1300</v>
      </c>
      <c r="L219" s="275" t="s">
        <v>1166</v>
      </c>
      <c r="M219" s="293" t="s">
        <v>1166</v>
      </c>
      <c r="N219" s="293" t="s">
        <v>2329</v>
      </c>
      <c r="O219" s="10"/>
      <c r="P219" s="10"/>
    </row>
    <row r="220" spans="1:16" ht="12.75" customHeight="1" x14ac:dyDescent="0.3">
      <c r="A220">
        <f t="shared" si="3"/>
        <v>219</v>
      </c>
      <c r="B220" t="s">
        <v>255</v>
      </c>
      <c r="C220">
        <v>2</v>
      </c>
      <c r="D220">
        <v>281</v>
      </c>
      <c r="E220" s="2" t="str">
        <f>VLOOKUP( T_Aop[[#This Row],[Id]], T_Aop[], ID_Jezik +10, 1)</f>
        <v>dio 68</v>
      </c>
      <c r="F220" t="str">
        <f>REPT( "  ", T_Aop[[#This Row],[Aop nivo]]) &amp; VLOOKUP( T_Aop[[#This Row],[Id]], T_Aop[], ID_Jezik + 6, 1)</f>
        <v xml:space="preserve">    2. Neto dobici od usklađivanja vrijednosti finansijskih sredstava (282 do 285)</v>
      </c>
      <c r="G220" s="288" t="s">
        <v>1542</v>
      </c>
      <c r="H220" s="56" t="s">
        <v>1513</v>
      </c>
      <c r="I220" s="295" t="s">
        <v>1890</v>
      </c>
      <c r="J220" s="370" t="s">
        <v>2538</v>
      </c>
      <c r="K220" s="376" t="s">
        <v>1298</v>
      </c>
      <c r="L220" s="275" t="s">
        <v>1164</v>
      </c>
      <c r="M220" s="293" t="s">
        <v>1918</v>
      </c>
      <c r="N220" s="293" t="s">
        <v>2323</v>
      </c>
      <c r="O220" s="10"/>
      <c r="P220" s="10"/>
    </row>
    <row r="221" spans="1:16" ht="12.75" customHeight="1" x14ac:dyDescent="0.3">
      <c r="A221">
        <f t="shared" si="3"/>
        <v>220</v>
      </c>
      <c r="B221" t="s">
        <v>255</v>
      </c>
      <c r="C221">
        <v>3</v>
      </c>
      <c r="D221">
        <v>282</v>
      </c>
      <c r="E221" s="2" t="str">
        <f>VLOOKUP( T_Aop[[#This Row],[Id]], T_Aop[], ID_Jezik +10, 1)</f>
        <v>684, 584 neto prikaz</v>
      </c>
      <c r="F221" t="str">
        <f>REPT( "  ", T_Aop[[#This Row],[Aop nivo]]) &amp; VLOOKUP( T_Aop[[#This Row],[Id]], T_Aop[], ID_Jezik + 6, 1)</f>
        <v xml:space="preserve">      2.1  Neto dobici od usklađivanja vrijednosti dugoročnih finansijskih sredstava </v>
      </c>
      <c r="G221" s="288" t="s">
        <v>1549</v>
      </c>
      <c r="H221" s="56" t="s">
        <v>1515</v>
      </c>
      <c r="I221" s="295" t="s">
        <v>1891</v>
      </c>
      <c r="J221" s="370" t="s">
        <v>2539</v>
      </c>
      <c r="K221" s="376" t="s">
        <v>2577</v>
      </c>
      <c r="L221" s="275" t="s">
        <v>2575</v>
      </c>
      <c r="M221" s="293" t="s">
        <v>1943</v>
      </c>
      <c r="N221" s="293" t="s">
        <v>2330</v>
      </c>
      <c r="O221" s="10"/>
      <c r="P221" s="10"/>
    </row>
    <row r="222" spans="1:16" ht="12.75" customHeight="1" x14ac:dyDescent="0.3">
      <c r="A222">
        <f t="shared" si="3"/>
        <v>221</v>
      </c>
      <c r="B222" t="s">
        <v>255</v>
      </c>
      <c r="C222">
        <v>3</v>
      </c>
      <c r="D222">
        <v>283</v>
      </c>
      <c r="E222" s="2" t="str">
        <f>VLOOKUP( T_Aop[[#This Row],[Id]], T_Aop[], ID_Jezik +10, 1)</f>
        <v>686, 585 neto prikaz</v>
      </c>
      <c r="F222" t="str">
        <f>REPT( "  ", T_Aop[[#This Row],[Aop nivo]]) &amp; VLOOKUP( T_Aop[[#This Row],[Id]], T_Aop[], ID_Jezik + 6, 1)</f>
        <v xml:space="preserve">      2.2  Neto dobici od usklađivanja vrijednosti kratkoročnih finansijskih sredstava (osim potraživanja od kupaca)</v>
      </c>
      <c r="G222" s="288" t="s">
        <v>1552</v>
      </c>
      <c r="H222" s="56" t="s">
        <v>1516</v>
      </c>
      <c r="I222" s="295" t="s">
        <v>1892</v>
      </c>
      <c r="J222" s="370" t="s">
        <v>2540</v>
      </c>
      <c r="K222" s="376" t="s">
        <v>2578</v>
      </c>
      <c r="L222" s="275" t="s">
        <v>2576</v>
      </c>
      <c r="M222" s="293" t="s">
        <v>1944</v>
      </c>
      <c r="N222" s="293" t="s">
        <v>2331</v>
      </c>
      <c r="O222" s="10"/>
      <c r="P222" s="10"/>
    </row>
    <row r="223" spans="1:16" ht="12.75" customHeight="1" x14ac:dyDescent="0.3">
      <c r="A223">
        <f t="shared" si="3"/>
        <v>222</v>
      </c>
      <c r="B223" t="s">
        <v>255</v>
      </c>
      <c r="C223">
        <v>3</v>
      </c>
      <c r="D223">
        <v>284</v>
      </c>
      <c r="E223" s="2" t="str">
        <f>VLOOKUP( T_Aop[[#This Row],[Id]], T_Aop[], ID_Jezik +10, 1)</f>
        <v>687, 587 neto prikaz</v>
      </c>
      <c r="F223" t="str">
        <f>REPT( "  ", T_Aop[[#This Row],[Aop nivo]]) &amp; VLOOKUP( T_Aop[[#This Row],[Id]], T_Aop[], ID_Jezik + 6, 1)</f>
        <v xml:space="preserve">      2.3  Neto dobici od umanjenja ranije priznatih kreditnih gubitaka usljed obezvređenja potraživanja od kupaca </v>
      </c>
      <c r="G223" s="288" t="s">
        <v>1550</v>
      </c>
      <c r="H223" s="56" t="s">
        <v>1512</v>
      </c>
      <c r="I223" s="297" t="s">
        <v>1893</v>
      </c>
      <c r="J223" s="370" t="s">
        <v>2541</v>
      </c>
      <c r="K223" s="376" t="s">
        <v>1301</v>
      </c>
      <c r="L223" s="275" t="s">
        <v>1167</v>
      </c>
      <c r="M223" s="293" t="s">
        <v>1945</v>
      </c>
      <c r="N223" s="293" t="s">
        <v>2332</v>
      </c>
      <c r="O223" s="10">
        <v>1</v>
      </c>
      <c r="P223" s="10"/>
    </row>
    <row r="224" spans="1:16" ht="12.75" customHeight="1" x14ac:dyDescent="0.3">
      <c r="A224">
        <f t="shared" si="3"/>
        <v>223</v>
      </c>
      <c r="B224" t="s">
        <v>255</v>
      </c>
      <c r="C224">
        <v>3</v>
      </c>
      <c r="D224">
        <v>285</v>
      </c>
      <c r="E224" s="2" t="str">
        <f>VLOOKUP( T_Aop[[#This Row],[Id]], T_Aop[], ID_Jezik +10, 1)</f>
        <v>dio 689, dio 589 neto prikaz</v>
      </c>
      <c r="F224" t="str">
        <f>REPT( "  ", T_Aop[[#This Row],[Aop nivo]]) &amp; VLOOKUP( T_Aop[[#This Row],[Id]], T_Aop[], ID_Jezik + 6, 1)</f>
        <v xml:space="preserve">      2.4  Neto dobici od usklađivanja vrijednosti ostalih finansijskih sredstava</v>
      </c>
      <c r="G224" s="288" t="s">
        <v>1551</v>
      </c>
      <c r="H224" s="56" t="s">
        <v>1517</v>
      </c>
      <c r="I224" s="295" t="s">
        <v>1894</v>
      </c>
      <c r="J224" s="370" t="s">
        <v>2542</v>
      </c>
      <c r="K224" s="376" t="s">
        <v>2909</v>
      </c>
      <c r="L224" s="275" t="s">
        <v>2574</v>
      </c>
      <c r="M224" s="293" t="s">
        <v>1946</v>
      </c>
      <c r="N224" s="293" t="s">
        <v>2333</v>
      </c>
      <c r="O224" s="10"/>
      <c r="P224" s="10"/>
    </row>
    <row r="225" spans="1:16" ht="12.75" customHeight="1" x14ac:dyDescent="0.3">
      <c r="A225">
        <f t="shared" si="3"/>
        <v>224</v>
      </c>
      <c r="B225" t="s">
        <v>255</v>
      </c>
      <c r="C225">
        <v>1</v>
      </c>
      <c r="D225">
        <v>286</v>
      </c>
      <c r="E225" s="2" t="str">
        <f>VLOOKUP( T_Aop[[#This Row],[Id]], T_Aop[], ID_Jezik +10, 1)</f>
        <v>58</v>
      </c>
      <c r="F225" t="str">
        <f>REPT( "  ", T_Aop[[#This Row],[Aop nivo]]) &amp; VLOOKUP( T_Aop[[#This Row],[Id]], T_Aop[], ID_Jezik + 6, 1)</f>
        <v xml:space="preserve">  II  RASHODI OD USKLAĐIVANJA VRIJEDNOSTI IMOVINE (287 + 294)</v>
      </c>
      <c r="G225" s="281" t="s">
        <v>2766</v>
      </c>
      <c r="H225" s="56" t="s">
        <v>955</v>
      </c>
      <c r="I225" s="295" t="s">
        <v>2788</v>
      </c>
      <c r="J225" s="370" t="s">
        <v>2088</v>
      </c>
      <c r="K225" s="376" t="s">
        <v>1302</v>
      </c>
      <c r="L225" s="275">
        <v>58</v>
      </c>
      <c r="M225" s="293">
        <v>58</v>
      </c>
      <c r="N225" s="293">
        <v>58</v>
      </c>
      <c r="O225" s="10"/>
      <c r="P225" s="10"/>
    </row>
    <row r="226" spans="1:16" ht="12.75" customHeight="1" x14ac:dyDescent="0.3">
      <c r="A226">
        <f t="shared" si="3"/>
        <v>225</v>
      </c>
      <c r="B226" t="s">
        <v>255</v>
      </c>
      <c r="C226">
        <v>2</v>
      </c>
      <c r="D226">
        <v>287</v>
      </c>
      <c r="E226" s="2">
        <f>VLOOKUP( T_Aop[[#This Row],[Id]], T_Aop[], ID_Jezik +10, 1)</f>
        <v>0</v>
      </c>
      <c r="F226" t="str">
        <f>REPT( "  ", T_Aop[[#This Row],[Aop nivo]]) &amp; VLOOKUP( T_Aop[[#This Row],[Id]], T_Aop[], ID_Jezik + 6, 1)</f>
        <v xml:space="preserve">    1.  Rashodi od usklađivanja vrijednosti imovine (osim finansijske) (288 do 293)</v>
      </c>
      <c r="G226" s="288" t="s">
        <v>1553</v>
      </c>
      <c r="H226" s="56" t="s">
        <v>1500</v>
      </c>
      <c r="I226" s="295" t="s">
        <v>1895</v>
      </c>
      <c r="J226" s="370" t="s">
        <v>2543</v>
      </c>
      <c r="K226" s="376"/>
      <c r="L226" s="275"/>
      <c r="M226" s="293"/>
      <c r="N226" s="293"/>
      <c r="O226" s="10"/>
      <c r="P226" s="10"/>
    </row>
    <row r="227" spans="1:16" ht="12.75" customHeight="1" x14ac:dyDescent="0.3">
      <c r="A227">
        <f t="shared" si="3"/>
        <v>226</v>
      </c>
      <c r="B227" t="s">
        <v>255</v>
      </c>
      <c r="C227">
        <v>3</v>
      </c>
      <c r="D227">
        <v>288</v>
      </c>
      <c r="E227" s="2" t="str">
        <f>VLOOKUP( T_Aop[[#This Row],[Id]], T_Aop[], ID_Jezik +10, 1)</f>
        <v>580, 680 neto prikaz</v>
      </c>
      <c r="F227" t="str">
        <f>REPT( "  ", T_Aop[[#This Row],[Aop nivo]]) &amp; VLOOKUP( T_Aop[[#This Row],[Id]], T_Aop[], ID_Jezik + 6, 1)</f>
        <v xml:space="preserve">      1.1. Neto gubici po osnovu obezvređenja nematerijalnih sredstava</v>
      </c>
      <c r="G227" s="288" t="s">
        <v>1554</v>
      </c>
      <c r="H227" s="56" t="s">
        <v>1501</v>
      </c>
      <c r="I227" s="295" t="s">
        <v>2791</v>
      </c>
      <c r="J227" s="370" t="s">
        <v>2544</v>
      </c>
      <c r="K227" s="376" t="s">
        <v>2914</v>
      </c>
      <c r="L227" s="275" t="s">
        <v>1168</v>
      </c>
      <c r="M227" s="293" t="s">
        <v>1168</v>
      </c>
      <c r="N227" s="293" t="s">
        <v>2334</v>
      </c>
      <c r="O227" s="10"/>
      <c r="P227" s="10"/>
    </row>
    <row r="228" spans="1:16" ht="12.75" customHeight="1" x14ac:dyDescent="0.3">
      <c r="A228">
        <f t="shared" si="3"/>
        <v>227</v>
      </c>
      <c r="B228" t="s">
        <v>255</v>
      </c>
      <c r="C228">
        <v>3</v>
      </c>
      <c r="D228">
        <v>289</v>
      </c>
      <c r="E228" s="2" t="str">
        <f>VLOOKUP( T_Aop[[#This Row],[Id]], T_Aop[], ID_Jezik +10, 1)</f>
        <v>581, 681 neto prikaz</v>
      </c>
      <c r="F228" t="str">
        <f>REPT( "  ", T_Aop[[#This Row],[Aop nivo]]) &amp; VLOOKUP( T_Aop[[#This Row],[Id]], T_Aop[], ID_Jezik + 6, 1)</f>
        <v xml:space="preserve">      1.2. Neto gubici po osnovu obezvređenja nekretnina, postrojenja i opreme</v>
      </c>
      <c r="G228" s="288" t="s">
        <v>1555</v>
      </c>
      <c r="H228" s="56" t="s">
        <v>1502</v>
      </c>
      <c r="I228" s="295" t="s">
        <v>2792</v>
      </c>
      <c r="J228" s="370" t="s">
        <v>2545</v>
      </c>
      <c r="K228" s="376" t="s">
        <v>2579</v>
      </c>
      <c r="L228" s="275" t="s">
        <v>2582</v>
      </c>
      <c r="M228" s="293" t="s">
        <v>1947</v>
      </c>
      <c r="N228" s="293" t="s">
        <v>2335</v>
      </c>
      <c r="O228" s="10"/>
      <c r="P228" s="10"/>
    </row>
    <row r="229" spans="1:16" ht="12.75" customHeight="1" x14ac:dyDescent="0.3">
      <c r="A229">
        <f t="shared" si="3"/>
        <v>228</v>
      </c>
      <c r="B229" t="s">
        <v>255</v>
      </c>
      <c r="C229">
        <v>3</v>
      </c>
      <c r="D229">
        <v>290</v>
      </c>
      <c r="E229" s="2" t="str">
        <f>VLOOKUP( T_Aop[[#This Row],[Id]], T_Aop[], ID_Jezik +10, 1)</f>
        <v>582, 682 neto prikaz</v>
      </c>
      <c r="F229" t="str">
        <f>REPT( "  ", T_Aop[[#This Row],[Aop nivo]]) &amp; VLOOKUP( T_Aop[[#This Row],[Id]], T_Aop[], ID_Jezik + 6, 1)</f>
        <v xml:space="preserve">      1.3. Neto gubici po osnovu obezvređenja investicionih nekretnina koje se vrednuju po nabavnoj vrijednosti</v>
      </c>
      <c r="G229" s="288" t="s">
        <v>1556</v>
      </c>
      <c r="H229" s="56" t="s">
        <v>1503</v>
      </c>
      <c r="I229" s="295" t="s">
        <v>2793</v>
      </c>
      <c r="J229" s="370" t="s">
        <v>2546</v>
      </c>
      <c r="K229" s="376" t="s">
        <v>2903</v>
      </c>
      <c r="L229" s="275" t="s">
        <v>2905</v>
      </c>
      <c r="M229" s="293" t="s">
        <v>2907</v>
      </c>
      <c r="N229" s="293" t="s">
        <v>2336</v>
      </c>
      <c r="O229" s="10"/>
      <c r="P229" s="10"/>
    </row>
    <row r="230" spans="1:16" ht="12.75" customHeight="1" x14ac:dyDescent="0.3">
      <c r="A230">
        <f t="shared" si="3"/>
        <v>229</v>
      </c>
      <c r="B230" t="s">
        <v>255</v>
      </c>
      <c r="C230">
        <v>3</v>
      </c>
      <c r="D230">
        <v>291</v>
      </c>
      <c r="E230" s="2" t="str">
        <f>VLOOKUP( T_Aop[[#This Row],[Id]], T_Aop[], ID_Jezik +10, 1)</f>
        <v>583, 683 neto prikaz</v>
      </c>
      <c r="F230" t="str">
        <f>REPT( "  ", T_Aop[[#This Row],[Aop nivo]]) &amp; VLOOKUP( T_Aop[[#This Row],[Id]], T_Aop[], ID_Jezik + 6, 1)</f>
        <v xml:space="preserve">      1.4. Neto gubici po osnovu obezvređenja bioloških sredstva koje se vrednuju po nabavnoj vrijednosti</v>
      </c>
      <c r="G230" s="288" t="s">
        <v>1557</v>
      </c>
      <c r="H230" s="56" t="s">
        <v>1504</v>
      </c>
      <c r="I230" s="295" t="s">
        <v>2789</v>
      </c>
      <c r="J230" s="370" t="s">
        <v>2547</v>
      </c>
      <c r="K230" s="376" t="s">
        <v>2904</v>
      </c>
      <c r="L230" s="275" t="s">
        <v>2906</v>
      </c>
      <c r="M230" s="293" t="s">
        <v>2908</v>
      </c>
      <c r="N230" s="293" t="s">
        <v>2337</v>
      </c>
      <c r="O230" s="10"/>
      <c r="P230" s="10"/>
    </row>
    <row r="231" spans="1:16" ht="12.75" customHeight="1" x14ac:dyDescent="0.3">
      <c r="A231">
        <f t="shared" si="3"/>
        <v>230</v>
      </c>
      <c r="B231" t="s">
        <v>255</v>
      </c>
      <c r="C231">
        <v>3</v>
      </c>
      <c r="D231">
        <v>292</v>
      </c>
      <c r="E231" s="2" t="str">
        <f>VLOOKUP( T_Aop[[#This Row],[Id]], T_Aop[], ID_Jezik +10, 1)</f>
        <v>585, 685 neto prikaz</v>
      </c>
      <c r="F231" t="str">
        <f>REPT( "  ", T_Aop[[#This Row],[Aop nivo]]) &amp; VLOOKUP( T_Aop[[#This Row],[Id]], T_Aop[], ID_Jezik + 6, 1)</f>
        <v xml:space="preserve">      1.5. Neto gubici od usklađivanja vrijednosti zaliha materijala i robe </v>
      </c>
      <c r="G231" s="288" t="s">
        <v>1558</v>
      </c>
      <c r="H231" s="56" t="s">
        <v>1505</v>
      </c>
      <c r="I231" s="295" t="s">
        <v>2790</v>
      </c>
      <c r="J231" s="370" t="s">
        <v>2548</v>
      </c>
      <c r="K231" s="376" t="s">
        <v>2580</v>
      </c>
      <c r="L231" s="275" t="s">
        <v>2581</v>
      </c>
      <c r="M231" s="293" t="s">
        <v>1948</v>
      </c>
      <c r="N231" s="293" t="s">
        <v>2338</v>
      </c>
      <c r="O231" s="10"/>
      <c r="P231" s="10"/>
    </row>
    <row r="232" spans="1:16" ht="12.75" customHeight="1" x14ac:dyDescent="0.3">
      <c r="A232">
        <f t="shared" si="3"/>
        <v>231</v>
      </c>
      <c r="B232" t="s">
        <v>255</v>
      </c>
      <c r="C232">
        <v>3</v>
      </c>
      <c r="D232">
        <v>293</v>
      </c>
      <c r="E232" s="2" t="str">
        <f>VLOOKUP( T_Aop[[#This Row],[Id]], T_Aop[], ID_Jezik +10, 1)</f>
        <v>588, dio 589, 688, dio 689 neto prikaz</v>
      </c>
      <c r="F232" t="str">
        <f>REPT( "  ", T_Aop[[#This Row],[Aop nivo]]) &amp; VLOOKUP( T_Aop[[#This Row],[Id]], T_Aop[], ID_Jezik + 6, 1)</f>
        <v xml:space="preserve">      1.6. Neto gubici od usklađivanja vrijednosti stalnih sredstava namijenjenih prodaji, sredstava poslovanja koje se obustavlja i ostalih nefinansijskih sredstava</v>
      </c>
      <c r="G232" s="288" t="s">
        <v>2806</v>
      </c>
      <c r="H232" s="56" t="s">
        <v>1506</v>
      </c>
      <c r="I232" s="295" t="s">
        <v>2794</v>
      </c>
      <c r="J232" s="370" t="s">
        <v>2549</v>
      </c>
      <c r="K232" s="376" t="s">
        <v>2915</v>
      </c>
      <c r="L232" s="275" t="s">
        <v>1169</v>
      </c>
      <c r="M232" s="293" t="s">
        <v>1949</v>
      </c>
      <c r="N232" s="293" t="s">
        <v>2339</v>
      </c>
      <c r="O232" s="10"/>
      <c r="P232" s="10"/>
    </row>
    <row r="233" spans="1:16" ht="12.75" customHeight="1" x14ac:dyDescent="0.3">
      <c r="A233">
        <f t="shared" si="3"/>
        <v>232</v>
      </c>
      <c r="B233" t="s">
        <v>255</v>
      </c>
      <c r="C233">
        <v>2</v>
      </c>
      <c r="D233">
        <v>294</v>
      </c>
      <c r="E233" s="2">
        <f>VLOOKUP( T_Aop[[#This Row],[Id]], T_Aop[], ID_Jezik +10, 1)</f>
        <v>0</v>
      </c>
      <c r="F233" t="str">
        <f>REPT( "  ", T_Aop[[#This Row],[Aop nivo]]) &amp; VLOOKUP( T_Aop[[#This Row],[Id]], T_Aop[], ID_Jezik + 6, 1)</f>
        <v xml:space="preserve">    2.  Gubici od usklađivanja vrijednosti finansijskih sredstava (295 do 298)</v>
      </c>
      <c r="G233" s="288" t="s">
        <v>1559</v>
      </c>
      <c r="H233" s="56" t="s">
        <v>1507</v>
      </c>
      <c r="I233" s="295" t="s">
        <v>1896</v>
      </c>
      <c r="J233" s="370" t="s">
        <v>2550</v>
      </c>
      <c r="K233" s="376"/>
      <c r="L233" s="275"/>
      <c r="M233" s="293"/>
      <c r="N233" s="293"/>
      <c r="O233" s="10">
        <v>1</v>
      </c>
      <c r="P233" s="10"/>
    </row>
    <row r="234" spans="1:16" ht="12.75" customHeight="1" x14ac:dyDescent="0.3">
      <c r="A234">
        <f t="shared" si="3"/>
        <v>233</v>
      </c>
      <c r="B234" t="s">
        <v>255</v>
      </c>
      <c r="C234">
        <v>3</v>
      </c>
      <c r="D234">
        <v>295</v>
      </c>
      <c r="E234" s="2" t="str">
        <f>VLOOKUP( T_Aop[[#This Row],[Id]], T_Aop[], ID_Jezik +10, 1)</f>
        <v>584, 684 neto prikaz</v>
      </c>
      <c r="F234" t="str">
        <f>REPT( "  ", T_Aop[[#This Row],[Aop nivo]]) &amp; VLOOKUP( T_Aop[[#This Row],[Id]], T_Aop[], ID_Jezik + 6, 1)</f>
        <v xml:space="preserve">      2.1 Neto gubici od usklađivanja vrijednosti dugoročnih finansijskih sredstava</v>
      </c>
      <c r="G234" s="288" t="s">
        <v>1560</v>
      </c>
      <c r="H234" s="56" t="s">
        <v>1508</v>
      </c>
      <c r="I234" s="295" t="s">
        <v>1897</v>
      </c>
      <c r="J234" s="370" t="s">
        <v>2551</v>
      </c>
      <c r="K234" s="376" t="s">
        <v>2899</v>
      </c>
      <c r="L234" s="275" t="s">
        <v>1170</v>
      </c>
      <c r="M234" s="293" t="s">
        <v>1170</v>
      </c>
      <c r="N234" s="293" t="s">
        <v>2340</v>
      </c>
      <c r="O234" s="10">
        <v>1</v>
      </c>
      <c r="P234" s="10"/>
    </row>
    <row r="235" spans="1:16" ht="12.75" customHeight="1" x14ac:dyDescent="0.3">
      <c r="A235">
        <f t="shared" si="3"/>
        <v>234</v>
      </c>
      <c r="B235" t="s">
        <v>255</v>
      </c>
      <c r="C235">
        <v>3</v>
      </c>
      <c r="D235">
        <v>296</v>
      </c>
      <c r="E235" s="2" t="str">
        <f>VLOOKUP( T_Aop[[#This Row],[Id]], T_Aop[], ID_Jezik +10, 1)</f>
        <v>586, 686 neto prikaz</v>
      </c>
      <c r="F235" t="str">
        <f>REPT( "  ", T_Aop[[#This Row],[Aop nivo]]) &amp; VLOOKUP( T_Aop[[#This Row],[Id]], T_Aop[], ID_Jezik + 6, 1)</f>
        <v xml:space="preserve">      2.2  Neto gubici od usklađivanja vrijednosti kratkoročnih finansijskih sredstava (osim potraživanja od kupaca)</v>
      </c>
      <c r="G235" s="288" t="s">
        <v>1561</v>
      </c>
      <c r="H235" s="56" t="s">
        <v>1511</v>
      </c>
      <c r="I235" s="295" t="s">
        <v>1898</v>
      </c>
      <c r="J235" s="370" t="s">
        <v>2552</v>
      </c>
      <c r="K235" s="376" t="s">
        <v>2900</v>
      </c>
      <c r="L235" s="275" t="s">
        <v>2901</v>
      </c>
      <c r="M235" s="293" t="s">
        <v>2902</v>
      </c>
      <c r="N235" s="293" t="s">
        <v>2341</v>
      </c>
      <c r="O235" s="10">
        <v>1</v>
      </c>
      <c r="P235" s="10">
        <v>1</v>
      </c>
    </row>
    <row r="236" spans="1:16" ht="12.75" customHeight="1" x14ac:dyDescent="0.3">
      <c r="A236">
        <f t="shared" si="3"/>
        <v>235</v>
      </c>
      <c r="B236" t="s">
        <v>255</v>
      </c>
      <c r="C236">
        <v>3</v>
      </c>
      <c r="D236">
        <v>297</v>
      </c>
      <c r="E236" s="2" t="str">
        <f>VLOOKUP( T_Aop[[#This Row],[Id]], T_Aop[], ID_Jezik +10, 1)</f>
        <v>587, 687 neto prikaz</v>
      </c>
      <c r="F236" t="str">
        <f>REPT( "  ", T_Aop[[#This Row],[Aop nivo]]) &amp; VLOOKUP( T_Aop[[#This Row],[Id]], T_Aop[], ID_Jezik + 6, 1)</f>
        <v xml:space="preserve">      2.3 Neto gubici od usklađivanja vrijednosti potraživanja od kupaca</v>
      </c>
      <c r="G236" s="288" t="s">
        <v>1562</v>
      </c>
      <c r="H236" s="56" t="s">
        <v>1509</v>
      </c>
      <c r="I236" s="295" t="s">
        <v>1899</v>
      </c>
      <c r="J236" s="370" t="s">
        <v>2553</v>
      </c>
      <c r="K236" s="376" t="s">
        <v>1303</v>
      </c>
      <c r="L236" s="275" t="s">
        <v>1171</v>
      </c>
      <c r="M236" s="293" t="s">
        <v>1950</v>
      </c>
      <c r="N236" s="293" t="s">
        <v>2342</v>
      </c>
      <c r="O236" s="10">
        <v>1</v>
      </c>
      <c r="P236" s="10">
        <v>1</v>
      </c>
    </row>
    <row r="237" spans="1:16" ht="12.75" customHeight="1" x14ac:dyDescent="0.3">
      <c r="A237">
        <f t="shared" si="3"/>
        <v>236</v>
      </c>
      <c r="B237" t="s">
        <v>255</v>
      </c>
      <c r="C237">
        <v>3</v>
      </c>
      <c r="D237">
        <v>298</v>
      </c>
      <c r="E237" s="2" t="str">
        <f>VLOOKUP( T_Aop[[#This Row],[Id]], T_Aop[], ID_Jezik +10, 1)</f>
        <v>dio 589, dio 689neto prikaz</v>
      </c>
      <c r="F237" t="str">
        <f>REPT( "  ", T_Aop[[#This Row],[Aop nivo]]) &amp; VLOOKUP( T_Aop[[#This Row],[Id]], T_Aop[], ID_Jezik + 6, 1)</f>
        <v xml:space="preserve">      2.4  Neto gubici od usklađivanja vrijednosti ostalih finansijskih sredstava</v>
      </c>
      <c r="G237" s="288" t="s">
        <v>1563</v>
      </c>
      <c r="H237" s="56" t="s">
        <v>1510</v>
      </c>
      <c r="I237" s="295" t="s">
        <v>1900</v>
      </c>
      <c r="J237" s="370" t="s">
        <v>2554</v>
      </c>
      <c r="K237" s="376" t="s">
        <v>1304</v>
      </c>
      <c r="L237" s="275" t="s">
        <v>1172</v>
      </c>
      <c r="M237" s="293" t="s">
        <v>1951</v>
      </c>
      <c r="N237" s="293" t="s">
        <v>2343</v>
      </c>
      <c r="O237" s="10">
        <v>1</v>
      </c>
      <c r="P237" s="10"/>
    </row>
    <row r="238" spans="1:16" ht="12.75" customHeight="1" x14ac:dyDescent="0.3">
      <c r="A238">
        <f t="shared" si="3"/>
        <v>237</v>
      </c>
      <c r="B238" t="s">
        <v>255</v>
      </c>
      <c r="C238">
        <v>1</v>
      </c>
      <c r="D238">
        <v>299</v>
      </c>
      <c r="E238" s="2">
        <f>VLOOKUP( T_Aop[[#This Row],[Id]], T_Aop[], ID_Jezik +10, 1)</f>
        <v>0</v>
      </c>
      <c r="F238" t="str">
        <f>REPT( "  ", T_Aop[[#This Row],[Aop nivo]]) &amp; VLOOKUP( T_Aop[[#This Row],[Id]], T_Aop[], ID_Jezik + 6, 1)</f>
        <v xml:space="preserve">  J. DOBITAK PO OSNOVU USKLAĐIVANJA VRIJEDNOSTI IMOVINE (273 – 286) </v>
      </c>
      <c r="G238" s="291" t="s">
        <v>2768</v>
      </c>
      <c r="H238" s="287" t="s">
        <v>2222</v>
      </c>
      <c r="I238" s="295" t="s">
        <v>1901</v>
      </c>
      <c r="J238" s="370" t="s">
        <v>2089</v>
      </c>
      <c r="K238" s="376"/>
      <c r="L238" s="275"/>
      <c r="M238" s="293"/>
      <c r="N238" s="293"/>
      <c r="O238" s="10"/>
      <c r="P238" s="10"/>
    </row>
    <row r="239" spans="1:16" ht="12.75" customHeight="1" x14ac:dyDescent="0.3">
      <c r="A239">
        <f t="shared" si="3"/>
        <v>238</v>
      </c>
      <c r="B239" t="s">
        <v>255</v>
      </c>
      <c r="C239">
        <v>1</v>
      </c>
      <c r="D239">
        <v>300</v>
      </c>
      <c r="E239" s="2">
        <f>VLOOKUP( T_Aop[[#This Row],[Id]], T_Aop[], ID_Jezik +10, 1)</f>
        <v>0</v>
      </c>
      <c r="F239" t="str">
        <f>REPT( "  ", T_Aop[[#This Row],[Aop nivo]]) &amp; VLOOKUP( T_Aop[[#This Row],[Id]], T_Aop[], ID_Jezik + 6, 1)</f>
        <v xml:space="preserve">  K. GUBITAK PO OSNOVU USKLAĐIVANJA VRIJEDNOSTI IMOVINE (286 – 273)</v>
      </c>
      <c r="G239" s="291" t="s">
        <v>2767</v>
      </c>
      <c r="H239" s="287" t="s">
        <v>2223</v>
      </c>
      <c r="I239" s="295" t="s">
        <v>1902</v>
      </c>
      <c r="J239" s="370" t="s">
        <v>2090</v>
      </c>
      <c r="K239" s="376"/>
      <c r="L239" s="275"/>
      <c r="M239" s="293"/>
      <c r="N239" s="293"/>
      <c r="O239" s="10"/>
      <c r="P239" s="10"/>
    </row>
    <row r="240" spans="1:16" ht="12.75" customHeight="1" x14ac:dyDescent="0.3">
      <c r="A240">
        <f t="shared" si="3"/>
        <v>239</v>
      </c>
      <c r="B240" t="s">
        <v>255</v>
      </c>
      <c r="C240">
        <v>1</v>
      </c>
      <c r="D240">
        <v>301</v>
      </c>
      <c r="E240" s="2" t="str">
        <f>VLOOKUP( T_Aop[[#This Row],[Id]], T_Aop[], ID_Jezik +10, 1)</f>
        <v>690 i 691</v>
      </c>
      <c r="F240" t="str">
        <f>REPT( "  ", T_Aop[[#This Row],[Aop nivo]]) &amp; VLOOKUP( T_Aop[[#This Row],[Id]], T_Aop[], ID_Jezik + 6, 1)</f>
        <v xml:space="preserve">  L. Prihodi po osnovu promjene računovodstvenih politika i ispravke grešaka iz ranijih godina </v>
      </c>
      <c r="G240" s="288" t="s">
        <v>2703</v>
      </c>
      <c r="H240" s="56" t="s">
        <v>2704</v>
      </c>
      <c r="I240" s="295" t="s">
        <v>1903</v>
      </c>
      <c r="J240" s="370" t="s">
        <v>2216</v>
      </c>
      <c r="K240" s="376" t="s">
        <v>1305</v>
      </c>
      <c r="L240" s="275" t="s">
        <v>1173</v>
      </c>
      <c r="M240" s="293" t="s">
        <v>2583</v>
      </c>
      <c r="N240" s="293" t="s">
        <v>1173</v>
      </c>
      <c r="O240" s="10">
        <v>1</v>
      </c>
      <c r="P240" s="10"/>
    </row>
    <row r="241" spans="1:16" s="356" customFormat="1" ht="12.75" customHeight="1" x14ac:dyDescent="0.3">
      <c r="A241">
        <f t="shared" si="3"/>
        <v>240</v>
      </c>
      <c r="B241" t="s">
        <v>255</v>
      </c>
      <c r="C241" s="3">
        <v>1</v>
      </c>
      <c r="D241">
        <v>302</v>
      </c>
      <c r="E241" s="10" t="str">
        <f>VLOOKUP( T_Aop[[#This Row],[Id]], T_Aop[], ID_Jezik +10, 1)</f>
        <v>590 i 591</v>
      </c>
      <c r="F241" t="str">
        <f>REPT( "  ", T_Aop[[#This Row],[Aop nivo]]) &amp; VLOOKUP( T_Aop[[#This Row],[Id]], T_Aop[], ID_Jezik + 6, 1)</f>
        <v xml:space="preserve">  LJ. Rashodi po osnovu promjene računovodstvenih politika i ispravke grešaka iz ranijih godina</v>
      </c>
      <c r="G241" s="288" t="s">
        <v>2875</v>
      </c>
      <c r="H241" s="56" t="s">
        <v>2705</v>
      </c>
      <c r="I241" s="295" t="s">
        <v>1904</v>
      </c>
      <c r="J241" s="370" t="s">
        <v>2091</v>
      </c>
      <c r="K241" s="376" t="s">
        <v>1306</v>
      </c>
      <c r="L241" s="275" t="s">
        <v>1174</v>
      </c>
      <c r="M241" s="293" t="s">
        <v>2584</v>
      </c>
      <c r="N241" s="293" t="s">
        <v>1174</v>
      </c>
      <c r="O241" s="10"/>
      <c r="P241" s="10"/>
    </row>
    <row r="242" spans="1:16" s="356" customFormat="1" ht="12.75" customHeight="1" x14ac:dyDescent="0.3">
      <c r="A242">
        <f t="shared" si="3"/>
        <v>241</v>
      </c>
      <c r="B242" t="s">
        <v>255</v>
      </c>
      <c r="C242">
        <v>0</v>
      </c>
      <c r="D242">
        <v>303</v>
      </c>
      <c r="E242" s="10">
        <f>VLOOKUP( T_Aop[[#This Row],[Id]], T_Aop[], ID_Jezik +10, 1)</f>
        <v>0</v>
      </c>
      <c r="F242" t="str">
        <f>REPT( "  ", T_Aop[[#This Row],[Aop nivo]]) &amp; VLOOKUP( T_Aop[[#This Row],[Id]], T_Aop[], ID_Jezik + 6, 1)</f>
        <v>Udio u dobiti pridruženog društva i zajedničkog poduhvata primjenom metode udjela</v>
      </c>
      <c r="G242" s="288" t="s">
        <v>1199</v>
      </c>
      <c r="H242" s="56" t="s">
        <v>956</v>
      </c>
      <c r="I242" s="295" t="s">
        <v>1905</v>
      </c>
      <c r="J242" s="370" t="s">
        <v>2092</v>
      </c>
      <c r="K242" s="376"/>
      <c r="L242" s="275"/>
      <c r="M242" s="293"/>
      <c r="N242" s="293"/>
      <c r="O242" s="10">
        <v>1</v>
      </c>
      <c r="P242" s="10"/>
    </row>
    <row r="243" spans="1:16" s="356" customFormat="1" ht="12.75" customHeight="1" x14ac:dyDescent="0.3">
      <c r="A243">
        <f t="shared" si="3"/>
        <v>242</v>
      </c>
      <c r="B243" t="s">
        <v>255</v>
      </c>
      <c r="C243">
        <v>0</v>
      </c>
      <c r="D243">
        <v>304</v>
      </c>
      <c r="E243" s="10">
        <f>VLOOKUP( T_Aop[[#This Row],[Id]], T_Aop[], ID_Jezik +10, 1)</f>
        <v>0</v>
      </c>
      <c r="F243" t="str">
        <f>REPT( "  ", T_Aop[[#This Row],[Aop nivo]]) &amp; VLOOKUP( T_Aop[[#This Row],[Id]], T_Aop[], ID_Jezik + 6, 1)</f>
        <v>Udio u gubitku pridruženog društva i zajedničkog poduhvata primjenom metode udjela</v>
      </c>
      <c r="G243" s="288" t="s">
        <v>1200</v>
      </c>
      <c r="H243" s="56" t="s">
        <v>957</v>
      </c>
      <c r="I243" s="295" t="s">
        <v>1906</v>
      </c>
      <c r="J243" s="370" t="s">
        <v>2093</v>
      </c>
      <c r="K243" s="376"/>
      <c r="L243" s="275"/>
      <c r="M243" s="293"/>
      <c r="N243" s="293"/>
      <c r="O243" s="10">
        <v>1</v>
      </c>
      <c r="P243" s="10"/>
    </row>
    <row r="244" spans="1:16" s="356" customFormat="1" ht="12.75" customHeight="1" x14ac:dyDescent="0.3">
      <c r="A244">
        <f t="shared" si="3"/>
        <v>243</v>
      </c>
      <c r="B244" t="s">
        <v>255</v>
      </c>
      <c r="C244">
        <v>1</v>
      </c>
      <c r="D244">
        <v>305</v>
      </c>
      <c r="E244" s="10">
        <f>VLOOKUP( T_Aop[[#This Row],[Id]], T_Aop[], ID_Jezik +10, 1)</f>
        <v>0</v>
      </c>
      <c r="F244" t="str">
        <f>REPT( "  ", T_Aop[[#This Row],[Aop nivo]]) &amp; VLOOKUP( T_Aop[[#This Row],[Id]], T_Aop[], ID_Jezik + 6, 1)</f>
        <v xml:space="preserve">  UKUPNI PRIHODI (201+239+251+273+301+303)</v>
      </c>
      <c r="G244" s="281" t="s">
        <v>1201</v>
      </c>
      <c r="H244" s="56" t="s">
        <v>958</v>
      </c>
      <c r="I244" s="295" t="s">
        <v>1907</v>
      </c>
      <c r="J244" s="370" t="s">
        <v>2094</v>
      </c>
      <c r="K244" s="376"/>
      <c r="L244" s="275"/>
      <c r="M244" s="293"/>
      <c r="N244" s="293"/>
      <c r="O244" s="10">
        <v>1</v>
      </c>
      <c r="P244" s="10"/>
    </row>
    <row r="245" spans="1:16" s="356" customFormat="1" ht="12.75" customHeight="1" x14ac:dyDescent="0.3">
      <c r="A245">
        <f t="shared" si="3"/>
        <v>244</v>
      </c>
      <c r="B245" t="s">
        <v>255</v>
      </c>
      <c r="C245">
        <v>1</v>
      </c>
      <c r="D245">
        <v>306</v>
      </c>
      <c r="E245" s="10">
        <f>VLOOKUP( T_Aop[[#This Row],[Id]], T_Aop[], ID_Jezik +10, 1)</f>
        <v>0</v>
      </c>
      <c r="F245" t="str">
        <f>REPT( "  ", T_Aop[[#This Row],[Aop nivo]]) &amp; VLOOKUP( T_Aop[[#This Row],[Id]], T_Aop[], ID_Jezik + 6, 1)</f>
        <v xml:space="preserve">  UKUPNI RASHODI (219+244+261+286+302+304)</v>
      </c>
      <c r="G245" s="281" t="s">
        <v>1202</v>
      </c>
      <c r="H245" s="56" t="s">
        <v>959</v>
      </c>
      <c r="I245" s="295" t="s">
        <v>1908</v>
      </c>
      <c r="J245" s="370" t="s">
        <v>2095</v>
      </c>
      <c r="K245" s="376"/>
      <c r="L245" s="275"/>
      <c r="M245" s="293"/>
      <c r="N245" s="293"/>
      <c r="O245" s="10"/>
      <c r="P245" s="10"/>
    </row>
    <row r="246" spans="1:16" s="356" customFormat="1" ht="24.25" customHeight="1" x14ac:dyDescent="0.3">
      <c r="A246">
        <f t="shared" si="3"/>
        <v>245</v>
      </c>
      <c r="B246" t="s">
        <v>255</v>
      </c>
      <c r="C246">
        <v>1</v>
      </c>
      <c r="D246">
        <v>307</v>
      </c>
      <c r="E246" s="10">
        <f>VLOOKUP( T_Aop[[#This Row],[Id]], T_Aop[], ID_Jezik +10, 1)</f>
        <v>0</v>
      </c>
      <c r="F246" t="str">
        <f>REPT( "  ", T_Aop[[#This Row],[Aop nivo]]) &amp; VLOOKUP( T_Aop[[#This Row],[Id]], T_Aop[], ID_Jezik + 6, 1)</f>
        <v xml:space="preserve">  M. DOBIT I GUBITAK PRIJE OPOREZIVANJA
1. Dobit prije oporezivanja (305 – 306)</v>
      </c>
      <c r="G246" s="280" t="s">
        <v>2874</v>
      </c>
      <c r="H246" s="287" t="s">
        <v>2866</v>
      </c>
      <c r="I246" s="296" t="s">
        <v>2585</v>
      </c>
      <c r="J246" s="370" t="s">
        <v>2219</v>
      </c>
      <c r="K246" s="293"/>
      <c r="L246" s="277"/>
      <c r="M246" s="277"/>
      <c r="N246" s="256"/>
      <c r="O246" s="10"/>
      <c r="P246" s="10"/>
    </row>
    <row r="247" spans="1:16" s="356" customFormat="1" ht="12.75" customHeight="1" x14ac:dyDescent="0.3">
      <c r="A247">
        <f t="shared" si="3"/>
        <v>246</v>
      </c>
      <c r="B247" t="s">
        <v>255</v>
      </c>
      <c r="C247">
        <v>1</v>
      </c>
      <c r="D247">
        <v>308</v>
      </c>
      <c r="E247" s="10">
        <f>VLOOKUP( T_Aop[[#This Row],[Id]], T_Aop[], ID_Jezik +10, 1)</f>
        <v>0</v>
      </c>
      <c r="F247" t="str">
        <f>REPT( "  ", T_Aop[[#This Row],[Aop nivo]]) &amp; VLOOKUP( T_Aop[[#This Row],[Id]], T_Aop[], ID_Jezik + 6, 1)</f>
        <v xml:space="preserve">  2. Gubitak prije oporezivanja (306 – 305)</v>
      </c>
      <c r="G247" s="288" t="s">
        <v>1203</v>
      </c>
      <c r="H247" s="311" t="s">
        <v>960</v>
      </c>
      <c r="I247" s="312" t="s">
        <v>1909</v>
      </c>
      <c r="J247" s="379" t="s">
        <v>2096</v>
      </c>
      <c r="K247" s="313"/>
      <c r="L247" s="314"/>
      <c r="M247" s="277"/>
      <c r="N247" s="256"/>
      <c r="O247" s="10"/>
      <c r="P247" s="10"/>
    </row>
    <row r="248" spans="1:16" s="356" customFormat="1" ht="12.75" customHeight="1" x14ac:dyDescent="0.3">
      <c r="A248">
        <f t="shared" si="3"/>
        <v>247</v>
      </c>
      <c r="B248" t="s">
        <v>255</v>
      </c>
      <c r="C248">
        <v>1</v>
      </c>
      <c r="D248">
        <v>309</v>
      </c>
      <c r="E248" s="10" t="str">
        <f>VLOOKUP( T_Aop[[#This Row],[Id]], T_Aop[], ID_Jezik +10, 1)</f>
        <v>721</v>
      </c>
      <c r="F248" t="str">
        <f>REPT( "  ", T_Aop[[#This Row],[Aop nivo]]) &amp; VLOOKUP( T_Aop[[#This Row],[Id]], T_Aop[], ID_Jezik + 6, 1)</f>
        <v xml:space="preserve">  N. TEKUĆI I ODLOŽENI POREZ NA DOBIT
1. Poreski rashodi perioda </v>
      </c>
      <c r="G248" s="291" t="s">
        <v>2214</v>
      </c>
      <c r="H248" s="315" t="s">
        <v>2213</v>
      </c>
      <c r="I248" s="312" t="s">
        <v>1910</v>
      </c>
      <c r="J248" s="379" t="s">
        <v>2220</v>
      </c>
      <c r="K248" s="313" t="s">
        <v>1307</v>
      </c>
      <c r="L248" s="314">
        <v>721</v>
      </c>
      <c r="M248" s="277">
        <v>721</v>
      </c>
      <c r="N248" s="256">
        <v>721</v>
      </c>
      <c r="O248" s="10"/>
      <c r="P248" s="10"/>
    </row>
    <row r="249" spans="1:16" s="356" customFormat="1" ht="12.75" customHeight="1" x14ac:dyDescent="0.3">
      <c r="A249">
        <f t="shared" si="3"/>
        <v>248</v>
      </c>
      <c r="B249" t="s">
        <v>255</v>
      </c>
      <c r="C249">
        <v>2</v>
      </c>
      <c r="D249">
        <v>310</v>
      </c>
      <c r="E249" s="10">
        <f>VLOOKUP( T_Aop[[#This Row],[Id]], T_Aop[], ID_Jezik +10, 1)</f>
        <v>0</v>
      </c>
      <c r="F249" t="str">
        <f>REPT( "  ", T_Aop[[#This Row],[Aop nivo]]) &amp; VLOOKUP( T_Aop[[#This Row],[Id]], T_Aop[], ID_Jezik + 6, 1)</f>
        <v xml:space="preserve">    2. Odloženi poreski rashodi (311 + 312)</v>
      </c>
      <c r="G249" s="288" t="s">
        <v>1204</v>
      </c>
      <c r="H249" s="311" t="s">
        <v>961</v>
      </c>
      <c r="I249" s="312" t="s">
        <v>1911</v>
      </c>
      <c r="J249" s="379" t="s">
        <v>2097</v>
      </c>
      <c r="K249" s="313"/>
      <c r="L249" s="314"/>
      <c r="M249" s="277"/>
      <c r="N249" s="256"/>
      <c r="O249" s="10"/>
      <c r="P249" s="10"/>
    </row>
    <row r="250" spans="1:16" s="356" customFormat="1" ht="12.75" customHeight="1" x14ac:dyDescent="0.3">
      <c r="A250">
        <f t="shared" si="3"/>
        <v>249</v>
      </c>
      <c r="B250" t="s">
        <v>255</v>
      </c>
      <c r="C250">
        <v>3</v>
      </c>
      <c r="D250">
        <v>311</v>
      </c>
      <c r="E250" s="10" t="str">
        <f>VLOOKUP( T_Aop[[#This Row],[Id]], T_Aop[], ID_Jezik +10, 1)</f>
        <v>722</v>
      </c>
      <c r="F250" t="str">
        <f>REPT( "  ", T_Aop[[#This Row],[Aop nivo]]) &amp; VLOOKUP( T_Aop[[#This Row],[Id]], T_Aop[], ID_Jezik + 6, 1)</f>
        <v xml:space="preserve">      2.1   Efekat smanjenja odloženih poreskih sredstava</v>
      </c>
      <c r="G250" s="288" t="s">
        <v>1205</v>
      </c>
      <c r="H250" s="311" t="s">
        <v>962</v>
      </c>
      <c r="I250" s="312" t="s">
        <v>2801</v>
      </c>
      <c r="J250" s="379" t="s">
        <v>2555</v>
      </c>
      <c r="K250" s="313" t="s">
        <v>1308</v>
      </c>
      <c r="L250" s="314">
        <v>722</v>
      </c>
      <c r="M250" s="277">
        <v>722</v>
      </c>
      <c r="N250" s="256">
        <v>722</v>
      </c>
      <c r="O250" s="10"/>
      <c r="P250" s="10"/>
    </row>
    <row r="251" spans="1:16" s="356" customFormat="1" ht="12.75" customHeight="1" x14ac:dyDescent="0.3">
      <c r="A251">
        <f t="shared" si="3"/>
        <v>250</v>
      </c>
      <c r="B251" t="s">
        <v>255</v>
      </c>
      <c r="C251">
        <v>3</v>
      </c>
      <c r="D251">
        <v>312</v>
      </c>
      <c r="E251" s="10" t="str">
        <f>VLOOKUP( T_Aop[[#This Row],[Id]], T_Aop[], ID_Jezik +10, 1)</f>
        <v>724</v>
      </c>
      <c r="F251" t="str">
        <f>REPT( "  ", T_Aop[[#This Row],[Aop nivo]]) &amp; VLOOKUP( T_Aop[[#This Row],[Id]], T_Aop[], ID_Jezik + 6, 1)</f>
        <v xml:space="preserve">      2.2   Efekat povećanja odloženih poreskih obaveza</v>
      </c>
      <c r="G251" s="288" t="s">
        <v>1206</v>
      </c>
      <c r="H251" s="311" t="s">
        <v>963</v>
      </c>
      <c r="I251" s="316" t="s">
        <v>2802</v>
      </c>
      <c r="J251" s="379" t="s">
        <v>2556</v>
      </c>
      <c r="K251" s="313" t="s">
        <v>1309</v>
      </c>
      <c r="L251" s="314">
        <v>724</v>
      </c>
      <c r="M251" s="277">
        <v>724</v>
      </c>
      <c r="N251" s="256">
        <v>724</v>
      </c>
      <c r="O251" s="10"/>
      <c r="P251" s="10"/>
    </row>
    <row r="252" spans="1:16" s="356" customFormat="1" ht="12.75" customHeight="1" x14ac:dyDescent="0.3">
      <c r="A252">
        <f t="shared" si="3"/>
        <v>251</v>
      </c>
      <c r="B252" t="s">
        <v>255</v>
      </c>
      <c r="C252">
        <v>2</v>
      </c>
      <c r="D252">
        <v>313</v>
      </c>
      <c r="E252" s="10">
        <f>VLOOKUP( T_Aop[[#This Row],[Id]], T_Aop[], ID_Jezik +10, 1)</f>
        <v>0</v>
      </c>
      <c r="F252" t="str">
        <f>REPT( "  ", T_Aop[[#This Row],[Aop nivo]]) &amp; VLOOKUP( T_Aop[[#This Row],[Id]], T_Aop[], ID_Jezik + 6, 1)</f>
        <v xml:space="preserve">    3. Odloženi poreski prihodi (314 + 315)</v>
      </c>
      <c r="G252" s="288" t="s">
        <v>1207</v>
      </c>
      <c r="H252" s="311" t="s">
        <v>964</v>
      </c>
      <c r="I252" s="312" t="s">
        <v>1912</v>
      </c>
      <c r="J252" s="379" t="s">
        <v>2098</v>
      </c>
      <c r="K252" s="313"/>
      <c r="L252" s="314"/>
      <c r="M252" s="277"/>
      <c r="N252" s="256"/>
      <c r="O252" s="10"/>
      <c r="P252" s="10"/>
    </row>
    <row r="253" spans="1:16" s="356" customFormat="1" ht="12.75" customHeight="1" x14ac:dyDescent="0.3">
      <c r="A253">
        <f t="shared" si="3"/>
        <v>252</v>
      </c>
      <c r="B253" t="s">
        <v>255</v>
      </c>
      <c r="C253" s="3">
        <v>3</v>
      </c>
      <c r="D253" s="3">
        <v>314</v>
      </c>
      <c r="E253" s="10" t="str">
        <f>VLOOKUP( T_Aop[[#This Row],[Id]], T_Aop[], ID_Jezik +10, 1)</f>
        <v>723</v>
      </c>
      <c r="F253" t="str">
        <f>REPT( "  ", T_Aop[[#This Row],[Aop nivo]]) &amp; VLOOKUP( T_Aop[[#This Row],[Id]], T_Aop[], ID_Jezik + 6, 1)</f>
        <v xml:space="preserve">      3.1 Efekat povećanja odloženih poreskih sredstava</v>
      </c>
      <c r="G253" s="288" t="s">
        <v>1208</v>
      </c>
      <c r="H253" s="311" t="s">
        <v>965</v>
      </c>
      <c r="I253" s="312" t="s">
        <v>2803</v>
      </c>
      <c r="J253" s="379" t="s">
        <v>2099</v>
      </c>
      <c r="K253" s="317" t="s">
        <v>1310</v>
      </c>
      <c r="L253" s="318">
        <v>723</v>
      </c>
      <c r="M253" s="278">
        <v>723</v>
      </c>
      <c r="N253" s="256">
        <v>723</v>
      </c>
      <c r="O253" s="10"/>
      <c r="P253" s="10"/>
    </row>
    <row r="254" spans="1:16" s="356" customFormat="1" ht="12.75" customHeight="1" x14ac:dyDescent="0.3">
      <c r="A254">
        <f t="shared" si="3"/>
        <v>253</v>
      </c>
      <c r="B254" t="s">
        <v>255</v>
      </c>
      <c r="C254">
        <v>3</v>
      </c>
      <c r="D254">
        <v>315</v>
      </c>
      <c r="E254" s="10" t="str">
        <f>VLOOKUP( T_Aop[[#This Row],[Id]], T_Aop[], ID_Jezik +10, 1)</f>
        <v>725</v>
      </c>
      <c r="F254" t="str">
        <f>REPT( "  ", T_Aop[[#This Row],[Aop nivo]]) &amp; VLOOKUP( T_Aop[[#This Row],[Id]], T_Aop[], ID_Jezik + 6, 1)</f>
        <v xml:space="preserve">      3.2 Efekat smanjenja odloženih poreskih obaveza</v>
      </c>
      <c r="G254" s="288" t="s">
        <v>1209</v>
      </c>
      <c r="H254" s="311" t="s">
        <v>966</v>
      </c>
      <c r="I254" s="312" t="s">
        <v>2804</v>
      </c>
      <c r="J254" s="379" t="s">
        <v>2100</v>
      </c>
      <c r="K254" s="317" t="s">
        <v>1311</v>
      </c>
      <c r="L254" s="314">
        <v>725</v>
      </c>
      <c r="M254" s="277">
        <v>725</v>
      </c>
      <c r="N254" s="256">
        <v>725</v>
      </c>
      <c r="O254" s="10"/>
      <c r="P254" s="10"/>
    </row>
    <row r="255" spans="1:16" s="356" customFormat="1" ht="27.75" customHeight="1" x14ac:dyDescent="0.3">
      <c r="A255">
        <f t="shared" si="3"/>
        <v>254</v>
      </c>
      <c r="B255" t="s">
        <v>255</v>
      </c>
      <c r="C255">
        <v>1</v>
      </c>
      <c r="D255">
        <v>316</v>
      </c>
      <c r="E255" s="10">
        <f>VLOOKUP( T_Aop[[#This Row],[Id]], T_Aop[], ID_Jezik +10, 1)</f>
        <v>0</v>
      </c>
      <c r="F255" s="255" t="str">
        <f>REPT( "  ", T_Aop[[#This Row],[Aop nivo]]) &amp; VLOOKUP( T_Aop[[#This Row],[Id]], T_Aop[], ID_Jezik + 6, 1)</f>
        <v xml:space="preserve">  NJ. NETO DOBIT I NETO GUBITAK PERIODA
 1. Neto dobit tekuće godine (307-309-310+313)&gt;0 i 307&gt;0 ili (313-308-309-310)&gt;0 i 308&gt;0</v>
      </c>
      <c r="G255" s="298" t="s">
        <v>2876</v>
      </c>
      <c r="H255" s="315" t="s">
        <v>2215</v>
      </c>
      <c r="I255" s="312" t="s">
        <v>1913</v>
      </c>
      <c r="J255" s="379" t="s">
        <v>2221</v>
      </c>
      <c r="K255" s="317"/>
      <c r="L255" s="314"/>
      <c r="M255" s="277"/>
      <c r="N255" s="256"/>
      <c r="O255" s="10"/>
      <c r="P255" s="10"/>
    </row>
    <row r="256" spans="1:16" s="356" customFormat="1" ht="12.75" customHeight="1" x14ac:dyDescent="0.3">
      <c r="A256">
        <f t="shared" si="3"/>
        <v>255</v>
      </c>
      <c r="B256" t="s">
        <v>255</v>
      </c>
      <c r="C256">
        <v>0</v>
      </c>
      <c r="D256">
        <v>317</v>
      </c>
      <c r="E256" s="10" t="str">
        <f>VLOOKUP( T_Aop[[#This Row],[Id]], T_Aop[], ID_Jezik +10, 1)</f>
        <v xml:space="preserve"> </v>
      </c>
      <c r="F256" s="183" t="str">
        <f>REPT( "  ", T_Aop[[#This Row],[Aop nivo]]) &amp; VLOOKUP( T_Aop[[#This Row],[Id]], T_Aop[], ID_Jezik + 6, 1)</f>
        <v>2. Neto gubitak tekuće godine (308+309+310-313)&gt;0 i 308&gt;0 ili (309+310-307-313)&gt;0 i 307&gt;0</v>
      </c>
      <c r="G256" s="299" t="s">
        <v>1210</v>
      </c>
      <c r="H256" s="311" t="s">
        <v>967</v>
      </c>
      <c r="I256" s="312" t="s">
        <v>1914</v>
      </c>
      <c r="J256" s="379" t="s">
        <v>2101</v>
      </c>
      <c r="K256" s="317" t="s">
        <v>786</v>
      </c>
      <c r="L256" s="314" t="s">
        <v>786</v>
      </c>
      <c r="M256" s="277" t="s">
        <v>786</v>
      </c>
      <c r="N256" s="256"/>
      <c r="O256" s="10"/>
      <c r="P256" s="10"/>
    </row>
    <row r="257" spans="1:16" s="356" customFormat="1" ht="12.75" customHeight="1" x14ac:dyDescent="0.3">
      <c r="A257">
        <f t="shared" si="3"/>
        <v>256</v>
      </c>
      <c r="B257" t="s">
        <v>255</v>
      </c>
      <c r="C257">
        <v>1</v>
      </c>
      <c r="D257">
        <v>318</v>
      </c>
      <c r="E257" s="10" t="str">
        <f>VLOOKUP( T_Aop[[#This Row],[Id]], T_Aop[], ID_Jezik +10, 1)</f>
        <v>726</v>
      </c>
      <c r="F257" t="str">
        <f>REPT( "  ", T_Aop[[#This Row],[Aop nivo]]) &amp; VLOOKUP( T_Aop[[#This Row],[Id]], T_Aop[], ID_Jezik + 6, 1)</f>
        <v xml:space="preserve">  O. Međudividende i drugi vidovi raspodjele dobitka u toku perioda</v>
      </c>
      <c r="G257" s="299" t="s">
        <v>1211</v>
      </c>
      <c r="H257" s="311" t="s">
        <v>968</v>
      </c>
      <c r="I257" s="312" t="s">
        <v>1915</v>
      </c>
      <c r="J257" s="379" t="s">
        <v>2102</v>
      </c>
      <c r="K257" s="317" t="s">
        <v>1312</v>
      </c>
      <c r="L257" s="314">
        <v>726</v>
      </c>
      <c r="M257" s="277">
        <v>726</v>
      </c>
      <c r="N257" s="256">
        <v>726</v>
      </c>
      <c r="O257" s="10"/>
      <c r="P257" s="10"/>
    </row>
    <row r="258" spans="1:16" s="356" customFormat="1" ht="12.75" customHeight="1" x14ac:dyDescent="0.3">
      <c r="A258">
        <f t="shared" ref="A258:A321" si="4">ROW()-ROW($A$1)</f>
        <v>257</v>
      </c>
      <c r="B258" t="s">
        <v>255</v>
      </c>
      <c r="C258">
        <v>0</v>
      </c>
      <c r="D258">
        <v>319</v>
      </c>
      <c r="E258" s="10">
        <f>VLOOKUP( T_Aop[[#This Row],[Id]], T_Aop[], ID_Jezik +10, 1)</f>
        <v>0</v>
      </c>
      <c r="F258" t="str">
        <f>REPT( "  ", T_Aop[[#This Row],[Aop nivo]]) &amp; VLOOKUP( T_Aop[[#This Row],[Id]], T_Aop[], ID_Jezik + 6, 1)</f>
        <v>Dio neto dobiti/gubitka koji pripada većinskim vlasnicima</v>
      </c>
      <c r="G258" s="288" t="s">
        <v>1212</v>
      </c>
      <c r="H258" s="311" t="s">
        <v>969</v>
      </c>
      <c r="I258" s="312" t="s">
        <v>38</v>
      </c>
      <c r="J258" s="379" t="s">
        <v>2103</v>
      </c>
      <c r="K258" s="317"/>
      <c r="L258" s="314"/>
      <c r="M258" s="279"/>
      <c r="N258" s="256"/>
      <c r="O258" s="10"/>
      <c r="P258" s="10"/>
    </row>
    <row r="259" spans="1:16" s="356" customFormat="1" ht="12.75" customHeight="1" x14ac:dyDescent="0.3">
      <c r="A259">
        <f t="shared" si="4"/>
        <v>258</v>
      </c>
      <c r="B259" t="s">
        <v>255</v>
      </c>
      <c r="C259">
        <v>0</v>
      </c>
      <c r="D259">
        <v>320</v>
      </c>
      <c r="E259" s="10">
        <f>VLOOKUP( T_Aop[[#This Row],[Id]], T_Aop[], ID_Jezik +10, 1)</f>
        <v>0</v>
      </c>
      <c r="F259" t="str">
        <f>REPT( "  ", T_Aop[[#This Row],[Aop nivo]]) &amp; VLOOKUP( T_Aop[[#This Row],[Id]], T_Aop[], ID_Jezik + 6, 1)</f>
        <v>Dio neto dobiti/gubitka koji pripada manjinskim vlasnicima</v>
      </c>
      <c r="G259" s="288" t="s">
        <v>1213</v>
      </c>
      <c r="H259" s="311" t="s">
        <v>970</v>
      </c>
      <c r="I259" s="312" t="s">
        <v>39</v>
      </c>
      <c r="J259" s="379" t="s">
        <v>2104</v>
      </c>
      <c r="K259" s="317"/>
      <c r="L259" s="314"/>
      <c r="M259" s="279"/>
      <c r="N259" s="256"/>
      <c r="O259" s="10"/>
      <c r="P259" s="10"/>
    </row>
    <row r="260" spans="1:16" s="356" customFormat="1" ht="12.75" customHeight="1" x14ac:dyDescent="0.3">
      <c r="A260">
        <f t="shared" si="4"/>
        <v>259</v>
      </c>
      <c r="B260" t="s">
        <v>255</v>
      </c>
      <c r="C260">
        <v>0</v>
      </c>
      <c r="D260">
        <v>321</v>
      </c>
      <c r="E260" s="10">
        <f>VLOOKUP( T_Aop[[#This Row],[Id]], T_Aop[], ID_Jezik +10, 1)</f>
        <v>0</v>
      </c>
      <c r="F260" t="str">
        <f>REPT( "  ", T_Aop[[#This Row],[Aop nivo]]) &amp; VLOOKUP( T_Aop[[#This Row],[Id]], T_Aop[], ID_Jezik + 6, 1)</f>
        <v>Obična zarada po akciji</v>
      </c>
      <c r="G260" s="288" t="s">
        <v>32</v>
      </c>
      <c r="H260" s="311" t="s">
        <v>513</v>
      </c>
      <c r="I260" s="312" t="s">
        <v>37</v>
      </c>
      <c r="J260" s="379" t="s">
        <v>2105</v>
      </c>
      <c r="K260" s="317"/>
      <c r="L260" s="314"/>
      <c r="M260" s="279"/>
      <c r="N260" s="256"/>
      <c r="O260" s="10"/>
      <c r="P260" s="10"/>
    </row>
    <row r="261" spans="1:16" s="356" customFormat="1" ht="12.75" customHeight="1" x14ac:dyDescent="0.3">
      <c r="A261">
        <f t="shared" si="4"/>
        <v>260</v>
      </c>
      <c r="B261" t="s">
        <v>255</v>
      </c>
      <c r="C261">
        <v>0</v>
      </c>
      <c r="D261">
        <v>322</v>
      </c>
      <c r="E261" s="10">
        <f>VLOOKUP( T_Aop[[#This Row],[Id]], T_Aop[], ID_Jezik +10, 1)</f>
        <v>0</v>
      </c>
      <c r="F261" t="str">
        <f>REPT( "  ", T_Aop[[#This Row],[Aop nivo]]) &amp; VLOOKUP( T_Aop[[#This Row],[Id]], T_Aop[], ID_Jezik + 6, 1)</f>
        <v>Razrijeđena zarada po akciji</v>
      </c>
      <c r="G261" s="288" t="s">
        <v>5</v>
      </c>
      <c r="H261" s="311" t="s">
        <v>514</v>
      </c>
      <c r="I261" s="312" t="s">
        <v>30</v>
      </c>
      <c r="J261" s="379" t="s">
        <v>2106</v>
      </c>
      <c r="K261" s="317"/>
      <c r="L261" s="314"/>
      <c r="M261" s="279"/>
      <c r="N261" s="256"/>
      <c r="O261" s="10"/>
      <c r="P261" s="10"/>
    </row>
    <row r="262" spans="1:16" s="356" customFormat="1" ht="12.75" customHeight="1" x14ac:dyDescent="0.3">
      <c r="A262">
        <f t="shared" si="4"/>
        <v>261</v>
      </c>
      <c r="B262" t="s">
        <v>255</v>
      </c>
      <c r="C262">
        <v>0</v>
      </c>
      <c r="D262">
        <v>323</v>
      </c>
      <c r="E262" s="10">
        <f>VLOOKUP( T_Aop[[#This Row],[Id]], T_Aop[], ID_Jezik +10, 1)</f>
        <v>0</v>
      </c>
      <c r="F262" t="str">
        <f>REPT( "  ", T_Aop[[#This Row],[Aop nivo]]) &amp; VLOOKUP( T_Aop[[#This Row],[Id]], T_Aop[], ID_Jezik + 6, 1)</f>
        <v>Prosječan broj zaposlenih po osnovu časova rada</v>
      </c>
      <c r="G262" s="288" t="s">
        <v>33</v>
      </c>
      <c r="H262" s="311" t="s">
        <v>515</v>
      </c>
      <c r="I262" s="319" t="s">
        <v>2586</v>
      </c>
      <c r="J262" s="379" t="s">
        <v>2107</v>
      </c>
      <c r="K262" s="317"/>
      <c r="L262" s="314"/>
      <c r="M262" s="279"/>
      <c r="N262" s="256"/>
      <c r="O262" s="10"/>
      <c r="P262" s="10"/>
    </row>
    <row r="263" spans="1:16" s="356" customFormat="1" ht="12.75" customHeight="1" x14ac:dyDescent="0.3">
      <c r="A263">
        <f t="shared" si="4"/>
        <v>262</v>
      </c>
      <c r="B263" t="s">
        <v>255</v>
      </c>
      <c r="C263">
        <v>0</v>
      </c>
      <c r="D263">
        <v>324</v>
      </c>
      <c r="E263" s="2">
        <f>VLOOKUP( T_Aop[[#This Row],[Id]], T_Aop[], ID_Jezik +10, 1)</f>
        <v>0</v>
      </c>
      <c r="F263" t="str">
        <f>REPT( "  ", T_Aop[[#This Row],[Aop nivo]]) &amp; VLOOKUP( T_Aop[[#This Row],[Id]], T_Aop[], ID_Jezik + 6, 1)</f>
        <v>Prosječan broj zaposlenih po osnovu stanja na kraju mjeseca</v>
      </c>
      <c r="G263" s="288" t="s">
        <v>40</v>
      </c>
      <c r="H263" s="311" t="s">
        <v>516</v>
      </c>
      <c r="I263" s="319" t="s">
        <v>2587</v>
      </c>
      <c r="J263" s="379" t="s">
        <v>2108</v>
      </c>
      <c r="K263" s="313"/>
      <c r="L263" s="314"/>
      <c r="M263" s="279"/>
      <c r="N263" s="256"/>
      <c r="O263" s="10"/>
      <c r="P263" s="10"/>
    </row>
    <row r="264" spans="1:16" s="356" customFormat="1" ht="20.25" customHeight="1" x14ac:dyDescent="0.3">
      <c r="A264">
        <f t="shared" si="4"/>
        <v>263</v>
      </c>
      <c r="B264" t="s">
        <v>264</v>
      </c>
      <c r="C264">
        <v>0</v>
      </c>
      <c r="D264" s="3">
        <v>400</v>
      </c>
      <c r="E264" s="10">
        <f>VLOOKUP( T_Aop[[#This Row],[Id]], T_Aop[], ID_Jezik +10, 1)</f>
        <v>0</v>
      </c>
      <c r="F264" t="str">
        <f>REPT( "  ", T_Aop[[#This Row],[Aop nivo]]) &amp; VLOOKUP( T_Aop[[#This Row],[Id]], T_Aop[], ID_Jezik + 6, 1)</f>
        <v>A  NETO DOBIT ILI NETO GUBITAK PERIODA</v>
      </c>
      <c r="G264" s="288" t="s">
        <v>2235</v>
      </c>
      <c r="H264" s="320" t="s">
        <v>2706</v>
      </c>
      <c r="I264" s="321" t="s">
        <v>1952</v>
      </c>
      <c r="J264" s="380" t="s">
        <v>2350</v>
      </c>
      <c r="K264" s="313"/>
      <c r="L264" s="313"/>
      <c r="M264" s="292"/>
      <c r="N264" s="256" t="s">
        <v>2344</v>
      </c>
      <c r="O264" s="10">
        <v>1</v>
      </c>
      <c r="P264" s="10"/>
    </row>
    <row r="265" spans="1:16" s="356" customFormat="1" ht="29.25" customHeight="1" x14ac:dyDescent="0.3">
      <c r="A265">
        <f t="shared" si="4"/>
        <v>264</v>
      </c>
      <c r="B265" t="s">
        <v>264</v>
      </c>
      <c r="C265">
        <v>2</v>
      </c>
      <c r="D265" s="3">
        <v>401</v>
      </c>
      <c r="E265" s="10">
        <f>VLOOKUP( T_Aop[[#This Row],[Id]], T_Aop[], ID_Jezik +10, 1)</f>
        <v>0</v>
      </c>
      <c r="F265" t="str">
        <f>REPT( "  ", T_Aop[[#This Row],[Aop nivo]]) &amp; VLOOKUP( T_Aop[[#This Row],[Id]], T_Aop[], ID_Jezik + 6, 1)</f>
        <v xml:space="preserve">    1. Stavke koje mogu biti reklasifikovane u bilans uspjeha (±402+403±404±405±406±407)</v>
      </c>
      <c r="G265" s="255" t="s">
        <v>2893</v>
      </c>
      <c r="H265" s="322" t="s">
        <v>2894</v>
      </c>
      <c r="I265" s="323" t="s">
        <v>2898</v>
      </c>
      <c r="J265" s="381" t="s">
        <v>2351</v>
      </c>
      <c r="K265" s="313"/>
      <c r="L265" s="313"/>
      <c r="M265" s="292"/>
      <c r="N265" s="256"/>
      <c r="O265" s="10">
        <v>1</v>
      </c>
      <c r="P265" s="10"/>
    </row>
    <row r="266" spans="1:16" s="356" customFormat="1" ht="12.75" customHeight="1" x14ac:dyDescent="0.3">
      <c r="A266">
        <f t="shared" si="4"/>
        <v>265</v>
      </c>
      <c r="B266" t="s">
        <v>264</v>
      </c>
      <c r="C266">
        <v>3</v>
      </c>
      <c r="D266" s="3">
        <v>402</v>
      </c>
      <c r="E266" s="10" t="str">
        <f>VLOOKUP( T_Aop[[#This Row],[Id]], T_Aop[], ID_Jezik +10, 1)</f>
        <v>Promjena na 332 i 333</v>
      </c>
      <c r="F266" t="str">
        <f>REPT( "  ", T_Aop[[#This Row],[Aop nivo]]) &amp; VLOOKUP( T_Aop[[#This Row],[Id]], T_Aop[], ID_Jezik + 6, 1)</f>
        <v xml:space="preserve">      1.1 Povećanje/(smanjenje) fer vrijednosti dužničkih instrumenata po fer vrijednosti kroz ostali ukupan rezultat</v>
      </c>
      <c r="G266" s="288" t="s">
        <v>1492</v>
      </c>
      <c r="H266" s="324" t="s">
        <v>1489</v>
      </c>
      <c r="I266" s="325" t="s">
        <v>2805</v>
      </c>
      <c r="J266" s="379" t="s">
        <v>2352</v>
      </c>
      <c r="K266" s="313" t="s">
        <v>2469</v>
      </c>
      <c r="L266" s="313" t="s">
        <v>2473</v>
      </c>
      <c r="M266" s="292" t="s">
        <v>2477</v>
      </c>
      <c r="N266" s="256" t="s">
        <v>2345</v>
      </c>
      <c r="O266" s="10"/>
      <c r="P266" s="10">
        <v>1</v>
      </c>
    </row>
    <row r="267" spans="1:16" s="356" customFormat="1" ht="12.75" customHeight="1" x14ac:dyDescent="0.3">
      <c r="A267">
        <f t="shared" si="4"/>
        <v>266</v>
      </c>
      <c r="B267" t="s">
        <v>264</v>
      </c>
      <c r="C267">
        <v>3</v>
      </c>
      <c r="D267" s="3">
        <v>403</v>
      </c>
      <c r="E267" s="10" t="str">
        <f>VLOOKUP( T_Aop[[#This Row],[Id]], T_Aop[], ID_Jezik +10, 1)</f>
        <v>Promjena na 331</v>
      </c>
      <c r="F267" t="str">
        <f>REPT( "  ", T_Aop[[#This Row],[Aop nivo]]) &amp; VLOOKUP( T_Aop[[#This Row],[Id]], T_Aop[], ID_Jezik + 6, 1)</f>
        <v xml:space="preserve">      1.2 Efekti proistekli iz transakcija zaštite ("hedging")</v>
      </c>
      <c r="G267" s="288" t="s">
        <v>1493</v>
      </c>
      <c r="H267" s="324" t="s">
        <v>1490</v>
      </c>
      <c r="I267" s="312" t="s">
        <v>1953</v>
      </c>
      <c r="J267" s="379" t="s">
        <v>2353</v>
      </c>
      <c r="K267" s="313" t="s">
        <v>2470</v>
      </c>
      <c r="L267" s="313" t="s">
        <v>2474</v>
      </c>
      <c r="M267" s="292" t="s">
        <v>2478</v>
      </c>
      <c r="N267" s="256" t="s">
        <v>2346</v>
      </c>
      <c r="O267" s="10"/>
      <c r="P267" s="10"/>
    </row>
    <row r="268" spans="1:16" s="356" customFormat="1" ht="12.75" customHeight="1" x14ac:dyDescent="0.3">
      <c r="A268">
        <f t="shared" si="4"/>
        <v>267</v>
      </c>
      <c r="B268" t="s">
        <v>264</v>
      </c>
      <c r="C268">
        <v>3</v>
      </c>
      <c r="D268" s="3">
        <v>404</v>
      </c>
      <c r="E268" s="10">
        <f>VLOOKUP( T_Aop[[#This Row],[Id]], T_Aop[], ID_Jezik +10, 1)</f>
        <v>0</v>
      </c>
      <c r="F268" t="str">
        <f>REPT( "  ", T_Aop[[#This Row],[Aop nivo]]) &amp; VLOOKUP( T_Aop[[#This Row],[Id]], T_Aop[], ID_Jezik + 6, 1)</f>
        <v xml:space="preserve">      1.3 Udio u ostalom ukupnom rezultatu pridruženog društva i zajedničkog poduhvata primjenom metode udjela</v>
      </c>
      <c r="G268" s="288" t="s">
        <v>1494</v>
      </c>
      <c r="H268" s="324" t="s">
        <v>1491</v>
      </c>
      <c r="I268" s="312" t="s">
        <v>1954</v>
      </c>
      <c r="J268" s="379" t="s">
        <v>2354</v>
      </c>
      <c r="K268" s="313"/>
      <c r="L268" s="313"/>
      <c r="M268" s="292"/>
      <c r="N268" s="256"/>
      <c r="O268" s="10"/>
      <c r="P268" s="10"/>
    </row>
    <row r="269" spans="1:16" s="356" customFormat="1" ht="12.75" customHeight="1" x14ac:dyDescent="0.3">
      <c r="A269">
        <f t="shared" si="4"/>
        <v>268</v>
      </c>
      <c r="B269" t="s">
        <v>264</v>
      </c>
      <c r="C269">
        <v>3</v>
      </c>
      <c r="D269" s="3">
        <v>405</v>
      </c>
      <c r="E269" s="10">
        <f>VLOOKUP( T_Aop[[#This Row],[Id]], T_Aop[], ID_Jezik +10, 1)</f>
        <v>0</v>
      </c>
      <c r="F269" t="str">
        <f>REPT( "  ", T_Aop[[#This Row],[Aop nivo]]) &amp; VLOOKUP( T_Aop[[#This Row],[Id]], T_Aop[], ID_Jezik + 6, 1)</f>
        <v xml:space="preserve">      1.4 Dobici ili gubici po osnovu konverzije finansijskih izvještaja inostranog poslovanja</v>
      </c>
      <c r="G269" s="288" t="s">
        <v>1495</v>
      </c>
      <c r="H269" s="324" t="s">
        <v>1488</v>
      </c>
      <c r="I269" s="312" t="s">
        <v>1955</v>
      </c>
      <c r="J269" s="379" t="s">
        <v>2355</v>
      </c>
      <c r="K269" s="313"/>
      <c r="L269" s="313"/>
      <c r="M269" s="292"/>
      <c r="N269" s="256"/>
      <c r="O269" s="10"/>
      <c r="P269" s="10"/>
    </row>
    <row r="270" spans="1:16" s="356" customFormat="1" ht="12.75" customHeight="1" x14ac:dyDescent="0.3">
      <c r="A270">
        <f t="shared" si="4"/>
        <v>269</v>
      </c>
      <c r="B270" t="s">
        <v>264</v>
      </c>
      <c r="C270">
        <v>3</v>
      </c>
      <c r="D270" s="3">
        <v>406</v>
      </c>
      <c r="E270" s="10" t="str">
        <f>VLOOKUP( T_Aop[[#This Row],[Id]], T_Aop[], ID_Jezik +10, 1)</f>
        <v>Promjena na 339, dio</v>
      </c>
      <c r="F270" t="str">
        <f>REPT( "  ", T_Aop[[#This Row],[Aop nivo]]) &amp; VLOOKUP( T_Aop[[#This Row],[Id]], T_Aop[], ID_Jezik + 6, 1)</f>
        <v xml:space="preserve">      1.5 Ostale stavke koje mogu biti reklasifikovane u bilans uspjeha</v>
      </c>
      <c r="G270" s="288" t="s">
        <v>1496</v>
      </c>
      <c r="H270" s="324" t="s">
        <v>1487</v>
      </c>
      <c r="I270" s="312" t="s">
        <v>1956</v>
      </c>
      <c r="J270" s="379" t="s">
        <v>2356</v>
      </c>
      <c r="K270" s="313" t="s">
        <v>2471</v>
      </c>
      <c r="L270" s="313" t="s">
        <v>2475</v>
      </c>
      <c r="M270" s="292" t="s">
        <v>2479</v>
      </c>
      <c r="N270" s="256" t="s">
        <v>2347</v>
      </c>
      <c r="O270" s="10"/>
      <c r="P270" s="10"/>
    </row>
    <row r="271" spans="1:16" s="356" customFormat="1" ht="12.75" customHeight="1" x14ac:dyDescent="0.3">
      <c r="A271">
        <f t="shared" si="4"/>
        <v>270</v>
      </c>
      <c r="B271" t="s">
        <v>264</v>
      </c>
      <c r="C271">
        <v>3</v>
      </c>
      <c r="D271" s="3">
        <v>407</v>
      </c>
      <c r="E271" s="10">
        <f>VLOOKUP( T_Aop[[#This Row],[Id]], T_Aop[], ID_Jezik +10, 1)</f>
        <v>0</v>
      </c>
      <c r="F271" t="str">
        <f>REPT( "  ", T_Aop[[#This Row],[Aop nivo]]) &amp; VLOOKUP( T_Aop[[#This Row],[Id]], T_Aop[], ID_Jezik + 6, 1)</f>
        <v xml:space="preserve">      1.6  Odloženi porez na dobit koji se odnosi na ove stavke </v>
      </c>
      <c r="G271" s="288" t="s">
        <v>1497</v>
      </c>
      <c r="H271" s="324" t="s">
        <v>1486</v>
      </c>
      <c r="I271" s="312" t="s">
        <v>1957</v>
      </c>
      <c r="J271" s="379" t="s">
        <v>2357</v>
      </c>
      <c r="K271" s="313"/>
      <c r="L271" s="313"/>
      <c r="M271" s="292"/>
      <c r="N271" s="256"/>
      <c r="O271" s="10"/>
      <c r="P271" s="10"/>
    </row>
    <row r="272" spans="1:16" s="356" customFormat="1" ht="12.75" customHeight="1" x14ac:dyDescent="0.3">
      <c r="A272">
        <f t="shared" si="4"/>
        <v>271</v>
      </c>
      <c r="B272" t="s">
        <v>264</v>
      </c>
      <c r="C272">
        <v>2</v>
      </c>
      <c r="D272" s="3">
        <v>408</v>
      </c>
      <c r="E272" s="10">
        <f>VLOOKUP( T_Aop[[#This Row],[Id]], T_Aop[], ID_Jezik +10, 1)</f>
        <v>0</v>
      </c>
      <c r="F272" t="str">
        <f>REPT( "  ", T_Aop[[#This Row],[Aop nivo]]) &amp; VLOOKUP( T_Aop[[#This Row],[Id]], T_Aop[], ID_Jezik + 6, 1)</f>
        <v xml:space="preserve">    2.  Stavke koje neće biti reklasifikovane u bilans uspjeha (± 409± 410 ± 411 ± 412 ± 413 ± 414)</v>
      </c>
      <c r="G272" s="288" t="s">
        <v>1317</v>
      </c>
      <c r="H272" s="326" t="s">
        <v>1315</v>
      </c>
      <c r="I272" s="312" t="s">
        <v>1958</v>
      </c>
      <c r="J272" s="379" t="s">
        <v>2358</v>
      </c>
      <c r="K272" s="313"/>
      <c r="L272" s="313"/>
      <c r="M272" s="292"/>
      <c r="N272" s="256"/>
      <c r="O272" s="10">
        <v>1</v>
      </c>
      <c r="P272" s="10"/>
    </row>
    <row r="273" spans="1:16" s="356" customFormat="1" ht="12.75" customHeight="1" x14ac:dyDescent="0.3">
      <c r="A273">
        <f t="shared" si="4"/>
        <v>272</v>
      </c>
      <c r="B273" t="s">
        <v>264</v>
      </c>
      <c r="C273">
        <v>3</v>
      </c>
      <c r="D273" s="3">
        <v>409</v>
      </c>
      <c r="E273" s="10" t="str">
        <f>VLOOKUP( T_Aop[[#This Row],[Id]], T_Aop[], ID_Jezik +10, 1)</f>
        <v>Promjena na 330</v>
      </c>
      <c r="F273" t="str">
        <f>REPT( "  ", T_Aop[[#This Row],[Aop nivo]]) &amp; VLOOKUP( T_Aop[[#This Row],[Id]], T_Aop[], ID_Jezik + 6, 1)</f>
        <v xml:space="preserve">      2.1 Revalorizacija nekretnina, postrojenja, opreme i nematerijalne imovine</v>
      </c>
      <c r="G273" s="288" t="s">
        <v>1318</v>
      </c>
      <c r="H273" s="327" t="s">
        <v>858</v>
      </c>
      <c r="I273" s="312" t="s">
        <v>1959</v>
      </c>
      <c r="J273" s="379" t="s">
        <v>2359</v>
      </c>
      <c r="K273" s="313" t="s">
        <v>2472</v>
      </c>
      <c r="L273" s="313" t="s">
        <v>2476</v>
      </c>
      <c r="M273" s="292" t="s">
        <v>2480</v>
      </c>
      <c r="N273" s="256" t="s">
        <v>2348</v>
      </c>
      <c r="O273" s="10"/>
      <c r="P273" s="10"/>
    </row>
    <row r="274" spans="1:16" s="356" customFormat="1" ht="12.75" customHeight="1" x14ac:dyDescent="0.3">
      <c r="A274">
        <f t="shared" si="4"/>
        <v>273</v>
      </c>
      <c r="B274" t="s">
        <v>264</v>
      </c>
      <c r="C274">
        <v>3</v>
      </c>
      <c r="D274" s="3">
        <v>410</v>
      </c>
      <c r="E274" s="10" t="str">
        <f>VLOOKUP( T_Aop[[#This Row],[Id]], T_Aop[], ID_Jezik +10, 1)</f>
        <v>Promjena na 332 i 333</v>
      </c>
      <c r="F274" t="str">
        <f>REPT( "  ", T_Aop[[#This Row],[Aop nivo]]) &amp; VLOOKUP( T_Aop[[#This Row],[Id]], T_Aop[], ID_Jezik + 6, 1)</f>
        <v xml:space="preserve">      2.2  Povećanje/(smanjenje) fer vrijednosti vlasničkih instrumenata po fer vrijednosti kroz ostali ukupan rezultat</v>
      </c>
      <c r="G274" s="288" t="s">
        <v>1319</v>
      </c>
      <c r="H274" s="324" t="s">
        <v>859</v>
      </c>
      <c r="I274" s="312" t="s">
        <v>1960</v>
      </c>
      <c r="J274" s="379" t="s">
        <v>2360</v>
      </c>
      <c r="K274" s="313" t="s">
        <v>2469</v>
      </c>
      <c r="L274" s="313" t="s">
        <v>2473</v>
      </c>
      <c r="M274" s="292" t="s">
        <v>2481</v>
      </c>
      <c r="N274" s="256" t="s">
        <v>2349</v>
      </c>
      <c r="O274" s="10"/>
      <c r="P274" s="10"/>
    </row>
    <row r="275" spans="1:16" s="356" customFormat="1" ht="12.75" customHeight="1" x14ac:dyDescent="0.3">
      <c r="A275">
        <f t="shared" si="4"/>
        <v>274</v>
      </c>
      <c r="B275" t="s">
        <v>264</v>
      </c>
      <c r="C275">
        <v>3</v>
      </c>
      <c r="D275">
        <v>411</v>
      </c>
      <c r="E275" s="10" t="str">
        <f>VLOOKUP( T_Aop[[#This Row],[Id]], T_Aop[], ID_Jezik +10, 1)</f>
        <v>Promjena na 339, dio</v>
      </c>
      <c r="F275" t="str">
        <f>REPT( "  ", T_Aop[[#This Row],[Aop nivo]]) &amp; VLOOKUP( T_Aop[[#This Row],[Id]], T_Aop[], ID_Jezik + 6, 1)</f>
        <v xml:space="preserve">      2.3  Aktuarski dobici/(gubici) od planova definisanih primanja</v>
      </c>
      <c r="G275" s="288" t="s">
        <v>1498</v>
      </c>
      <c r="H275" s="324" t="s">
        <v>1484</v>
      </c>
      <c r="I275" s="312" t="s">
        <v>1961</v>
      </c>
      <c r="J275" s="379" t="s">
        <v>2361</v>
      </c>
      <c r="K275" s="313" t="s">
        <v>2471</v>
      </c>
      <c r="L275" s="313" t="s">
        <v>2475</v>
      </c>
      <c r="M275" s="292" t="s">
        <v>2479</v>
      </c>
      <c r="N275" s="256" t="s">
        <v>2347</v>
      </c>
      <c r="O275" s="10"/>
      <c r="P275" s="10"/>
    </row>
    <row r="276" spans="1:16" s="356" customFormat="1" ht="12.75" customHeight="1" x14ac:dyDescent="0.3">
      <c r="A276">
        <f t="shared" si="4"/>
        <v>275</v>
      </c>
      <c r="B276" t="s">
        <v>264</v>
      </c>
      <c r="C276">
        <v>3</v>
      </c>
      <c r="D276">
        <v>412</v>
      </c>
      <c r="E276" s="10">
        <f>VLOOKUP( T_Aop[[#This Row],[Id]], T_Aop[], ID_Jezik +10, 1)</f>
        <v>0</v>
      </c>
      <c r="F276" t="str">
        <f>REPT( "  ", T_Aop[[#This Row],[Aop nivo]]) &amp; VLOOKUP( T_Aop[[#This Row],[Id]], T_Aop[], ID_Jezik + 6, 1)</f>
        <v xml:space="preserve">      2.4 Udio u ostalom ukupnom rezultatu pridruženog društva i zajedničkog poduhvata primjenom metode udjela</v>
      </c>
      <c r="G276" s="288" t="s">
        <v>1499</v>
      </c>
      <c r="H276" s="324" t="s">
        <v>1485</v>
      </c>
      <c r="I276" s="328" t="s">
        <v>1962</v>
      </c>
      <c r="J276" s="379" t="s">
        <v>2362</v>
      </c>
      <c r="K276" s="313"/>
      <c r="L276" s="313"/>
      <c r="M276" s="292"/>
      <c r="N276" s="256"/>
      <c r="O276" s="10"/>
      <c r="P276" s="10"/>
    </row>
    <row r="277" spans="1:16" s="356" customFormat="1" ht="12.75" customHeight="1" x14ac:dyDescent="0.3">
      <c r="A277">
        <f t="shared" si="4"/>
        <v>276</v>
      </c>
      <c r="B277" t="s">
        <v>264</v>
      </c>
      <c r="C277">
        <v>3</v>
      </c>
      <c r="D277">
        <v>413</v>
      </c>
      <c r="E277" s="10" t="str">
        <f>VLOOKUP( T_Aop[[#This Row],[Id]], T_Aop[], ID_Jezik +10, 1)</f>
        <v>Promjena na 339, dio</v>
      </c>
      <c r="F277" t="str">
        <f>REPT( "  ", T_Aop[[#This Row],[Aop nivo]]) &amp; VLOOKUP( T_Aop[[#This Row],[Id]], T_Aop[], ID_Jezik + 6, 1)</f>
        <v xml:space="preserve">      2.5 Ostale stavke koje neće biti reklasifikovane u bilans uspjeha</v>
      </c>
      <c r="G277" s="288" t="s">
        <v>1320</v>
      </c>
      <c r="H277" s="329" t="s">
        <v>860</v>
      </c>
      <c r="I277" s="312" t="s">
        <v>1963</v>
      </c>
      <c r="J277" s="379" t="s">
        <v>2363</v>
      </c>
      <c r="K277" s="313" t="s">
        <v>2471</v>
      </c>
      <c r="L277" s="313" t="s">
        <v>2475</v>
      </c>
      <c r="M277" s="292" t="s">
        <v>2479</v>
      </c>
      <c r="N277" s="256" t="s">
        <v>2347</v>
      </c>
      <c r="O277" s="10"/>
      <c r="P277" s="10"/>
    </row>
    <row r="278" spans="1:16" s="356" customFormat="1" ht="12.75" customHeight="1" x14ac:dyDescent="0.3">
      <c r="A278">
        <f t="shared" si="4"/>
        <v>277</v>
      </c>
      <c r="B278" t="s">
        <v>264</v>
      </c>
      <c r="C278">
        <v>3</v>
      </c>
      <c r="D278">
        <v>414</v>
      </c>
      <c r="E278" s="10">
        <f>VLOOKUP( T_Aop[[#This Row],[Id]], T_Aop[], ID_Jezik +10, 1)</f>
        <v>0</v>
      </c>
      <c r="F278" t="str">
        <f>REPT( "  ", T_Aop[[#This Row],[Aop nivo]]) &amp; VLOOKUP( T_Aop[[#This Row],[Id]], T_Aop[], ID_Jezik + 6, 1)</f>
        <v xml:space="preserve">      2.6 Odloženi porez na dobit koji se odnosi na ove stavke</v>
      </c>
      <c r="G278" s="288" t="s">
        <v>1321</v>
      </c>
      <c r="H278" s="329" t="s">
        <v>861</v>
      </c>
      <c r="I278" s="312" t="s">
        <v>1964</v>
      </c>
      <c r="J278" s="379" t="s">
        <v>2364</v>
      </c>
      <c r="K278" s="313"/>
      <c r="L278" s="313"/>
      <c r="M278" s="292"/>
      <c r="N278" s="290"/>
      <c r="O278" s="10">
        <v>1</v>
      </c>
      <c r="P278" s="10"/>
    </row>
    <row r="279" spans="1:16" s="356" customFormat="1" ht="12.75" customHeight="1" x14ac:dyDescent="0.3">
      <c r="A279">
        <f t="shared" si="4"/>
        <v>278</v>
      </c>
      <c r="B279" t="s">
        <v>264</v>
      </c>
      <c r="C279">
        <v>1</v>
      </c>
      <c r="D279">
        <v>415</v>
      </c>
      <c r="E279" s="10">
        <f>VLOOKUP( T_Aop[[#This Row],[Id]], T_Aop[], ID_Jezik +10, 1)</f>
        <v>0</v>
      </c>
      <c r="F279" t="str">
        <f>REPT( "  ", T_Aop[[#This Row],[Aop nivo]]) &amp; VLOOKUP( T_Aop[[#This Row],[Id]], T_Aop[], ID_Jezik + 6, 1)</f>
        <v xml:space="preserve">  B. OSTALA DOBIT/GUBITAK U PERIODU (± 401 ± 408)</v>
      </c>
      <c r="G279" s="288" t="s">
        <v>1322</v>
      </c>
      <c r="H279" s="330" t="s">
        <v>862</v>
      </c>
      <c r="I279" s="321" t="s">
        <v>1965</v>
      </c>
      <c r="J279" s="379" t="s">
        <v>2365</v>
      </c>
      <c r="K279" s="313"/>
      <c r="L279" s="313"/>
      <c r="M279" s="292"/>
      <c r="N279" s="290"/>
      <c r="O279" s="10">
        <v>1</v>
      </c>
      <c r="P279" s="10"/>
    </row>
    <row r="280" spans="1:16" s="356" customFormat="1" ht="12.75" customHeight="1" x14ac:dyDescent="0.3">
      <c r="A280">
        <f t="shared" si="4"/>
        <v>279</v>
      </c>
      <c r="B280" t="s">
        <v>264</v>
      </c>
      <c r="C280"/>
      <c r="D280"/>
      <c r="E280" s="10">
        <f>VLOOKUP( T_Aop[[#This Row],[Id]], T_Aop[], ID_Jezik +10, 1)</f>
        <v>0</v>
      </c>
      <c r="F280" t="str">
        <f>REPT( "  ", T_Aop[[#This Row],[Aop nivo]]) &amp; VLOOKUP( T_Aop[[#This Row],[Id]], T_Aop[], ID_Jezik + 6, 1)</f>
        <v/>
      </c>
      <c r="G280" s="288"/>
      <c r="H280" s="311"/>
      <c r="I280" s="312"/>
      <c r="J280" s="379"/>
      <c r="K280" s="313"/>
      <c r="L280" s="313"/>
      <c r="M280" s="292"/>
      <c r="N280" s="290"/>
      <c r="O280" s="10"/>
      <c r="P280" s="10"/>
    </row>
    <row r="281" spans="1:16" s="356" customFormat="1" ht="12.75" customHeight="1" x14ac:dyDescent="0.3">
      <c r="A281" s="339">
        <f t="shared" si="4"/>
        <v>280</v>
      </c>
      <c r="B281" s="339" t="s">
        <v>264</v>
      </c>
      <c r="C281" s="339">
        <v>0</v>
      </c>
      <c r="D281" s="339">
        <v>416</v>
      </c>
      <c r="E281" s="344">
        <f>VLOOKUP( T_Aop[[#This Row],[Id]], T_Aop[], ID_Jezik +10, 1)</f>
        <v>0</v>
      </c>
      <c r="F281" s="339" t="str">
        <f>REPT( "  ", T_Aop[[#This Row],[Aop nivo]]) &amp; VLOOKUP( T_Aop[[#This Row],[Id]], T_Aop[], ID_Jezik + 6, 1)</f>
        <v xml:space="preserve"> V. UKUPNA DOBIT / (GUBITAK) (400± 415)</v>
      </c>
      <c r="G281" s="312" t="s">
        <v>1323</v>
      </c>
      <c r="H281" s="320" t="s">
        <v>863</v>
      </c>
      <c r="I281" s="321" t="s">
        <v>1966</v>
      </c>
      <c r="J281" s="379" t="s">
        <v>2366</v>
      </c>
      <c r="K281" s="313"/>
      <c r="L281" s="313"/>
      <c r="M281" s="313"/>
      <c r="N281" s="345"/>
      <c r="O281" s="344">
        <v>1</v>
      </c>
      <c r="P281" s="344"/>
    </row>
    <row r="282" spans="1:16" s="356" customFormat="1" ht="12.75" customHeight="1" x14ac:dyDescent="0.3">
      <c r="A282" s="339">
        <f t="shared" si="4"/>
        <v>281</v>
      </c>
      <c r="B282" s="339" t="s">
        <v>264</v>
      </c>
      <c r="C282" s="339">
        <v>0</v>
      </c>
      <c r="D282" s="339"/>
      <c r="E282" s="344">
        <f>VLOOKUP( T_Aop[[#This Row],[Id]], T_Aop[], ID_Jezik +10, 1)</f>
        <v>0</v>
      </c>
      <c r="F282" s="339" t="str">
        <f>REPT( "  ", T_Aop[[#This Row],[Aop nivo]]) &amp; VLOOKUP( T_Aop[[#This Row],[Id]], T_Aop[], ID_Jezik + 6, 1)</f>
        <v xml:space="preserve"> </v>
      </c>
      <c r="G282" s="312" t="s">
        <v>786</v>
      </c>
      <c r="H282" s="320" t="s">
        <v>786</v>
      </c>
      <c r="I282" s="312"/>
      <c r="J282" s="379"/>
      <c r="K282" s="313"/>
      <c r="L282" s="313"/>
      <c r="M282" s="313"/>
      <c r="N282" s="345"/>
      <c r="O282" s="344">
        <v>1</v>
      </c>
      <c r="P282" s="344"/>
    </row>
    <row r="283" spans="1:16" s="356" customFormat="1" ht="12.75" customHeight="1" x14ac:dyDescent="0.3">
      <c r="A283" s="339">
        <f t="shared" si="4"/>
        <v>282</v>
      </c>
      <c r="B283" s="339" t="s">
        <v>264</v>
      </c>
      <c r="C283" s="339">
        <v>0</v>
      </c>
      <c r="D283" s="339">
        <v>417</v>
      </c>
      <c r="E283" s="344">
        <f>VLOOKUP( T_Aop[[#This Row],[Id]], T_Aop[], ID_Jezik +10, 1)</f>
        <v>0</v>
      </c>
      <c r="F283" s="339" t="str">
        <f>REPT( "  ", T_Aop[[#This Row],[Aop nivo]]) &amp; VLOOKUP( T_Aop[[#This Row],[Id]], T_Aop[], ID_Jezik + 6, 1)</f>
        <v>Dio ukupne dobiti/gubitka koji pripada većinskim vlasnicima</v>
      </c>
      <c r="G283" s="312" t="s">
        <v>1324</v>
      </c>
      <c r="H283" s="320" t="s">
        <v>1316</v>
      </c>
      <c r="I283" s="346" t="s">
        <v>2707</v>
      </c>
      <c r="J283" s="379" t="s">
        <v>2367</v>
      </c>
      <c r="K283" s="313"/>
      <c r="L283" s="313"/>
      <c r="M283" s="313"/>
      <c r="N283" s="345"/>
      <c r="O283" s="344">
        <v>1</v>
      </c>
      <c r="P283" s="344"/>
    </row>
    <row r="284" spans="1:16" s="356" customFormat="1" ht="12.75" customHeight="1" x14ac:dyDescent="0.3">
      <c r="A284" s="339">
        <f t="shared" si="4"/>
        <v>283</v>
      </c>
      <c r="B284" s="339" t="s">
        <v>264</v>
      </c>
      <c r="C284" s="339">
        <v>0</v>
      </c>
      <c r="D284" s="339">
        <v>418</v>
      </c>
      <c r="E284" s="344">
        <f>VLOOKUP( T_Aop[[#This Row],[Id]], T_Aop[], ID_Jezik +10, 1)</f>
        <v>0</v>
      </c>
      <c r="F284" s="339" t="str">
        <f>REPT( "  ", T_Aop[[#This Row],[Aop nivo]]) &amp; VLOOKUP( T_Aop[[#This Row],[Id]], T_Aop[], ID_Jezik + 6, 1)</f>
        <v>Dio ukupne dobiti/gubitka koji pripada manjinskim vlasnicima</v>
      </c>
      <c r="G284" s="312" t="s">
        <v>1325</v>
      </c>
      <c r="H284" s="320" t="s">
        <v>864</v>
      </c>
      <c r="I284" s="346" t="s">
        <v>2708</v>
      </c>
      <c r="J284" s="379" t="s">
        <v>2368</v>
      </c>
      <c r="K284" s="313"/>
      <c r="L284" s="313"/>
      <c r="M284" s="313"/>
      <c r="N284" s="345"/>
      <c r="O284" s="344">
        <v>1</v>
      </c>
      <c r="P284" s="344"/>
    </row>
    <row r="285" spans="1:16" s="356" customFormat="1" ht="32.65" customHeight="1" x14ac:dyDescent="0.3">
      <c r="A285" s="339">
        <f t="shared" si="4"/>
        <v>284</v>
      </c>
      <c r="B285" s="339" t="s">
        <v>133</v>
      </c>
      <c r="C285" s="339">
        <v>0</v>
      </c>
      <c r="D285" s="339">
        <v>501</v>
      </c>
      <c r="E285" s="344" t="str">
        <f>VLOOKUP( T_Aop[[#This Row],[Id]], T_Aop[], ID_Jezik +10, 1)</f>
        <v>A_x000D_
I</v>
      </c>
      <c r="F285" s="365" t="str">
        <f>REPT( "  ", T_Aop[[#This Row],[Aop nivo]]) &amp; VLOOKUP( T_Aop[[#This Row],[Id]], T_Aop[], ID_Jezik + 6, 1)</f>
        <v>TOKOVI GOTOVINE IZ POSLOVNIH AKTIVNOSTI 
Prilivi gotovine iz poslovne aktivnosti (502 do 505)</v>
      </c>
      <c r="G285" s="476" t="s">
        <v>2709</v>
      </c>
      <c r="H285" s="315" t="s">
        <v>2664</v>
      </c>
      <c r="I285" s="342" t="s">
        <v>2249</v>
      </c>
      <c r="J285" s="379" t="s">
        <v>2483</v>
      </c>
      <c r="K285" s="313" t="s">
        <v>1417</v>
      </c>
      <c r="L285" s="313" t="s">
        <v>1403</v>
      </c>
      <c r="M285" s="313" t="s">
        <v>1417</v>
      </c>
      <c r="N285" s="343" t="s">
        <v>2434</v>
      </c>
      <c r="O285" s="344">
        <v>1</v>
      </c>
      <c r="P285" s="344"/>
    </row>
    <row r="286" spans="1:16" s="356" customFormat="1" ht="12.75" customHeight="1" x14ac:dyDescent="0.3">
      <c r="A286" s="339">
        <f t="shared" si="4"/>
        <v>285</v>
      </c>
      <c r="B286" s="339" t="s">
        <v>133</v>
      </c>
      <c r="C286" s="339">
        <v>2</v>
      </c>
      <c r="D286" s="339">
        <v>502</v>
      </c>
      <c r="E286" s="344" t="str">
        <f>VLOOKUP( T_Aop[[#This Row],[Id]], T_Aop[], ID_Jezik +10, 1)</f>
        <v>1</v>
      </c>
      <c r="F286" s="339" t="str">
        <f>REPT( "  ", T_Aop[[#This Row],[Aop nivo]]) &amp; VLOOKUP( T_Aop[[#This Row],[Id]], T_Aop[], ID_Jezik + 6, 1)</f>
        <v xml:space="preserve">    Prilivi od kupaca i primljeni avansi u zemlji</v>
      </c>
      <c r="G286" s="312" t="s">
        <v>1458</v>
      </c>
      <c r="H286" s="311" t="s">
        <v>1431</v>
      </c>
      <c r="I286" s="312" t="s">
        <v>1650</v>
      </c>
      <c r="J286" s="379" t="s">
        <v>2369</v>
      </c>
      <c r="K286" s="313" t="s">
        <v>741</v>
      </c>
      <c r="L286" s="313">
        <v>1</v>
      </c>
      <c r="M286" s="313" t="s">
        <v>741</v>
      </c>
      <c r="N286" s="343" t="s">
        <v>702</v>
      </c>
      <c r="O286" s="344"/>
      <c r="P286" s="344"/>
    </row>
    <row r="287" spans="1:16" s="356" customFormat="1" ht="12.75" customHeight="1" x14ac:dyDescent="0.3">
      <c r="A287" s="339">
        <f t="shared" si="4"/>
        <v>286</v>
      </c>
      <c r="B287" s="339" t="s">
        <v>133</v>
      </c>
      <c r="C287" s="339">
        <v>2</v>
      </c>
      <c r="D287" s="339">
        <v>503</v>
      </c>
      <c r="E287" s="344" t="str">
        <f>VLOOKUP( T_Aop[[#This Row],[Id]], T_Aop[], ID_Jezik +10, 1)</f>
        <v>2</v>
      </c>
      <c r="F287" s="339" t="str">
        <f>REPT( "  ", T_Aop[[#This Row],[Aop nivo]]) &amp; VLOOKUP( T_Aop[[#This Row],[Id]], T_Aop[], ID_Jezik + 6, 1)</f>
        <v xml:space="preserve">    Prilivi od kupaca i primljeni avansi u inostranstvu</v>
      </c>
      <c r="G287" s="312" t="s">
        <v>1459</v>
      </c>
      <c r="H287" s="311" t="s">
        <v>1432</v>
      </c>
      <c r="I287" s="312" t="s">
        <v>1651</v>
      </c>
      <c r="J287" s="379" t="s">
        <v>2370</v>
      </c>
      <c r="K287" s="313" t="s">
        <v>1418</v>
      </c>
      <c r="L287" s="313">
        <v>2</v>
      </c>
      <c r="M287" s="313" t="s">
        <v>1418</v>
      </c>
      <c r="N287" s="343" t="s">
        <v>703</v>
      </c>
      <c r="O287" s="344"/>
      <c r="P287" s="344"/>
    </row>
    <row r="288" spans="1:16" s="356" customFormat="1" ht="12.75" customHeight="1" x14ac:dyDescent="0.3">
      <c r="A288" s="339">
        <f t="shared" si="4"/>
        <v>287</v>
      </c>
      <c r="B288" s="339" t="s">
        <v>133</v>
      </c>
      <c r="C288" s="339">
        <v>2</v>
      </c>
      <c r="D288" s="339">
        <v>504</v>
      </c>
      <c r="E288" s="344" t="str">
        <f>VLOOKUP( T_Aop[[#This Row],[Id]], T_Aop[], ID_Jezik +10, 1)</f>
        <v>3</v>
      </c>
      <c r="F288" s="339" t="str">
        <f>REPT( "  ", T_Aop[[#This Row],[Aop nivo]]) &amp; VLOOKUP( T_Aop[[#This Row],[Id]], T_Aop[], ID_Jezik + 6, 1)</f>
        <v xml:space="preserve">    Prilivi od premija, subvencija, dotacija i sl.</v>
      </c>
      <c r="G288" s="312" t="s">
        <v>1460</v>
      </c>
      <c r="H288" s="311" t="s">
        <v>1433</v>
      </c>
      <c r="I288" s="312" t="s">
        <v>1652</v>
      </c>
      <c r="J288" s="379" t="s">
        <v>2371</v>
      </c>
      <c r="K288" s="313" t="s">
        <v>304</v>
      </c>
      <c r="L288" s="313">
        <v>3</v>
      </c>
      <c r="M288" s="313" t="s">
        <v>304</v>
      </c>
      <c r="N288" s="343" t="s">
        <v>704</v>
      </c>
      <c r="O288" s="344"/>
      <c r="P288" s="344"/>
    </row>
    <row r="289" spans="1:16" s="356" customFormat="1" ht="12.75" customHeight="1" x14ac:dyDescent="0.3">
      <c r="A289" s="339">
        <f t="shared" si="4"/>
        <v>288</v>
      </c>
      <c r="B289" s="339" t="s">
        <v>133</v>
      </c>
      <c r="C289" s="339">
        <v>2</v>
      </c>
      <c r="D289" s="339">
        <v>505</v>
      </c>
      <c r="E289" s="344" t="str">
        <f>VLOOKUP( T_Aop[[#This Row],[Id]], T_Aop[], ID_Jezik +10, 1)</f>
        <v>4</v>
      </c>
      <c r="F289" s="339" t="str">
        <f>REPT( "  ", T_Aop[[#This Row],[Aop nivo]]) &amp; VLOOKUP( T_Aop[[#This Row],[Id]], T_Aop[], ID_Jezik + 6, 1)</f>
        <v xml:space="preserve">    Ostali prilivi iz poslovnih aktivnosti</v>
      </c>
      <c r="G289" s="312" t="s">
        <v>1461</v>
      </c>
      <c r="H289" s="311" t="s">
        <v>1434</v>
      </c>
      <c r="I289" s="312" t="s">
        <v>1653</v>
      </c>
      <c r="J289" s="379" t="s">
        <v>2372</v>
      </c>
      <c r="K289" s="313" t="s">
        <v>333</v>
      </c>
      <c r="L289" s="313">
        <v>4</v>
      </c>
      <c r="M289" s="313" t="s">
        <v>333</v>
      </c>
      <c r="N289" s="343" t="s">
        <v>705</v>
      </c>
      <c r="O289" s="344"/>
      <c r="P289" s="344"/>
    </row>
    <row r="290" spans="1:16" s="356" customFormat="1" ht="12.75" customHeight="1" x14ac:dyDescent="0.3">
      <c r="A290" s="339">
        <f t="shared" si="4"/>
        <v>289</v>
      </c>
      <c r="B290" s="339" t="s">
        <v>133</v>
      </c>
      <c r="C290" s="339">
        <v>2</v>
      </c>
      <c r="D290" s="339">
        <v>506</v>
      </c>
      <c r="E290" s="344" t="str">
        <f>VLOOKUP( T_Aop[[#This Row],[Id]], T_Aop[], ID_Jezik +10, 1)</f>
        <v>II</v>
      </c>
      <c r="F290" s="339" t="str">
        <f>REPT( "  ", T_Aop[[#This Row],[Aop nivo]]) &amp; VLOOKUP( T_Aop[[#This Row],[Id]], T_Aop[], ID_Jezik + 6, 1)</f>
        <v xml:space="preserve">    Odlivi gotovine iz poslovnih aktivnosti (507 do 512)</v>
      </c>
      <c r="G290" s="312" t="s">
        <v>1462</v>
      </c>
      <c r="H290" s="311" t="s">
        <v>1435</v>
      </c>
      <c r="I290" s="312" t="s">
        <v>1654</v>
      </c>
      <c r="J290" s="379" t="s">
        <v>2373</v>
      </c>
      <c r="K290" s="313" t="s">
        <v>1404</v>
      </c>
      <c r="L290" s="313" t="s">
        <v>1404</v>
      </c>
      <c r="M290" s="313" t="s">
        <v>1404</v>
      </c>
      <c r="N290" s="343" t="s">
        <v>1404</v>
      </c>
      <c r="O290" s="344"/>
      <c r="P290" s="344"/>
    </row>
    <row r="291" spans="1:16" s="356" customFormat="1" ht="12.75" customHeight="1" x14ac:dyDescent="0.3">
      <c r="A291" s="339">
        <f t="shared" si="4"/>
        <v>290</v>
      </c>
      <c r="B291" s="339" t="s">
        <v>133</v>
      </c>
      <c r="C291" s="339">
        <v>2</v>
      </c>
      <c r="D291" s="339">
        <v>507</v>
      </c>
      <c r="E291" s="344" t="str">
        <f>VLOOKUP( T_Aop[[#This Row],[Id]], T_Aop[], ID_Jezik +10, 1)</f>
        <v>1</v>
      </c>
      <c r="F291" s="339" t="str">
        <f>REPT( "  ", T_Aop[[#This Row],[Aop nivo]]) &amp; VLOOKUP( T_Aop[[#This Row],[Id]], T_Aop[], ID_Jezik + 6, 1)</f>
        <v xml:space="preserve">    Odlivi po osnovu isplata dobavljačima i dati avansi u zemlji</v>
      </c>
      <c r="G291" s="312" t="s">
        <v>1463</v>
      </c>
      <c r="H291" s="311" t="s">
        <v>1436</v>
      </c>
      <c r="I291" s="312" t="s">
        <v>1655</v>
      </c>
      <c r="J291" s="379" t="s">
        <v>2374</v>
      </c>
      <c r="K291" s="313" t="s">
        <v>741</v>
      </c>
      <c r="L291" s="313">
        <v>1</v>
      </c>
      <c r="M291" s="313" t="s">
        <v>741</v>
      </c>
      <c r="N291" s="343" t="s">
        <v>702</v>
      </c>
      <c r="O291" s="344"/>
      <c r="P291" s="344"/>
    </row>
    <row r="292" spans="1:16" s="356" customFormat="1" ht="12.75" customHeight="1" x14ac:dyDescent="0.3">
      <c r="A292" s="339">
        <f t="shared" si="4"/>
        <v>291</v>
      </c>
      <c r="B292" s="339" t="s">
        <v>133</v>
      </c>
      <c r="C292" s="339">
        <v>2</v>
      </c>
      <c r="D292" s="339">
        <v>508</v>
      </c>
      <c r="E292" s="344" t="str">
        <f>VLOOKUP( T_Aop[[#This Row],[Id]], T_Aop[], ID_Jezik +10, 1)</f>
        <v>2</v>
      </c>
      <c r="F292" s="339" t="str">
        <f>REPT( "  ", T_Aop[[#This Row],[Aop nivo]]) &amp; VLOOKUP( T_Aop[[#This Row],[Id]], T_Aop[], ID_Jezik + 6, 1)</f>
        <v xml:space="preserve">    Odlivi po osnovu isplata dobavljačima i dati avansi u inostranstvu</v>
      </c>
      <c r="G292" s="312" t="s">
        <v>1464</v>
      </c>
      <c r="H292" s="311" t="s">
        <v>1437</v>
      </c>
      <c r="I292" s="312" t="s">
        <v>1656</v>
      </c>
      <c r="J292" s="379" t="s">
        <v>2375</v>
      </c>
      <c r="K292" s="313" t="s">
        <v>1418</v>
      </c>
      <c r="L292" s="313">
        <v>2</v>
      </c>
      <c r="M292" s="313" t="s">
        <v>1418</v>
      </c>
      <c r="N292" s="343" t="s">
        <v>703</v>
      </c>
      <c r="O292" s="344"/>
      <c r="P292" s="344"/>
    </row>
    <row r="293" spans="1:16" s="356" customFormat="1" ht="12.75" customHeight="1" x14ac:dyDescent="0.3">
      <c r="A293" s="339">
        <f t="shared" si="4"/>
        <v>292</v>
      </c>
      <c r="B293" s="339" t="s">
        <v>133</v>
      </c>
      <c r="C293" s="339">
        <v>2</v>
      </c>
      <c r="D293" s="339">
        <v>509</v>
      </c>
      <c r="E293" s="344" t="str">
        <f>VLOOKUP( T_Aop[[#This Row],[Id]], T_Aop[], ID_Jezik +10, 1)</f>
        <v>3</v>
      </c>
      <c r="F293" s="339" t="str">
        <f>REPT( "  ", T_Aop[[#This Row],[Aop nivo]]) &amp; VLOOKUP( T_Aop[[#This Row],[Id]], T_Aop[], ID_Jezik + 6, 1)</f>
        <v xml:space="preserve">    Odlivi po osnovu plaćenih kamata</v>
      </c>
      <c r="G293" s="312" t="s">
        <v>1465</v>
      </c>
      <c r="H293" s="311" t="s">
        <v>1438</v>
      </c>
      <c r="I293" s="312" t="s">
        <v>1657</v>
      </c>
      <c r="J293" s="379" t="s">
        <v>2376</v>
      </c>
      <c r="K293" s="313" t="s">
        <v>304</v>
      </c>
      <c r="L293" s="313">
        <v>3</v>
      </c>
      <c r="M293" s="313" t="s">
        <v>304</v>
      </c>
      <c r="N293" s="343" t="s">
        <v>704</v>
      </c>
      <c r="O293" s="344"/>
      <c r="P293" s="344"/>
    </row>
    <row r="294" spans="1:16" s="356" customFormat="1" ht="12.75" customHeight="1" x14ac:dyDescent="0.3">
      <c r="A294" s="339">
        <f t="shared" si="4"/>
        <v>293</v>
      </c>
      <c r="B294" s="339" t="s">
        <v>133</v>
      </c>
      <c r="C294" s="339">
        <v>2</v>
      </c>
      <c r="D294" s="339">
        <v>510</v>
      </c>
      <c r="E294" s="344" t="str">
        <f>VLOOKUP( T_Aop[[#This Row],[Id]], T_Aop[], ID_Jezik +10, 1)</f>
        <v>4</v>
      </c>
      <c r="F294" s="339" t="str">
        <f>REPT( "  ", T_Aop[[#This Row],[Aop nivo]]) &amp; VLOOKUP( T_Aop[[#This Row],[Id]], T_Aop[], ID_Jezik + 6, 1)</f>
        <v xml:space="preserve">    Odlivi po osnovu isplata plata, naknada plata i ostalih ličnih rashoda</v>
      </c>
      <c r="G294" s="312" t="s">
        <v>2922</v>
      </c>
      <c r="H294" s="311" t="s">
        <v>2923</v>
      </c>
      <c r="I294" s="312" t="s">
        <v>1658</v>
      </c>
      <c r="J294" s="379" t="s">
        <v>2377</v>
      </c>
      <c r="K294" s="313" t="s">
        <v>333</v>
      </c>
      <c r="L294" s="313">
        <v>4</v>
      </c>
      <c r="M294" s="313" t="s">
        <v>333</v>
      </c>
      <c r="N294" s="343" t="s">
        <v>705</v>
      </c>
      <c r="O294" s="344"/>
      <c r="P294" s="344"/>
    </row>
    <row r="295" spans="1:16" s="356" customFormat="1" ht="12.75" customHeight="1" x14ac:dyDescent="0.3">
      <c r="A295" s="339">
        <f t="shared" si="4"/>
        <v>294</v>
      </c>
      <c r="B295" s="339" t="s">
        <v>133</v>
      </c>
      <c r="C295" s="339">
        <v>2</v>
      </c>
      <c r="D295" s="339">
        <v>511</v>
      </c>
      <c r="E295" s="344" t="str">
        <f>VLOOKUP( T_Aop[[#This Row],[Id]], T_Aop[], ID_Jezik +10, 1)</f>
        <v>5</v>
      </c>
      <c r="F295" s="339" t="str">
        <f>REPT( "  ", T_Aop[[#This Row],[Aop nivo]]) &amp; VLOOKUP( T_Aop[[#This Row],[Id]], T_Aop[], ID_Jezik + 6, 1)</f>
        <v xml:space="preserve">    Odlivi po osnovu poreza na dobit</v>
      </c>
      <c r="G295" s="312" t="s">
        <v>1466</v>
      </c>
      <c r="H295" s="311" t="s">
        <v>1439</v>
      </c>
      <c r="I295" s="312" t="s">
        <v>1659</v>
      </c>
      <c r="J295" s="379" t="s">
        <v>2378</v>
      </c>
      <c r="K295" s="313" t="s">
        <v>334</v>
      </c>
      <c r="L295" s="313">
        <v>5</v>
      </c>
      <c r="M295" s="313" t="s">
        <v>334</v>
      </c>
      <c r="N295" s="343" t="s">
        <v>706</v>
      </c>
      <c r="O295" s="344"/>
      <c r="P295" s="344"/>
    </row>
    <row r="296" spans="1:16" s="356" customFormat="1" ht="12.75" customHeight="1" x14ac:dyDescent="0.3">
      <c r="A296" s="339">
        <f t="shared" si="4"/>
        <v>295</v>
      </c>
      <c r="B296" s="339" t="s">
        <v>133</v>
      </c>
      <c r="C296" s="339">
        <v>2</v>
      </c>
      <c r="D296" s="339">
        <v>512</v>
      </c>
      <c r="E296" s="344" t="str">
        <f>VLOOKUP( T_Aop[[#This Row],[Id]], T_Aop[], ID_Jezik +10, 1)</f>
        <v>6</v>
      </c>
      <c r="F296" s="339" t="str">
        <f>REPT( "  ", T_Aop[[#This Row],[Aop nivo]]) &amp; VLOOKUP( T_Aop[[#This Row],[Id]], T_Aop[], ID_Jezik + 6, 1)</f>
        <v xml:space="preserve">    Ostali odlivi iz poslovnih aktivnosti</v>
      </c>
      <c r="G296" s="312" t="s">
        <v>1467</v>
      </c>
      <c r="H296" s="311" t="s">
        <v>1440</v>
      </c>
      <c r="I296" s="312" t="s">
        <v>1660</v>
      </c>
      <c r="J296" s="379" t="s">
        <v>2379</v>
      </c>
      <c r="K296" s="313" t="s">
        <v>335</v>
      </c>
      <c r="L296" s="313">
        <v>6</v>
      </c>
      <c r="M296" s="313" t="s">
        <v>335</v>
      </c>
      <c r="N296" s="343" t="s">
        <v>707</v>
      </c>
      <c r="O296" s="344"/>
      <c r="P296" s="344"/>
    </row>
    <row r="297" spans="1:16" s="356" customFormat="1" ht="12.75" customHeight="1" x14ac:dyDescent="0.3">
      <c r="A297" s="339">
        <f t="shared" si="4"/>
        <v>296</v>
      </c>
      <c r="B297" s="339" t="s">
        <v>133</v>
      </c>
      <c r="C297" s="339">
        <v>1</v>
      </c>
      <c r="D297" s="339">
        <v>513</v>
      </c>
      <c r="E297" s="344" t="str">
        <f>VLOOKUP( T_Aop[[#This Row],[Id]], T_Aop[], ID_Jezik +10, 1)</f>
        <v>III</v>
      </c>
      <c r="F297" s="339" t="str">
        <f>REPT( "  ", T_Aop[[#This Row],[Aop nivo]]) &amp; VLOOKUP( T_Aop[[#This Row],[Id]], T_Aop[], ID_Jezik + 6, 1)</f>
        <v xml:space="preserve">  Neto priliv gotovine iz poslovnih aktivnosti (501 – 506)</v>
      </c>
      <c r="G297" s="312" t="s">
        <v>1468</v>
      </c>
      <c r="H297" s="311" t="s">
        <v>1441</v>
      </c>
      <c r="I297" s="312" t="s">
        <v>1661</v>
      </c>
      <c r="J297" s="379" t="s">
        <v>2380</v>
      </c>
      <c r="K297" s="313" t="s">
        <v>1405</v>
      </c>
      <c r="L297" s="313" t="s">
        <v>1405</v>
      </c>
      <c r="M297" s="313" t="s">
        <v>1405</v>
      </c>
      <c r="N297" s="343" t="s">
        <v>1405</v>
      </c>
      <c r="O297" s="344">
        <v>1</v>
      </c>
      <c r="P297" s="344"/>
    </row>
    <row r="298" spans="1:16" s="356" customFormat="1" ht="12.75" customHeight="1" x14ac:dyDescent="0.3">
      <c r="A298" s="339">
        <f t="shared" si="4"/>
        <v>297</v>
      </c>
      <c r="B298" s="339" t="s">
        <v>133</v>
      </c>
      <c r="C298" s="339">
        <v>1</v>
      </c>
      <c r="D298" s="339">
        <v>514</v>
      </c>
      <c r="E298" s="344" t="str">
        <f>VLOOKUP( T_Aop[[#This Row],[Id]], T_Aop[], ID_Jezik +10, 1)</f>
        <v>IV</v>
      </c>
      <c r="F298" s="339" t="str">
        <f>REPT( "  ", T_Aop[[#This Row],[Aop nivo]]) &amp; VLOOKUP( T_Aop[[#This Row],[Id]], T_Aop[], ID_Jezik + 6, 1)</f>
        <v xml:space="preserve">  Neto odliv gotovine iz poslovnih aktivnosti (506 – 501)</v>
      </c>
      <c r="G298" s="312" t="s">
        <v>1469</v>
      </c>
      <c r="H298" s="311" t="s">
        <v>1442</v>
      </c>
      <c r="I298" s="312" t="s">
        <v>1662</v>
      </c>
      <c r="J298" s="379" t="s">
        <v>2381</v>
      </c>
      <c r="K298" s="313" t="s">
        <v>1406</v>
      </c>
      <c r="L298" s="313" t="s">
        <v>1406</v>
      </c>
      <c r="M298" s="313" t="s">
        <v>1406</v>
      </c>
      <c r="N298" s="343" t="s">
        <v>1406</v>
      </c>
      <c r="O298" s="344">
        <v>1</v>
      </c>
      <c r="P298" s="344"/>
    </row>
    <row r="299" spans="1:16" s="356" customFormat="1" ht="12.75" customHeight="1" x14ac:dyDescent="0.3">
      <c r="A299" s="339">
        <f t="shared" si="4"/>
        <v>298</v>
      </c>
      <c r="B299" s="339" t="s">
        <v>133</v>
      </c>
      <c r="C299" s="339">
        <v>0</v>
      </c>
      <c r="D299" s="339">
        <v>515</v>
      </c>
      <c r="E299" s="344" t="str">
        <f>VLOOKUP( T_Aop[[#This Row],[Id]], T_Aop[], ID_Jezik +10, 1)</f>
        <v>B_x000D_
I</v>
      </c>
      <c r="F299" s="365" t="str">
        <f>REPT( "  ", T_Aop[[#This Row],[Aop nivo]]) &amp; VLOOKUP( T_Aop[[#This Row],[Id]], T_Aop[], ID_Jezik + 6, 1)</f>
        <v>TOKOVI GOTOVINE IZ AKTIVNOSTI INVESTIRANJA
Prilivi gotovine iz aktivnosti investiranja (516 do 530)</v>
      </c>
      <c r="G299" s="476" t="s">
        <v>2872</v>
      </c>
      <c r="H299" s="311" t="s">
        <v>1443</v>
      </c>
      <c r="I299" s="342" t="s">
        <v>2864</v>
      </c>
      <c r="J299" s="379" t="s">
        <v>2482</v>
      </c>
      <c r="K299" s="313" t="s">
        <v>1419</v>
      </c>
      <c r="L299" s="313" t="s">
        <v>1407</v>
      </c>
      <c r="M299" s="313" t="s">
        <v>1419</v>
      </c>
      <c r="N299" s="343" t="s">
        <v>2435</v>
      </c>
      <c r="O299" s="344">
        <v>1</v>
      </c>
      <c r="P299" s="344"/>
    </row>
    <row r="300" spans="1:16" s="356" customFormat="1" ht="12.75" customHeight="1" x14ac:dyDescent="0.3">
      <c r="A300" s="339">
        <f t="shared" si="4"/>
        <v>299</v>
      </c>
      <c r="B300" s="339" t="s">
        <v>133</v>
      </c>
      <c r="C300" s="339">
        <v>2</v>
      </c>
      <c r="D300" s="339">
        <v>516</v>
      </c>
      <c r="E300" s="344" t="str">
        <f>VLOOKUP( T_Aop[[#This Row],[Id]], T_Aop[], ID_Jezik +10, 1)</f>
        <v>1</v>
      </c>
      <c r="F300" s="339" t="str">
        <f>REPT( "  ", T_Aop[[#This Row],[Aop nivo]]) &amp; VLOOKUP( T_Aop[[#This Row],[Id]], T_Aop[], ID_Jezik + 6, 1)</f>
        <v xml:space="preserve">    Prilivi gotovine po osnovu prodaje akcija i udjela zavisnih i pridruženih društava i zajedničkih poduhvata</v>
      </c>
      <c r="G300" s="312" t="s">
        <v>1470</v>
      </c>
      <c r="H300" s="311" t="s">
        <v>1444</v>
      </c>
      <c r="I300" s="312" t="s">
        <v>1663</v>
      </c>
      <c r="J300" s="379" t="s">
        <v>2382</v>
      </c>
      <c r="K300" s="313" t="s">
        <v>741</v>
      </c>
      <c r="L300" s="313">
        <v>1</v>
      </c>
      <c r="M300" s="313" t="s">
        <v>741</v>
      </c>
      <c r="N300" s="343" t="s">
        <v>702</v>
      </c>
      <c r="O300" s="344"/>
      <c r="P300" s="344"/>
    </row>
    <row r="301" spans="1:16" s="356" customFormat="1" ht="12.75" customHeight="1" x14ac:dyDescent="0.3">
      <c r="A301" s="339">
        <f t="shared" si="4"/>
        <v>300</v>
      </c>
      <c r="B301" s="339" t="s">
        <v>133</v>
      </c>
      <c r="C301" s="339">
        <v>2</v>
      </c>
      <c r="D301" s="339">
        <v>517</v>
      </c>
      <c r="E301" s="344" t="str">
        <f>VLOOKUP( T_Aop[[#This Row],[Id]], T_Aop[], ID_Jezik +10, 1)</f>
        <v>2</v>
      </c>
      <c r="F301" s="339" t="str">
        <f>REPT( "  ", T_Aop[[#This Row],[Aop nivo]]) &amp; VLOOKUP( T_Aop[[#This Row],[Id]], T_Aop[], ID_Jezik + 6, 1)</f>
        <v xml:space="preserve">    Prilivi po osnovu prodaje nekretnina, postrojenja i opreme</v>
      </c>
      <c r="G301" s="312" t="s">
        <v>1471</v>
      </c>
      <c r="H301" s="311" t="s">
        <v>1445</v>
      </c>
      <c r="I301" s="312" t="s">
        <v>1664</v>
      </c>
      <c r="J301" s="379" t="s">
        <v>2383</v>
      </c>
      <c r="K301" s="313" t="s">
        <v>1418</v>
      </c>
      <c r="L301" s="313">
        <v>2</v>
      </c>
      <c r="M301" s="313" t="s">
        <v>1418</v>
      </c>
      <c r="N301" s="343" t="s">
        <v>703</v>
      </c>
      <c r="O301" s="344"/>
      <c r="P301" s="344"/>
    </row>
    <row r="302" spans="1:16" s="356" customFormat="1" ht="12.75" customHeight="1" x14ac:dyDescent="0.3">
      <c r="A302" s="339">
        <f t="shared" si="4"/>
        <v>301</v>
      </c>
      <c r="B302" s="339" t="s">
        <v>133</v>
      </c>
      <c r="C302" s="339">
        <v>2</v>
      </c>
      <c r="D302" s="339">
        <v>518</v>
      </c>
      <c r="E302" s="344" t="str">
        <f>VLOOKUP( T_Aop[[#This Row],[Id]], T_Aop[], ID_Jezik +10, 1)</f>
        <v>3</v>
      </c>
      <c r="F302" s="339" t="str">
        <f>REPT( "  ", T_Aop[[#This Row],[Aop nivo]]) &amp; VLOOKUP( T_Aop[[#This Row],[Id]], T_Aop[], ID_Jezik + 6, 1)</f>
        <v xml:space="preserve">    Prilivi po osnovu prodaje investicionih nekretnina</v>
      </c>
      <c r="G302" s="312" t="s">
        <v>1472</v>
      </c>
      <c r="H302" s="311" t="s">
        <v>1446</v>
      </c>
      <c r="I302" s="312" t="s">
        <v>1665</v>
      </c>
      <c r="J302" s="379" t="s">
        <v>2384</v>
      </c>
      <c r="K302" s="313" t="s">
        <v>304</v>
      </c>
      <c r="L302" s="313">
        <v>3</v>
      </c>
      <c r="M302" s="313" t="s">
        <v>304</v>
      </c>
      <c r="N302" s="343" t="s">
        <v>704</v>
      </c>
      <c r="O302" s="344"/>
      <c r="P302" s="344">
        <v>1</v>
      </c>
    </row>
    <row r="303" spans="1:16" s="356" customFormat="1" ht="12.75" customHeight="1" x14ac:dyDescent="0.3">
      <c r="A303" s="339">
        <f t="shared" si="4"/>
        <v>302</v>
      </c>
      <c r="B303" s="339" t="s">
        <v>133</v>
      </c>
      <c r="C303" s="339">
        <v>2</v>
      </c>
      <c r="D303" s="339">
        <v>519</v>
      </c>
      <c r="E303" s="344" t="str">
        <f>VLOOKUP( T_Aop[[#This Row],[Id]], T_Aop[], ID_Jezik +10, 1)</f>
        <v>4</v>
      </c>
      <c r="F303" s="339" t="str">
        <f>REPT( "  ", T_Aop[[#This Row],[Aop nivo]]) &amp; VLOOKUP( T_Aop[[#This Row],[Id]], T_Aop[], ID_Jezik + 6, 1)</f>
        <v xml:space="preserve">    Prilivi po osnovu prodaje bioloških sredstava</v>
      </c>
      <c r="G303" s="312" t="s">
        <v>1473</v>
      </c>
      <c r="H303" s="311" t="s">
        <v>1447</v>
      </c>
      <c r="I303" s="312" t="s">
        <v>1666</v>
      </c>
      <c r="J303" s="379" t="s">
        <v>2557</v>
      </c>
      <c r="K303" s="313" t="s">
        <v>333</v>
      </c>
      <c r="L303" s="313">
        <v>4</v>
      </c>
      <c r="M303" s="313" t="s">
        <v>333</v>
      </c>
      <c r="N303" s="343" t="s">
        <v>705</v>
      </c>
      <c r="O303" s="344"/>
      <c r="P303" s="344"/>
    </row>
    <row r="304" spans="1:16" s="356" customFormat="1" ht="12.75" customHeight="1" x14ac:dyDescent="0.3">
      <c r="A304" s="339">
        <f t="shared" si="4"/>
        <v>303</v>
      </c>
      <c r="B304" s="339" t="s">
        <v>133</v>
      </c>
      <c r="C304" s="339">
        <v>2</v>
      </c>
      <c r="D304" s="339">
        <v>520</v>
      </c>
      <c r="E304" s="344" t="str">
        <f>VLOOKUP( T_Aop[[#This Row],[Id]], T_Aop[], ID_Jezik +10, 1)</f>
        <v>5</v>
      </c>
      <c r="F304" s="339" t="str">
        <f>REPT( "  ", T_Aop[[#This Row],[Aop nivo]]) &amp; VLOOKUP( T_Aop[[#This Row],[Id]], T_Aop[], ID_Jezik + 6, 1)</f>
        <v xml:space="preserve">    Prilivi po osnovu prodaje nematerijalnih sredstava</v>
      </c>
      <c r="G304" s="312" t="s">
        <v>1474</v>
      </c>
      <c r="H304" s="311" t="s">
        <v>1448</v>
      </c>
      <c r="I304" s="312" t="s">
        <v>1667</v>
      </c>
      <c r="J304" s="379" t="s">
        <v>2385</v>
      </c>
      <c r="K304" s="313" t="s">
        <v>334</v>
      </c>
      <c r="L304" s="313">
        <v>5</v>
      </c>
      <c r="M304" s="313" t="s">
        <v>334</v>
      </c>
      <c r="N304" s="343" t="s">
        <v>706</v>
      </c>
      <c r="O304" s="344"/>
      <c r="P304" s="344"/>
    </row>
    <row r="305" spans="1:16" s="356" customFormat="1" ht="12.75" customHeight="1" x14ac:dyDescent="0.3">
      <c r="A305" s="339">
        <f t="shared" si="4"/>
        <v>304</v>
      </c>
      <c r="B305" s="339" t="s">
        <v>133</v>
      </c>
      <c r="C305" s="339">
        <v>2</v>
      </c>
      <c r="D305" s="339">
        <v>521</v>
      </c>
      <c r="E305" s="344" t="str">
        <f>VLOOKUP( T_Aop[[#This Row],[Id]], T_Aop[], ID_Jezik +10, 1)</f>
        <v>6</v>
      </c>
      <c r="F305" s="339" t="str">
        <f>REPT( "  ", T_Aop[[#This Row],[Aop nivo]]) &amp; VLOOKUP( T_Aop[[#This Row],[Id]], T_Aop[], ID_Jezik + 6, 1)</f>
        <v xml:space="preserve">    Prilivi po osnovu prodaje stalnih sredstava namijenjenih prodaji</v>
      </c>
      <c r="G305" s="312" t="s">
        <v>1475</v>
      </c>
      <c r="H305" s="311" t="s">
        <v>1449</v>
      </c>
      <c r="I305" s="328" t="s">
        <v>1668</v>
      </c>
      <c r="J305" s="379" t="s">
        <v>2386</v>
      </c>
      <c r="K305" s="313" t="s">
        <v>335</v>
      </c>
      <c r="L305" s="313">
        <v>6</v>
      </c>
      <c r="M305" s="313" t="s">
        <v>335</v>
      </c>
      <c r="N305" s="343" t="s">
        <v>707</v>
      </c>
      <c r="O305" s="344"/>
      <c r="P305" s="344"/>
    </row>
    <row r="306" spans="1:16" s="356" customFormat="1" ht="12.75" customHeight="1" x14ac:dyDescent="0.3">
      <c r="A306" s="339">
        <f t="shared" si="4"/>
        <v>305</v>
      </c>
      <c r="B306" s="339" t="s">
        <v>133</v>
      </c>
      <c r="C306" s="339">
        <v>2</v>
      </c>
      <c r="D306" s="339">
        <v>522</v>
      </c>
      <c r="E306" s="344" t="str">
        <f>VLOOKUP( T_Aop[[#This Row],[Id]], T_Aop[], ID_Jezik +10, 1)</f>
        <v>7</v>
      </c>
      <c r="F306" s="339" t="str">
        <f>REPT( "  ", T_Aop[[#This Row],[Aop nivo]]) &amp; VLOOKUP( T_Aop[[#This Row],[Id]], T_Aop[], ID_Jezik + 6, 1)</f>
        <v xml:space="preserve">    Prilivi od finansijskih sredstava po fer vrijednosti kroz ostali ukupni rezultat</v>
      </c>
      <c r="G306" s="312" t="s">
        <v>1476</v>
      </c>
      <c r="H306" s="311" t="s">
        <v>1450</v>
      </c>
      <c r="I306" s="328" t="s">
        <v>1669</v>
      </c>
      <c r="J306" s="379" t="s">
        <v>2387</v>
      </c>
      <c r="K306" s="313" t="s">
        <v>336</v>
      </c>
      <c r="L306" s="313">
        <v>7</v>
      </c>
      <c r="M306" s="313" t="s">
        <v>336</v>
      </c>
      <c r="N306" s="343" t="s">
        <v>708</v>
      </c>
      <c r="O306" s="344"/>
      <c r="P306" s="344"/>
    </row>
    <row r="307" spans="1:16" s="356" customFormat="1" ht="12.75" customHeight="1" x14ac:dyDescent="0.3">
      <c r="A307" s="339">
        <f t="shared" si="4"/>
        <v>306</v>
      </c>
      <c r="B307" s="339" t="s">
        <v>133</v>
      </c>
      <c r="C307" s="339">
        <v>2</v>
      </c>
      <c r="D307" s="339">
        <v>523</v>
      </c>
      <c r="E307" s="344" t="str">
        <f>VLOOKUP( T_Aop[[#This Row],[Id]], T_Aop[], ID_Jezik +10, 1)</f>
        <v>8</v>
      </c>
      <c r="F307" s="339" t="str">
        <f>REPT( "  ", T_Aop[[#This Row],[Aop nivo]]) &amp; VLOOKUP( T_Aop[[#This Row],[Id]], T_Aop[], ID_Jezik + 6, 1)</f>
        <v xml:space="preserve">    Prilivi od finansijskih sredstva po fer vrijednosti kroz bilans uspjeha</v>
      </c>
      <c r="G307" s="312" t="s">
        <v>1477</v>
      </c>
      <c r="H307" s="311" t="s">
        <v>1451</v>
      </c>
      <c r="I307" s="328" t="s">
        <v>1670</v>
      </c>
      <c r="J307" s="379" t="s">
        <v>2388</v>
      </c>
      <c r="K307" s="313" t="s">
        <v>337</v>
      </c>
      <c r="L307" s="313">
        <v>8</v>
      </c>
      <c r="M307" s="313" t="s">
        <v>337</v>
      </c>
      <c r="N307" s="343" t="s">
        <v>709</v>
      </c>
      <c r="O307" s="344"/>
      <c r="P307" s="344"/>
    </row>
    <row r="308" spans="1:16" s="356" customFormat="1" ht="12.75" customHeight="1" x14ac:dyDescent="0.3">
      <c r="A308" s="339">
        <f t="shared" si="4"/>
        <v>307</v>
      </c>
      <c r="B308" s="339" t="s">
        <v>133</v>
      </c>
      <c r="C308" s="339">
        <v>2</v>
      </c>
      <c r="D308" s="339">
        <v>524</v>
      </c>
      <c r="E308" s="344" t="str">
        <f>VLOOKUP( T_Aop[[#This Row],[Id]], T_Aop[], ID_Jezik +10, 1)</f>
        <v>9</v>
      </c>
      <c r="F308" s="339" t="str">
        <f>REPT( "  ", T_Aop[[#This Row],[Aop nivo]]) &amp; VLOOKUP( T_Aop[[#This Row],[Id]], T_Aop[], ID_Jezik + 6, 1)</f>
        <v xml:space="preserve">    Prilivi od ostalih finansijskih sredstava po amortizovanoj vrijednosti</v>
      </c>
      <c r="G308" s="312" t="s">
        <v>1478</v>
      </c>
      <c r="H308" s="311" t="s">
        <v>1452</v>
      </c>
      <c r="I308" s="328" t="s">
        <v>1671</v>
      </c>
      <c r="J308" s="379" t="s">
        <v>2389</v>
      </c>
      <c r="K308" s="313" t="s">
        <v>338</v>
      </c>
      <c r="L308" s="313">
        <v>9</v>
      </c>
      <c r="M308" s="313" t="s">
        <v>338</v>
      </c>
      <c r="N308" s="343" t="s">
        <v>710</v>
      </c>
      <c r="O308" s="344"/>
      <c r="P308" s="344"/>
    </row>
    <row r="309" spans="1:16" s="356" customFormat="1" ht="12.75" customHeight="1" x14ac:dyDescent="0.3">
      <c r="A309" s="339">
        <f t="shared" si="4"/>
        <v>308</v>
      </c>
      <c r="B309" s="339" t="s">
        <v>133</v>
      </c>
      <c r="C309" s="339">
        <v>2</v>
      </c>
      <c r="D309" s="339">
        <v>525</v>
      </c>
      <c r="E309" s="344" t="str">
        <f>VLOOKUP( T_Aop[[#This Row],[Id]], T_Aop[], ID_Jezik +10, 1)</f>
        <v>10</v>
      </c>
      <c r="F309" s="339" t="str">
        <f>REPT( "  ", T_Aop[[#This Row],[Aop nivo]]) &amp; VLOOKUP( T_Aop[[#This Row],[Id]], T_Aop[], ID_Jezik + 6, 1)</f>
        <v xml:space="preserve">    Prilivi po osnovu lizinga (glavnica)</v>
      </c>
      <c r="G309" s="312" t="s">
        <v>1479</v>
      </c>
      <c r="H309" s="311" t="s">
        <v>1453</v>
      </c>
      <c r="I309" s="328" t="s">
        <v>1672</v>
      </c>
      <c r="J309" s="379" t="s">
        <v>2390</v>
      </c>
      <c r="K309" s="313" t="s">
        <v>339</v>
      </c>
      <c r="L309" s="313">
        <v>10</v>
      </c>
      <c r="M309" s="313" t="s">
        <v>339</v>
      </c>
      <c r="N309" s="343" t="s">
        <v>711</v>
      </c>
      <c r="O309" s="344"/>
      <c r="P309" s="344">
        <v>1</v>
      </c>
    </row>
    <row r="310" spans="1:16" s="356" customFormat="1" ht="12.75" customHeight="1" x14ac:dyDescent="0.3">
      <c r="A310" s="339">
        <f t="shared" si="4"/>
        <v>309</v>
      </c>
      <c r="B310" s="339" t="s">
        <v>133</v>
      </c>
      <c r="C310" s="339">
        <v>2</v>
      </c>
      <c r="D310" s="339">
        <v>526</v>
      </c>
      <c r="E310" s="344" t="str">
        <f>VLOOKUP( T_Aop[[#This Row],[Id]], T_Aop[], ID_Jezik +10, 1)</f>
        <v>11</v>
      </c>
      <c r="F310" s="339" t="str">
        <f>REPT( "  ", T_Aop[[#This Row],[Aop nivo]]) &amp; VLOOKUP( T_Aop[[#This Row],[Id]], T_Aop[], ID_Jezik + 6, 1)</f>
        <v xml:space="preserve">    Prilivi po osnovu lizinga (kamata)</v>
      </c>
      <c r="G310" s="312" t="s">
        <v>1480</v>
      </c>
      <c r="H310" s="311" t="s">
        <v>1454</v>
      </c>
      <c r="I310" s="328" t="s">
        <v>1673</v>
      </c>
      <c r="J310" s="379" t="s">
        <v>2391</v>
      </c>
      <c r="K310" s="313" t="s">
        <v>779</v>
      </c>
      <c r="L310" s="313">
        <v>11</v>
      </c>
      <c r="M310" s="313" t="s">
        <v>779</v>
      </c>
      <c r="N310" s="343" t="s">
        <v>712</v>
      </c>
      <c r="O310" s="344"/>
      <c r="P310" s="344"/>
    </row>
    <row r="311" spans="1:16" s="356" customFormat="1" ht="12.75" customHeight="1" x14ac:dyDescent="0.3">
      <c r="A311" s="339">
        <f t="shared" si="4"/>
        <v>310</v>
      </c>
      <c r="B311" s="339" t="s">
        <v>133</v>
      </c>
      <c r="C311" s="339">
        <v>2</v>
      </c>
      <c r="D311" s="339">
        <v>527</v>
      </c>
      <c r="E311" s="344" t="str">
        <f>VLOOKUP( T_Aop[[#This Row],[Id]], T_Aop[], ID_Jezik +10, 1)</f>
        <v>12</v>
      </c>
      <c r="F311" s="339" t="str">
        <f>REPT( "  ", T_Aop[[#This Row],[Aop nivo]]) &amp; VLOOKUP( T_Aop[[#This Row],[Id]], T_Aop[], ID_Jezik + 6, 1)</f>
        <v xml:space="preserve">    Prilivi po osnovu kamata</v>
      </c>
      <c r="G311" s="312" t="s">
        <v>1481</v>
      </c>
      <c r="H311" s="311" t="s">
        <v>1455</v>
      </c>
      <c r="I311" s="328" t="s">
        <v>1674</v>
      </c>
      <c r="J311" s="379" t="s">
        <v>2392</v>
      </c>
      <c r="K311" s="313" t="s">
        <v>780</v>
      </c>
      <c r="L311" s="313">
        <v>12</v>
      </c>
      <c r="M311" s="313" t="s">
        <v>780</v>
      </c>
      <c r="N311" s="343" t="s">
        <v>713</v>
      </c>
      <c r="O311" s="344"/>
      <c r="P311" s="344"/>
    </row>
    <row r="312" spans="1:16" s="356" customFormat="1" ht="12.75" customHeight="1" x14ac:dyDescent="0.3">
      <c r="A312" s="339">
        <f t="shared" si="4"/>
        <v>311</v>
      </c>
      <c r="B312" s="339" t="s">
        <v>133</v>
      </c>
      <c r="C312" s="339">
        <v>2</v>
      </c>
      <c r="D312" s="339">
        <v>528</v>
      </c>
      <c r="E312" s="344" t="str">
        <f>VLOOKUP( T_Aop[[#This Row],[Id]], T_Aop[], ID_Jezik +10, 1)</f>
        <v>13</v>
      </c>
      <c r="F312" s="339" t="str">
        <f>REPT( "  ", T_Aop[[#This Row],[Aop nivo]]) &amp; VLOOKUP( T_Aop[[#This Row],[Id]], T_Aop[], ID_Jezik + 6, 1)</f>
        <v xml:space="preserve">    Prilivi od dividendi i učešća u dobiti</v>
      </c>
      <c r="G312" s="312" t="s">
        <v>1482</v>
      </c>
      <c r="H312" s="311" t="s">
        <v>1456</v>
      </c>
      <c r="I312" s="328" t="s">
        <v>1675</v>
      </c>
      <c r="J312" s="379" t="s">
        <v>2393</v>
      </c>
      <c r="K312" s="313" t="s">
        <v>1420</v>
      </c>
      <c r="L312" s="313">
        <v>13</v>
      </c>
      <c r="M312" s="313" t="s">
        <v>1420</v>
      </c>
      <c r="N312" s="343" t="s">
        <v>714</v>
      </c>
      <c r="O312" s="344"/>
      <c r="P312" s="344"/>
    </row>
    <row r="313" spans="1:16" s="356" customFormat="1" ht="12.75" customHeight="1" x14ac:dyDescent="0.3">
      <c r="A313" s="339">
        <f t="shared" si="4"/>
        <v>312</v>
      </c>
      <c r="B313" s="339" t="s">
        <v>133</v>
      </c>
      <c r="C313" s="339">
        <v>2</v>
      </c>
      <c r="D313" s="339">
        <v>529</v>
      </c>
      <c r="E313" s="344" t="str">
        <f>VLOOKUP( T_Aop[[#This Row],[Id]], T_Aop[], ID_Jezik +10, 1)</f>
        <v>14</v>
      </c>
      <c r="F313" s="339" t="str">
        <f>REPT( "  ", T_Aop[[#This Row],[Aop nivo]]) &amp; VLOOKUP( T_Aop[[#This Row],[Id]], T_Aop[], ID_Jezik + 6, 1)</f>
        <v xml:space="preserve">    Prilivi po osnovu derivatnih finansijskih instrumenata</v>
      </c>
      <c r="G313" s="312" t="s">
        <v>1483</v>
      </c>
      <c r="H313" s="311" t="s">
        <v>1457</v>
      </c>
      <c r="I313" s="312" t="s">
        <v>1676</v>
      </c>
      <c r="J313" s="379" t="s">
        <v>2394</v>
      </c>
      <c r="K313" s="313" t="s">
        <v>1421</v>
      </c>
      <c r="L313" s="313">
        <v>14</v>
      </c>
      <c r="M313" s="313" t="s">
        <v>1421</v>
      </c>
      <c r="N313" s="343" t="s">
        <v>715</v>
      </c>
      <c r="O313" s="344"/>
      <c r="P313" s="344"/>
    </row>
    <row r="314" spans="1:16" s="356" customFormat="1" ht="12.75" customHeight="1" x14ac:dyDescent="0.3">
      <c r="A314" s="339">
        <f t="shared" si="4"/>
        <v>313</v>
      </c>
      <c r="B314" s="339" t="s">
        <v>133</v>
      </c>
      <c r="C314" s="339">
        <v>2</v>
      </c>
      <c r="D314" s="339">
        <v>530</v>
      </c>
      <c r="E314" s="344" t="str">
        <f>VLOOKUP( T_Aop[[#This Row],[Id]], T_Aop[], ID_Jezik +10, 1)</f>
        <v>15</v>
      </c>
      <c r="F314" s="339" t="str">
        <f>REPT( "  ", T_Aop[[#This Row],[Aop nivo]]) &amp; VLOOKUP( T_Aop[[#This Row],[Id]], T_Aop[], ID_Jezik + 6, 1)</f>
        <v xml:space="preserve">    Ostali prilivi iz aktivnosti investiranja</v>
      </c>
      <c r="G314" s="312" t="s">
        <v>1365</v>
      </c>
      <c r="H314" s="311" t="s">
        <v>1326</v>
      </c>
      <c r="I314" s="312" t="s">
        <v>1677</v>
      </c>
      <c r="J314" s="379" t="s">
        <v>2395</v>
      </c>
      <c r="K314" s="313" t="s">
        <v>1422</v>
      </c>
      <c r="L314" s="313">
        <v>15</v>
      </c>
      <c r="M314" s="313" t="s">
        <v>1422</v>
      </c>
      <c r="N314" s="343" t="s">
        <v>2433</v>
      </c>
      <c r="O314" s="344"/>
      <c r="P314" s="344"/>
    </row>
    <row r="315" spans="1:16" s="356" customFormat="1" ht="12.75" customHeight="1" x14ac:dyDescent="0.3">
      <c r="A315" s="339">
        <f t="shared" si="4"/>
        <v>314</v>
      </c>
      <c r="B315" s="339" t="s">
        <v>133</v>
      </c>
      <c r="C315" s="339">
        <v>1</v>
      </c>
      <c r="D315" s="339">
        <v>531</v>
      </c>
      <c r="E315" s="344" t="str">
        <f>VLOOKUP( T_Aop[[#This Row],[Id]], T_Aop[], ID_Jezik +10, 1)</f>
        <v>II</v>
      </c>
      <c r="F315" s="339" t="str">
        <f>REPT( "  ", T_Aop[[#This Row],[Aop nivo]]) &amp; VLOOKUP( T_Aop[[#This Row],[Id]], T_Aop[], ID_Jezik + 6, 1)</f>
        <v xml:space="preserve">  Odlivi gotovine iz aktivnosti investiranja (532 do 541)</v>
      </c>
      <c r="G315" s="312" t="s">
        <v>1366</v>
      </c>
      <c r="H315" s="311" t="s">
        <v>1327</v>
      </c>
      <c r="I315" s="312" t="s">
        <v>1678</v>
      </c>
      <c r="J315" s="379" t="s">
        <v>2396</v>
      </c>
      <c r="K315" s="313" t="s">
        <v>1404</v>
      </c>
      <c r="L315" s="313" t="s">
        <v>1404</v>
      </c>
      <c r="M315" s="313" t="s">
        <v>1404</v>
      </c>
      <c r="N315" s="343" t="s">
        <v>1404</v>
      </c>
      <c r="O315" s="344"/>
      <c r="P315" s="344"/>
    </row>
    <row r="316" spans="1:16" s="356" customFormat="1" ht="12.75" customHeight="1" x14ac:dyDescent="0.3">
      <c r="A316" s="339">
        <f t="shared" si="4"/>
        <v>315</v>
      </c>
      <c r="B316" s="339" t="s">
        <v>133</v>
      </c>
      <c r="C316" s="339">
        <v>2</v>
      </c>
      <c r="D316" s="339">
        <v>532</v>
      </c>
      <c r="E316" s="344" t="str">
        <f>VLOOKUP( T_Aop[[#This Row],[Id]], T_Aop[], ID_Jezik +10, 1)</f>
        <v>1</v>
      </c>
      <c r="F316" s="339" t="str">
        <f>REPT( "  ", T_Aop[[#This Row],[Aop nivo]]) &amp; VLOOKUP( T_Aop[[#This Row],[Id]], T_Aop[], ID_Jezik + 6, 1)</f>
        <v xml:space="preserve">    Odlivi gotovine po osnovu kupovine akcija i udjela zavisnih i pridruženih društava i zajedničkih poduhvata</v>
      </c>
      <c r="G316" s="312" t="s">
        <v>1367</v>
      </c>
      <c r="H316" s="311" t="s">
        <v>1328</v>
      </c>
      <c r="I316" s="328" t="s">
        <v>1679</v>
      </c>
      <c r="J316" s="379" t="s">
        <v>2397</v>
      </c>
      <c r="K316" s="313" t="s">
        <v>741</v>
      </c>
      <c r="L316" s="313">
        <v>1</v>
      </c>
      <c r="M316" s="313" t="s">
        <v>741</v>
      </c>
      <c r="N316" s="343" t="s">
        <v>702</v>
      </c>
      <c r="O316" s="344"/>
      <c r="P316" s="344"/>
    </row>
    <row r="317" spans="1:16" s="356" customFormat="1" ht="12.75" customHeight="1" x14ac:dyDescent="0.3">
      <c r="A317" s="339">
        <f t="shared" si="4"/>
        <v>316</v>
      </c>
      <c r="B317" s="339" t="s">
        <v>133</v>
      </c>
      <c r="C317" s="339">
        <v>2</v>
      </c>
      <c r="D317" s="339">
        <v>533</v>
      </c>
      <c r="E317" s="344" t="str">
        <f>VLOOKUP( T_Aop[[#This Row],[Id]], T_Aop[], ID_Jezik +10, 1)</f>
        <v>2</v>
      </c>
      <c r="F317" s="339" t="str">
        <f>REPT( "  ", T_Aop[[#This Row],[Aop nivo]]) &amp; VLOOKUP( T_Aop[[#This Row],[Id]], T_Aop[], ID_Jezik + 6, 1)</f>
        <v xml:space="preserve">    Odlivi po osnovu kupovine nekretnina, postrojenja i opreme</v>
      </c>
      <c r="G317" s="312" t="s">
        <v>1368</v>
      </c>
      <c r="H317" s="311" t="s">
        <v>1329</v>
      </c>
      <c r="I317" s="312" t="s">
        <v>1680</v>
      </c>
      <c r="J317" s="379" t="s">
        <v>2398</v>
      </c>
      <c r="K317" s="313" t="s">
        <v>1418</v>
      </c>
      <c r="L317" s="313">
        <v>2</v>
      </c>
      <c r="M317" s="313" t="s">
        <v>1418</v>
      </c>
      <c r="N317" s="343" t="s">
        <v>703</v>
      </c>
      <c r="O317" s="344"/>
      <c r="P317" s="344"/>
    </row>
    <row r="318" spans="1:16" s="356" customFormat="1" ht="12.75" customHeight="1" x14ac:dyDescent="0.3">
      <c r="A318" s="339">
        <f t="shared" si="4"/>
        <v>317</v>
      </c>
      <c r="B318" s="339" t="s">
        <v>133</v>
      </c>
      <c r="C318" s="339">
        <v>2</v>
      </c>
      <c r="D318" s="339">
        <v>534</v>
      </c>
      <c r="E318" s="344" t="str">
        <f>VLOOKUP( T_Aop[[#This Row],[Id]], T_Aop[], ID_Jezik +10, 1)</f>
        <v>3</v>
      </c>
      <c r="F318" s="339" t="str">
        <f>REPT( "  ", T_Aop[[#This Row],[Aop nivo]]) &amp; VLOOKUP( T_Aop[[#This Row],[Id]], T_Aop[], ID_Jezik + 6, 1)</f>
        <v xml:space="preserve">    Odlivi po osnovu kupovine investicionih nekretnina</v>
      </c>
      <c r="G318" s="312" t="s">
        <v>1369</v>
      </c>
      <c r="H318" s="311" t="s">
        <v>1330</v>
      </c>
      <c r="I318" s="312" t="s">
        <v>1681</v>
      </c>
      <c r="J318" s="379" t="s">
        <v>2399</v>
      </c>
      <c r="K318" s="313" t="s">
        <v>304</v>
      </c>
      <c r="L318" s="313">
        <v>3</v>
      </c>
      <c r="M318" s="313" t="s">
        <v>304</v>
      </c>
      <c r="N318" s="343" t="s">
        <v>704</v>
      </c>
      <c r="O318" s="344"/>
      <c r="P318" s="344"/>
    </row>
    <row r="319" spans="1:16" s="356" customFormat="1" ht="12.75" customHeight="1" x14ac:dyDescent="0.3">
      <c r="A319" s="339">
        <f t="shared" si="4"/>
        <v>318</v>
      </c>
      <c r="B319" s="339" t="s">
        <v>133</v>
      </c>
      <c r="C319" s="339">
        <v>2</v>
      </c>
      <c r="D319" s="339">
        <v>535</v>
      </c>
      <c r="E319" s="344" t="str">
        <f>VLOOKUP( T_Aop[[#This Row],[Id]], T_Aop[], ID_Jezik +10, 1)</f>
        <v>4</v>
      </c>
      <c r="F319" s="339" t="str">
        <f>REPT( "  ", T_Aop[[#This Row],[Aop nivo]]) &amp; VLOOKUP( T_Aop[[#This Row],[Id]], T_Aop[], ID_Jezik + 6, 1)</f>
        <v xml:space="preserve">    Odlivi po osnovu kupovine bioloških sredstava</v>
      </c>
      <c r="G319" s="312" t="s">
        <v>1370</v>
      </c>
      <c r="H319" s="311" t="s">
        <v>1331</v>
      </c>
      <c r="I319" s="312" t="s">
        <v>1682</v>
      </c>
      <c r="J319" s="379" t="s">
        <v>2400</v>
      </c>
      <c r="K319" s="313" t="s">
        <v>333</v>
      </c>
      <c r="L319" s="313">
        <v>4</v>
      </c>
      <c r="M319" s="313" t="s">
        <v>333</v>
      </c>
      <c r="N319" s="343" t="s">
        <v>705</v>
      </c>
      <c r="O319" s="344"/>
      <c r="P319" s="344"/>
    </row>
    <row r="320" spans="1:16" s="356" customFormat="1" ht="12.75" customHeight="1" x14ac:dyDescent="0.3">
      <c r="A320" s="339">
        <f t="shared" si="4"/>
        <v>319</v>
      </c>
      <c r="B320" s="339" t="s">
        <v>133</v>
      </c>
      <c r="C320" s="339">
        <v>2</v>
      </c>
      <c r="D320" s="339">
        <v>536</v>
      </c>
      <c r="E320" s="344" t="str">
        <f>VLOOKUP( T_Aop[[#This Row],[Id]], T_Aop[], ID_Jezik +10, 1)</f>
        <v>5</v>
      </c>
      <c r="F320" s="339" t="str">
        <f>REPT( "  ", T_Aop[[#This Row],[Aop nivo]]) &amp; VLOOKUP( T_Aop[[#This Row],[Id]], T_Aop[], ID_Jezik + 6, 1)</f>
        <v xml:space="preserve">    Odlivi po osnovu kupovine nematerijalnih sredstava</v>
      </c>
      <c r="G320" s="312" t="s">
        <v>1371</v>
      </c>
      <c r="H320" s="311" t="s">
        <v>1332</v>
      </c>
      <c r="I320" s="312" t="s">
        <v>1683</v>
      </c>
      <c r="J320" s="379" t="s">
        <v>2401</v>
      </c>
      <c r="K320" s="313" t="s">
        <v>334</v>
      </c>
      <c r="L320" s="313">
        <v>5</v>
      </c>
      <c r="M320" s="313" t="s">
        <v>334</v>
      </c>
      <c r="N320" s="343" t="s">
        <v>706</v>
      </c>
      <c r="O320" s="344"/>
      <c r="P320" s="344"/>
    </row>
    <row r="321" spans="1:16" s="356" customFormat="1" ht="12.75" customHeight="1" x14ac:dyDescent="0.3">
      <c r="A321" s="339">
        <f t="shared" si="4"/>
        <v>320</v>
      </c>
      <c r="B321" s="339" t="s">
        <v>133</v>
      </c>
      <c r="C321" s="339">
        <v>2</v>
      </c>
      <c r="D321" s="339">
        <v>537</v>
      </c>
      <c r="E321" s="344" t="str">
        <f>VLOOKUP( T_Aop[[#This Row],[Id]], T_Aop[], ID_Jezik +10, 1)</f>
        <v>6</v>
      </c>
      <c r="F321" s="339" t="str">
        <f>REPT( "  ", T_Aop[[#This Row],[Aop nivo]]) &amp; VLOOKUP( T_Aop[[#This Row],[Id]], T_Aop[], ID_Jezik + 6, 1)</f>
        <v xml:space="preserve">    Odlivi po osnovu finansijskih sredstava po fer vrijednosti kroz ostali ukupni rezultat</v>
      </c>
      <c r="G321" s="312" t="s">
        <v>1372</v>
      </c>
      <c r="H321" s="311" t="s">
        <v>1333</v>
      </c>
      <c r="I321" s="312" t="s">
        <v>1684</v>
      </c>
      <c r="J321" s="379" t="s">
        <v>2402</v>
      </c>
      <c r="K321" s="313" t="s">
        <v>335</v>
      </c>
      <c r="L321" s="313">
        <v>6</v>
      </c>
      <c r="M321" s="313" t="s">
        <v>335</v>
      </c>
      <c r="N321" s="343" t="s">
        <v>707</v>
      </c>
      <c r="O321" s="344"/>
      <c r="P321" s="344"/>
    </row>
    <row r="322" spans="1:16" s="356" customFormat="1" ht="12.75" customHeight="1" x14ac:dyDescent="0.3">
      <c r="A322" s="339">
        <f t="shared" ref="A322:A385" si="5">ROW()-ROW($A$1)</f>
        <v>321</v>
      </c>
      <c r="B322" s="339" t="s">
        <v>133</v>
      </c>
      <c r="C322" s="339">
        <v>2</v>
      </c>
      <c r="D322" s="339">
        <v>538</v>
      </c>
      <c r="E322" s="344" t="str">
        <f>VLOOKUP( T_Aop[[#This Row],[Id]], T_Aop[], ID_Jezik +10, 1)</f>
        <v>7</v>
      </c>
      <c r="F322" s="339" t="str">
        <f>REPT( "  ", T_Aop[[#This Row],[Aop nivo]]) &amp; VLOOKUP( T_Aop[[#This Row],[Id]], T_Aop[], ID_Jezik + 6, 1)</f>
        <v xml:space="preserve">    Odlivi po osnovu finansijskih sredstva po fer vrijednosti kroz bilans uspjeha</v>
      </c>
      <c r="G322" s="312" t="s">
        <v>1373</v>
      </c>
      <c r="H322" s="311" t="s">
        <v>1334</v>
      </c>
      <c r="I322" s="312" t="s">
        <v>1685</v>
      </c>
      <c r="J322" s="379" t="s">
        <v>2403</v>
      </c>
      <c r="K322" s="313" t="s">
        <v>336</v>
      </c>
      <c r="L322" s="313">
        <v>7</v>
      </c>
      <c r="M322" s="313" t="s">
        <v>336</v>
      </c>
      <c r="N322" s="343" t="s">
        <v>708</v>
      </c>
      <c r="O322" s="344"/>
      <c r="P322" s="344"/>
    </row>
    <row r="323" spans="1:16" s="356" customFormat="1" ht="12.75" customHeight="1" x14ac:dyDescent="0.3">
      <c r="A323" s="339">
        <f t="shared" si="5"/>
        <v>322</v>
      </c>
      <c r="B323" s="339" t="s">
        <v>133</v>
      </c>
      <c r="C323" s="339">
        <v>2</v>
      </c>
      <c r="D323" s="339">
        <v>539</v>
      </c>
      <c r="E323" s="344" t="str">
        <f>VLOOKUP( T_Aop[[#This Row],[Id]], T_Aop[], ID_Jezik +10, 1)</f>
        <v>8</v>
      </c>
      <c r="F323" s="339" t="str">
        <f>REPT( "  ", T_Aop[[#This Row],[Aop nivo]]) &amp; VLOOKUP( T_Aop[[#This Row],[Id]], T_Aop[], ID_Jezik + 6, 1)</f>
        <v xml:space="preserve">    Odlivi po osnovu ostalih finansijskih sredstava po amortizovanoj vrijednosti</v>
      </c>
      <c r="G323" s="312" t="s">
        <v>1374</v>
      </c>
      <c r="H323" s="311" t="s">
        <v>1335</v>
      </c>
      <c r="I323" s="312" t="s">
        <v>1686</v>
      </c>
      <c r="J323" s="379" t="s">
        <v>2404</v>
      </c>
      <c r="K323" s="313" t="s">
        <v>337</v>
      </c>
      <c r="L323" s="313">
        <v>8</v>
      </c>
      <c r="M323" s="313" t="s">
        <v>337</v>
      </c>
      <c r="N323" s="343" t="s">
        <v>709</v>
      </c>
      <c r="O323" s="344"/>
      <c r="P323" s="344"/>
    </row>
    <row r="324" spans="1:16" s="356" customFormat="1" ht="12.75" customHeight="1" x14ac:dyDescent="0.3">
      <c r="A324" s="339">
        <f t="shared" si="5"/>
        <v>323</v>
      </c>
      <c r="B324" s="339" t="s">
        <v>133</v>
      </c>
      <c r="C324" s="339">
        <v>2</v>
      </c>
      <c r="D324" s="339">
        <v>540</v>
      </c>
      <c r="E324" s="344" t="str">
        <f>VLOOKUP( T_Aop[[#This Row],[Id]], T_Aop[], ID_Jezik +10, 1)</f>
        <v>9</v>
      </c>
      <c r="F324" s="339" t="str">
        <f>REPT( "  ", T_Aop[[#This Row],[Aop nivo]]) &amp; VLOOKUP( T_Aop[[#This Row],[Id]], T_Aop[], ID_Jezik + 6, 1)</f>
        <v xml:space="preserve">    Odlivi po osnovu derivatnih finansijskih instrumenata</v>
      </c>
      <c r="G324" s="312" t="s">
        <v>1375</v>
      </c>
      <c r="H324" s="311" t="s">
        <v>1336</v>
      </c>
      <c r="I324" s="312" t="s">
        <v>1687</v>
      </c>
      <c r="J324" s="379" t="s">
        <v>2405</v>
      </c>
      <c r="K324" s="313" t="s">
        <v>338</v>
      </c>
      <c r="L324" s="313">
        <v>9</v>
      </c>
      <c r="M324" s="313" t="s">
        <v>338</v>
      </c>
      <c r="N324" s="343" t="s">
        <v>710</v>
      </c>
      <c r="O324" s="344"/>
      <c r="P324" s="344"/>
    </row>
    <row r="325" spans="1:16" s="356" customFormat="1" ht="12.75" customHeight="1" x14ac:dyDescent="0.3">
      <c r="A325" s="339">
        <f t="shared" si="5"/>
        <v>324</v>
      </c>
      <c r="B325" s="339" t="s">
        <v>133</v>
      </c>
      <c r="C325" s="339">
        <v>2</v>
      </c>
      <c r="D325" s="339">
        <v>541</v>
      </c>
      <c r="E325" s="344" t="str">
        <f>VLOOKUP( T_Aop[[#This Row],[Id]], T_Aop[], ID_Jezik +10, 1)</f>
        <v>10</v>
      </c>
      <c r="F325" s="339" t="str">
        <f>REPT( "  ", T_Aop[[#This Row],[Aop nivo]]) &amp; VLOOKUP( T_Aop[[#This Row],[Id]], T_Aop[], ID_Jezik + 6, 1)</f>
        <v xml:space="preserve">    Ostali odlivi iz aktivnosti investiranja</v>
      </c>
      <c r="G325" s="312" t="s">
        <v>1376</v>
      </c>
      <c r="H325" s="311" t="s">
        <v>1337</v>
      </c>
      <c r="I325" s="312" t="s">
        <v>1688</v>
      </c>
      <c r="J325" s="379" t="s">
        <v>2406</v>
      </c>
      <c r="K325" s="313" t="s">
        <v>339</v>
      </c>
      <c r="L325" s="313">
        <v>10</v>
      </c>
      <c r="M325" s="313" t="s">
        <v>339</v>
      </c>
      <c r="N325" s="343" t="s">
        <v>711</v>
      </c>
      <c r="O325" s="344"/>
      <c r="P325" s="344"/>
    </row>
    <row r="326" spans="1:16" s="356" customFormat="1" ht="12.75" customHeight="1" x14ac:dyDescent="0.3">
      <c r="A326" s="339">
        <f t="shared" si="5"/>
        <v>325</v>
      </c>
      <c r="B326" s="339" t="s">
        <v>133</v>
      </c>
      <c r="C326" s="339">
        <v>1</v>
      </c>
      <c r="D326" s="339">
        <v>542</v>
      </c>
      <c r="E326" s="344" t="str">
        <f>VLOOKUP( T_Aop[[#This Row],[Id]], T_Aop[], ID_Jezik +10, 1)</f>
        <v>III</v>
      </c>
      <c r="F326" s="339" t="str">
        <f>REPT( "  ", T_Aop[[#This Row],[Aop nivo]]) &amp; VLOOKUP( T_Aop[[#This Row],[Id]], T_Aop[], ID_Jezik + 6, 1)</f>
        <v xml:space="preserve">  Neto priliv gotovine iz aktivnosti investiranja (515-531)</v>
      </c>
      <c r="G326" s="312" t="s">
        <v>1377</v>
      </c>
      <c r="H326" s="311" t="s">
        <v>1338</v>
      </c>
      <c r="I326" s="312" t="s">
        <v>1689</v>
      </c>
      <c r="J326" s="379" t="s">
        <v>2407</v>
      </c>
      <c r="K326" s="313" t="s">
        <v>1405</v>
      </c>
      <c r="L326" s="313" t="s">
        <v>1405</v>
      </c>
      <c r="M326" s="313" t="s">
        <v>1405</v>
      </c>
      <c r="N326" s="343" t="s">
        <v>1405</v>
      </c>
      <c r="O326" s="344">
        <v>1</v>
      </c>
      <c r="P326" s="344"/>
    </row>
    <row r="327" spans="1:16" s="356" customFormat="1" ht="12.75" customHeight="1" x14ac:dyDescent="0.3">
      <c r="A327" s="339">
        <f t="shared" si="5"/>
        <v>326</v>
      </c>
      <c r="B327" s="339" t="s">
        <v>133</v>
      </c>
      <c r="C327" s="339">
        <v>1</v>
      </c>
      <c r="D327" s="339">
        <v>543</v>
      </c>
      <c r="E327" s="344" t="str">
        <f>VLOOKUP( T_Aop[[#This Row],[Id]], T_Aop[], ID_Jezik +10, 1)</f>
        <v>IV</v>
      </c>
      <c r="F327" s="339" t="str">
        <f>REPT( "  ", T_Aop[[#This Row],[Aop nivo]]) &amp; VLOOKUP( T_Aop[[#This Row],[Id]], T_Aop[], ID_Jezik + 6, 1)</f>
        <v xml:space="preserve">  Neto odliv gotovine iz aktivnosti investiranja (531 – 515)</v>
      </c>
      <c r="G327" s="312" t="s">
        <v>1378</v>
      </c>
      <c r="H327" s="311" t="s">
        <v>1339</v>
      </c>
      <c r="I327" s="312" t="s">
        <v>1690</v>
      </c>
      <c r="J327" s="379" t="s">
        <v>2408</v>
      </c>
      <c r="K327" s="313" t="s">
        <v>1406</v>
      </c>
      <c r="L327" s="313" t="s">
        <v>1406</v>
      </c>
      <c r="M327" s="313" t="s">
        <v>1406</v>
      </c>
      <c r="N327" s="343" t="s">
        <v>1406</v>
      </c>
      <c r="O327" s="344">
        <v>1</v>
      </c>
      <c r="P327" s="344"/>
    </row>
    <row r="328" spans="1:16" s="356" customFormat="1" ht="25.5" customHeight="1" x14ac:dyDescent="0.3">
      <c r="A328" s="339">
        <f t="shared" si="5"/>
        <v>327</v>
      </c>
      <c r="B328" s="339" t="s">
        <v>133</v>
      </c>
      <c r="C328" s="339">
        <v>0</v>
      </c>
      <c r="D328" s="339">
        <v>544</v>
      </c>
      <c r="E328" s="344" t="str">
        <f>VLOOKUP( T_Aop[[#This Row],[Id]], T_Aop[], ID_Jezik +10, 1)</f>
        <v>B_x000D_
I</v>
      </c>
      <c r="F328" s="365" t="str">
        <f>REPT( "  ", T_Aop[[#This Row],[Aop nivo]]) &amp; VLOOKUP( T_Aop[[#This Row],[Id]], T_Aop[], ID_Jezik + 6, 1)</f>
        <v>TOKOVI GOTOVINE IZ AKTIVNOSTI FINANSIRANJA
Prilivi gotovine iz aktivnosti finansiranja (545 do 550)</v>
      </c>
      <c r="G328" s="476" t="s">
        <v>2873</v>
      </c>
      <c r="H328" s="311" t="s">
        <v>1340</v>
      </c>
      <c r="I328" s="342" t="s">
        <v>2865</v>
      </c>
      <c r="J328" s="379" t="s">
        <v>2484</v>
      </c>
      <c r="K328" s="313" t="s">
        <v>1419</v>
      </c>
      <c r="L328" s="313" t="s">
        <v>1408</v>
      </c>
      <c r="M328" s="313" t="s">
        <v>1419</v>
      </c>
      <c r="N328" s="343" t="s">
        <v>2436</v>
      </c>
      <c r="O328" s="344">
        <v>1</v>
      </c>
      <c r="P328" s="344"/>
    </row>
    <row r="329" spans="1:16" s="356" customFormat="1" ht="12.75" customHeight="1" x14ac:dyDescent="0.3">
      <c r="A329" s="339">
        <f t="shared" si="5"/>
        <v>328</v>
      </c>
      <c r="B329" s="339" t="s">
        <v>133</v>
      </c>
      <c r="C329" s="339">
        <v>2</v>
      </c>
      <c r="D329" s="339">
        <v>545</v>
      </c>
      <c r="E329" s="344" t="str">
        <f>VLOOKUP( T_Aop[[#This Row],[Id]], T_Aop[], ID_Jezik +10, 1)</f>
        <v>1</v>
      </c>
      <c r="F329" s="339" t="str">
        <f>REPT( "  ", T_Aop[[#This Row],[Aop nivo]]) &amp; VLOOKUP( T_Aop[[#This Row],[Id]], T_Aop[], ID_Jezik + 6, 1)</f>
        <v xml:space="preserve">    Prilivi po osnovu povećanja osnovnog kapitala</v>
      </c>
      <c r="G329" s="312" t="s">
        <v>1379</v>
      </c>
      <c r="H329" s="311" t="s">
        <v>1341</v>
      </c>
      <c r="I329" s="312" t="s">
        <v>1691</v>
      </c>
      <c r="J329" s="379" t="s">
        <v>2409</v>
      </c>
      <c r="K329" s="313" t="s">
        <v>741</v>
      </c>
      <c r="L329" s="313">
        <v>1</v>
      </c>
      <c r="M329" s="313" t="s">
        <v>741</v>
      </c>
      <c r="N329" s="343" t="s">
        <v>702</v>
      </c>
      <c r="O329" s="344"/>
      <c r="P329" s="344"/>
    </row>
    <row r="330" spans="1:16" s="356" customFormat="1" ht="12.75" customHeight="1" x14ac:dyDescent="0.3">
      <c r="A330" s="339">
        <f t="shared" si="5"/>
        <v>329</v>
      </c>
      <c r="B330" s="339" t="s">
        <v>133</v>
      </c>
      <c r="C330" s="339">
        <v>2</v>
      </c>
      <c r="D330" s="339">
        <v>546</v>
      </c>
      <c r="E330" s="344" t="str">
        <f>VLOOKUP( T_Aop[[#This Row],[Id]], T_Aop[], ID_Jezik +10, 1)</f>
        <v>2</v>
      </c>
      <c r="F330" s="339" t="str">
        <f>REPT( "  ", T_Aop[[#This Row],[Aop nivo]]) &amp; VLOOKUP( T_Aop[[#This Row],[Id]], T_Aop[], ID_Jezik + 6, 1)</f>
        <v xml:space="preserve">    Prilivi od prodaje otkupljenih sopstvenih akcija</v>
      </c>
      <c r="G330" s="312" t="s">
        <v>1380</v>
      </c>
      <c r="H330" s="311" t="s">
        <v>1342</v>
      </c>
      <c r="I330" s="328" t="s">
        <v>1692</v>
      </c>
      <c r="J330" s="379" t="s">
        <v>2410</v>
      </c>
      <c r="K330" s="313" t="s">
        <v>1418</v>
      </c>
      <c r="L330" s="313">
        <v>2</v>
      </c>
      <c r="M330" s="313" t="s">
        <v>1418</v>
      </c>
      <c r="N330" s="343" t="s">
        <v>703</v>
      </c>
      <c r="O330" s="344"/>
      <c r="P330" s="344"/>
    </row>
    <row r="331" spans="1:16" s="356" customFormat="1" ht="12.75" customHeight="1" x14ac:dyDescent="0.3">
      <c r="A331" s="339">
        <f t="shared" si="5"/>
        <v>330</v>
      </c>
      <c r="B331" s="339" t="s">
        <v>133</v>
      </c>
      <c r="C331" s="339">
        <v>2</v>
      </c>
      <c r="D331" s="339">
        <v>547</v>
      </c>
      <c r="E331" s="344" t="str">
        <f>VLOOKUP( T_Aop[[#This Row],[Id]], T_Aop[], ID_Jezik +10, 1)</f>
        <v>3</v>
      </c>
      <c r="F331" s="339" t="str">
        <f>REPT( "  ", T_Aop[[#This Row],[Aop nivo]]) &amp; VLOOKUP( T_Aop[[#This Row],[Id]], T_Aop[], ID_Jezik + 6, 1)</f>
        <v xml:space="preserve">    Prilivi po osnovu dugoročnih kredita</v>
      </c>
      <c r="G331" s="312" t="s">
        <v>1381</v>
      </c>
      <c r="H331" s="311" t="s">
        <v>1343</v>
      </c>
      <c r="I331" s="312" t="s">
        <v>1693</v>
      </c>
      <c r="J331" s="379" t="s">
        <v>2411</v>
      </c>
      <c r="K331" s="313" t="s">
        <v>304</v>
      </c>
      <c r="L331" s="313">
        <v>3</v>
      </c>
      <c r="M331" s="313" t="s">
        <v>304</v>
      </c>
      <c r="N331" s="343" t="s">
        <v>704</v>
      </c>
      <c r="O331" s="344"/>
      <c r="P331" s="344"/>
    </row>
    <row r="332" spans="1:16" s="356" customFormat="1" ht="12.75" customHeight="1" x14ac:dyDescent="0.3">
      <c r="A332" s="339">
        <f t="shared" si="5"/>
        <v>331</v>
      </c>
      <c r="B332" s="339" t="s">
        <v>133</v>
      </c>
      <c r="C332" s="339">
        <v>2</v>
      </c>
      <c r="D332" s="339">
        <v>548</v>
      </c>
      <c r="E332" s="344" t="str">
        <f>VLOOKUP( T_Aop[[#This Row],[Id]], T_Aop[], ID_Jezik +10, 1)</f>
        <v>4</v>
      </c>
      <c r="F332" s="339" t="str">
        <f>REPT( "  ", T_Aop[[#This Row],[Aop nivo]]) &amp; VLOOKUP( T_Aop[[#This Row],[Id]], T_Aop[], ID_Jezik + 6, 1)</f>
        <v xml:space="preserve">    Prilivi po osnovu kratkoročnih kredita</v>
      </c>
      <c r="G332" s="312" t="s">
        <v>1382</v>
      </c>
      <c r="H332" s="311" t="s">
        <v>1344</v>
      </c>
      <c r="I332" s="312" t="s">
        <v>1694</v>
      </c>
      <c r="J332" s="379" t="s">
        <v>2412</v>
      </c>
      <c r="K332" s="313" t="s">
        <v>333</v>
      </c>
      <c r="L332" s="313">
        <v>4</v>
      </c>
      <c r="M332" s="313" t="s">
        <v>333</v>
      </c>
      <c r="N332" s="343" t="s">
        <v>705</v>
      </c>
      <c r="O332" s="344"/>
      <c r="P332" s="344"/>
    </row>
    <row r="333" spans="1:16" s="356" customFormat="1" ht="12.75" customHeight="1" x14ac:dyDescent="0.3">
      <c r="A333" s="339">
        <f t="shared" si="5"/>
        <v>332</v>
      </c>
      <c r="B333" s="339" t="s">
        <v>133</v>
      </c>
      <c r="C333" s="339">
        <v>2</v>
      </c>
      <c r="D333" s="339">
        <v>549</v>
      </c>
      <c r="E333" s="344" t="str">
        <f>VLOOKUP( T_Aop[[#This Row],[Id]], T_Aop[], ID_Jezik +10, 1)</f>
        <v>5</v>
      </c>
      <c r="F333" s="339" t="str">
        <f>REPT( "  ", T_Aop[[#This Row],[Aop nivo]]) &amp; VLOOKUP( T_Aop[[#This Row],[Id]], T_Aop[], ID_Jezik + 6, 1)</f>
        <v xml:space="preserve">    Prilivi po osnovu izdatih dužničkih instrumenta</v>
      </c>
      <c r="G333" s="312" t="s">
        <v>1383</v>
      </c>
      <c r="H333" s="311" t="s">
        <v>1345</v>
      </c>
      <c r="I333" s="312" t="s">
        <v>1695</v>
      </c>
      <c r="J333" s="379" t="s">
        <v>2413</v>
      </c>
      <c r="K333" s="313" t="s">
        <v>334</v>
      </c>
      <c r="L333" s="313">
        <v>5</v>
      </c>
      <c r="M333" s="313" t="s">
        <v>334</v>
      </c>
      <c r="N333" s="343" t="s">
        <v>706</v>
      </c>
      <c r="O333" s="344"/>
      <c r="P333" s="344"/>
    </row>
    <row r="334" spans="1:16" s="356" customFormat="1" ht="12.75" customHeight="1" x14ac:dyDescent="0.3">
      <c r="A334" s="339">
        <f t="shared" si="5"/>
        <v>333</v>
      </c>
      <c r="B334" s="339" t="s">
        <v>133</v>
      </c>
      <c r="C334" s="339">
        <v>2</v>
      </c>
      <c r="D334" s="339">
        <v>550</v>
      </c>
      <c r="E334" s="344" t="str">
        <f>VLOOKUP( T_Aop[[#This Row],[Id]], T_Aop[], ID_Jezik +10, 1)</f>
        <v>6</v>
      </c>
      <c r="F334" s="339" t="str">
        <f>REPT( "  ", T_Aop[[#This Row],[Aop nivo]]) &amp; VLOOKUP( T_Aop[[#This Row],[Id]], T_Aop[], ID_Jezik + 6, 1)</f>
        <v xml:space="preserve">    Ostali prilivi iz aktivnosti finansiranja </v>
      </c>
      <c r="G334" s="312" t="s">
        <v>1384</v>
      </c>
      <c r="H334" s="311" t="s">
        <v>1346</v>
      </c>
      <c r="I334" s="312" t="s">
        <v>1696</v>
      </c>
      <c r="J334" s="379" t="s">
        <v>2414</v>
      </c>
      <c r="K334" s="313" t="s">
        <v>335</v>
      </c>
      <c r="L334" s="313">
        <v>6</v>
      </c>
      <c r="M334" s="313" t="s">
        <v>335</v>
      </c>
      <c r="N334" s="343" t="s">
        <v>707</v>
      </c>
      <c r="O334" s="344"/>
      <c r="P334" s="344"/>
    </row>
    <row r="335" spans="1:16" s="356" customFormat="1" ht="12.75" customHeight="1" x14ac:dyDescent="0.3">
      <c r="A335" s="339">
        <f t="shared" si="5"/>
        <v>334</v>
      </c>
      <c r="B335" s="339" t="s">
        <v>133</v>
      </c>
      <c r="C335" s="339">
        <v>2</v>
      </c>
      <c r="D335" s="339">
        <v>551</v>
      </c>
      <c r="E335" s="344" t="str">
        <f>VLOOKUP( T_Aop[[#This Row],[Id]], T_Aop[], ID_Jezik +10, 1)</f>
        <v>II</v>
      </c>
      <c r="F335" s="339" t="str">
        <f>REPT( "  ", T_Aop[[#This Row],[Aop nivo]]) &amp; VLOOKUP( T_Aop[[#This Row],[Id]], T_Aop[], ID_Jezik + 6, 1)</f>
        <v xml:space="preserve">    Odlivi gotovine iz aktivnosti finansiranja (552 do 558)</v>
      </c>
      <c r="G335" s="312" t="s">
        <v>1385</v>
      </c>
      <c r="H335" s="311" t="s">
        <v>1347</v>
      </c>
      <c r="I335" s="312" t="s">
        <v>1697</v>
      </c>
      <c r="J335" s="379" t="s">
        <v>2415</v>
      </c>
      <c r="K335" s="313" t="s">
        <v>1404</v>
      </c>
      <c r="L335" s="313" t="s">
        <v>1404</v>
      </c>
      <c r="M335" s="313" t="s">
        <v>1404</v>
      </c>
      <c r="N335" s="343" t="s">
        <v>1404</v>
      </c>
      <c r="O335" s="344"/>
      <c r="P335" s="344"/>
    </row>
    <row r="336" spans="1:16" s="356" customFormat="1" ht="12.75" customHeight="1" x14ac:dyDescent="0.3">
      <c r="A336" s="339">
        <f t="shared" si="5"/>
        <v>335</v>
      </c>
      <c r="B336" s="339" t="s">
        <v>133</v>
      </c>
      <c r="C336" s="339">
        <v>2</v>
      </c>
      <c r="D336" s="339">
        <v>552</v>
      </c>
      <c r="E336" s="344" t="str">
        <f>VLOOKUP( T_Aop[[#This Row],[Id]], T_Aop[], ID_Jezik +10, 1)</f>
        <v>1</v>
      </c>
      <c r="F336" s="339" t="str">
        <f>REPT( "  ", T_Aop[[#This Row],[Aop nivo]]) &amp; VLOOKUP( T_Aop[[#This Row],[Id]], T_Aop[], ID_Jezik + 6, 1)</f>
        <v xml:space="preserve">    Odlivi po osnovu otkupa sopstvenih akcija i udjela</v>
      </c>
      <c r="G336" s="312" t="s">
        <v>1386</v>
      </c>
      <c r="H336" s="311" t="s">
        <v>1348</v>
      </c>
      <c r="I336" s="312" t="s">
        <v>1698</v>
      </c>
      <c r="J336" s="379" t="s">
        <v>2416</v>
      </c>
      <c r="K336" s="313" t="s">
        <v>741</v>
      </c>
      <c r="L336" s="313">
        <v>1</v>
      </c>
      <c r="M336" s="313" t="s">
        <v>741</v>
      </c>
      <c r="N336" s="343" t="s">
        <v>702</v>
      </c>
      <c r="O336" s="344"/>
      <c r="P336" s="344"/>
    </row>
    <row r="337" spans="1:16" s="356" customFormat="1" ht="12.75" customHeight="1" x14ac:dyDescent="0.3">
      <c r="A337" s="339">
        <f t="shared" si="5"/>
        <v>336</v>
      </c>
      <c r="B337" s="339" t="s">
        <v>133</v>
      </c>
      <c r="C337" s="339">
        <v>2</v>
      </c>
      <c r="D337" s="339">
        <v>553</v>
      </c>
      <c r="E337" s="344" t="str">
        <f>VLOOKUP( T_Aop[[#This Row],[Id]], T_Aop[], ID_Jezik +10, 1)</f>
        <v>2</v>
      </c>
      <c r="F337" s="339" t="str">
        <f>REPT( "  ", T_Aop[[#This Row],[Aop nivo]]) &amp; VLOOKUP( T_Aop[[#This Row],[Id]], T_Aop[], ID_Jezik + 6, 1)</f>
        <v xml:space="preserve">    Odlivi po osnovu dugoročnih kredita </v>
      </c>
      <c r="G337" s="312" t="s">
        <v>1387</v>
      </c>
      <c r="H337" s="311" t="s">
        <v>1349</v>
      </c>
      <c r="I337" s="312" t="s">
        <v>1699</v>
      </c>
      <c r="J337" s="379" t="s">
        <v>2417</v>
      </c>
      <c r="K337" s="313" t="s">
        <v>1418</v>
      </c>
      <c r="L337" s="313">
        <v>2</v>
      </c>
      <c r="M337" s="313" t="s">
        <v>1418</v>
      </c>
      <c r="N337" s="343" t="s">
        <v>703</v>
      </c>
      <c r="O337" s="344"/>
      <c r="P337" s="344"/>
    </row>
    <row r="338" spans="1:16" s="356" customFormat="1" ht="12.75" customHeight="1" x14ac:dyDescent="0.3">
      <c r="A338" s="339">
        <f t="shared" si="5"/>
        <v>337</v>
      </c>
      <c r="B338" s="339" t="s">
        <v>133</v>
      </c>
      <c r="C338" s="339">
        <v>2</v>
      </c>
      <c r="D338" s="339">
        <v>554</v>
      </c>
      <c r="E338" s="344" t="str">
        <f>VLOOKUP( T_Aop[[#This Row],[Id]], T_Aop[], ID_Jezik +10, 1)</f>
        <v>3</v>
      </c>
      <c r="F338" s="339" t="str">
        <f>REPT( "  ", T_Aop[[#This Row],[Aop nivo]]) &amp; VLOOKUP( T_Aop[[#This Row],[Id]], T_Aop[], ID_Jezik + 6, 1)</f>
        <v xml:space="preserve">    Odlivi po osnovu kratkoročnih kredita </v>
      </c>
      <c r="G338" s="312" t="s">
        <v>1388</v>
      </c>
      <c r="H338" s="311" t="s">
        <v>1350</v>
      </c>
      <c r="I338" s="312" t="s">
        <v>1700</v>
      </c>
      <c r="J338" s="379" t="s">
        <v>2418</v>
      </c>
      <c r="K338" s="313" t="s">
        <v>304</v>
      </c>
      <c r="L338" s="313">
        <v>3</v>
      </c>
      <c r="M338" s="313" t="s">
        <v>304</v>
      </c>
      <c r="N338" s="343" t="s">
        <v>704</v>
      </c>
      <c r="O338" s="344"/>
      <c r="P338" s="344"/>
    </row>
    <row r="339" spans="1:16" s="356" customFormat="1" ht="12.75" customHeight="1" x14ac:dyDescent="0.3">
      <c r="A339" s="339">
        <f t="shared" si="5"/>
        <v>338</v>
      </c>
      <c r="B339" s="339" t="s">
        <v>133</v>
      </c>
      <c r="C339" s="339">
        <v>2</v>
      </c>
      <c r="D339" s="339">
        <v>555</v>
      </c>
      <c r="E339" s="344" t="str">
        <f>VLOOKUP( T_Aop[[#This Row],[Id]], T_Aop[], ID_Jezik +10, 1)</f>
        <v>4</v>
      </c>
      <c r="F339" s="339" t="str">
        <f>REPT( "  ", T_Aop[[#This Row],[Aop nivo]]) &amp; VLOOKUP( T_Aop[[#This Row],[Id]], T_Aop[], ID_Jezik + 6, 1)</f>
        <v xml:space="preserve">    Odlivi po osnovu lizinga </v>
      </c>
      <c r="G339" s="312" t="s">
        <v>1389</v>
      </c>
      <c r="H339" s="311" t="s">
        <v>1351</v>
      </c>
      <c r="I339" s="312" t="s">
        <v>1701</v>
      </c>
      <c r="J339" s="379" t="s">
        <v>2419</v>
      </c>
      <c r="K339" s="313" t="s">
        <v>333</v>
      </c>
      <c r="L339" s="313">
        <v>4</v>
      </c>
      <c r="M339" s="313" t="s">
        <v>333</v>
      </c>
      <c r="N339" s="343" t="s">
        <v>705</v>
      </c>
      <c r="O339" s="344"/>
      <c r="P339" s="344"/>
    </row>
    <row r="340" spans="1:16" s="356" customFormat="1" ht="12.75" customHeight="1" x14ac:dyDescent="0.3">
      <c r="A340" s="339">
        <f t="shared" si="5"/>
        <v>339</v>
      </c>
      <c r="B340" s="339" t="s">
        <v>133</v>
      </c>
      <c r="C340" s="339">
        <v>2</v>
      </c>
      <c r="D340" s="339">
        <v>556</v>
      </c>
      <c r="E340" s="344" t="str">
        <f>VLOOKUP( T_Aop[[#This Row],[Id]], T_Aop[], ID_Jezik +10, 1)</f>
        <v>5</v>
      </c>
      <c r="F340" s="339" t="str">
        <f>REPT( "  ", T_Aop[[#This Row],[Aop nivo]]) &amp; VLOOKUP( T_Aop[[#This Row],[Id]], T_Aop[], ID_Jezik + 6, 1)</f>
        <v xml:space="preserve">    Odlivi po osnovu dužničkih instrumenata</v>
      </c>
      <c r="G340" s="312" t="s">
        <v>1390</v>
      </c>
      <c r="H340" s="311" t="s">
        <v>1352</v>
      </c>
      <c r="I340" s="312" t="s">
        <v>1702</v>
      </c>
      <c r="J340" s="379" t="s">
        <v>2420</v>
      </c>
      <c r="K340" s="313" t="s">
        <v>334</v>
      </c>
      <c r="L340" s="313">
        <v>5</v>
      </c>
      <c r="M340" s="313" t="s">
        <v>334</v>
      </c>
      <c r="N340" s="343" t="s">
        <v>706</v>
      </c>
      <c r="O340" s="344"/>
      <c r="P340" s="344"/>
    </row>
    <row r="341" spans="1:16" s="356" customFormat="1" ht="12.75" customHeight="1" x14ac:dyDescent="0.3">
      <c r="A341" s="339">
        <f t="shared" si="5"/>
        <v>340</v>
      </c>
      <c r="B341" s="339" t="s">
        <v>133</v>
      </c>
      <c r="C341" s="339">
        <v>2</v>
      </c>
      <c r="D341" s="339">
        <v>557</v>
      </c>
      <c r="E341" s="344" t="str">
        <f>VLOOKUP( T_Aop[[#This Row],[Id]], T_Aop[], ID_Jezik +10, 1)</f>
        <v>6</v>
      </c>
      <c r="F341" s="339" t="str">
        <f>REPT( "  ", T_Aop[[#This Row],[Aop nivo]]) &amp; VLOOKUP( T_Aop[[#This Row],[Id]], T_Aop[], ID_Jezik + 6, 1)</f>
        <v xml:space="preserve">    Odlivi po osnovu isplaćenih dividendi</v>
      </c>
      <c r="G341" s="312" t="s">
        <v>1391</v>
      </c>
      <c r="H341" s="311" t="s">
        <v>1353</v>
      </c>
      <c r="I341" s="312" t="s">
        <v>1703</v>
      </c>
      <c r="J341" s="379" t="s">
        <v>2421</v>
      </c>
      <c r="K341" s="313" t="s">
        <v>335</v>
      </c>
      <c r="L341" s="313">
        <v>6</v>
      </c>
      <c r="M341" s="313" t="s">
        <v>335</v>
      </c>
      <c r="N341" s="343" t="s">
        <v>707</v>
      </c>
      <c r="O341" s="344"/>
      <c r="P341" s="344"/>
    </row>
    <row r="342" spans="1:16" s="356" customFormat="1" ht="12.75" customHeight="1" x14ac:dyDescent="0.3">
      <c r="A342" s="339">
        <f t="shared" si="5"/>
        <v>341</v>
      </c>
      <c r="B342" s="339" t="s">
        <v>133</v>
      </c>
      <c r="C342" s="339">
        <v>2</v>
      </c>
      <c r="D342" s="339">
        <v>558</v>
      </c>
      <c r="E342" s="344" t="str">
        <f>VLOOKUP( T_Aop[[#This Row],[Id]], T_Aop[], ID_Jezik +10, 1)</f>
        <v>7</v>
      </c>
      <c r="F342" s="339" t="str">
        <f>REPT( "  ", T_Aop[[#This Row],[Aop nivo]]) &amp; VLOOKUP( T_Aop[[#This Row],[Id]], T_Aop[], ID_Jezik + 6, 1)</f>
        <v xml:space="preserve">    Ostali odlivi iz aktivnosti finansiranja</v>
      </c>
      <c r="G342" s="312" t="s">
        <v>1392</v>
      </c>
      <c r="H342" s="311" t="s">
        <v>1354</v>
      </c>
      <c r="I342" s="312" t="s">
        <v>1704</v>
      </c>
      <c r="J342" s="379" t="s">
        <v>2422</v>
      </c>
      <c r="K342" s="313" t="s">
        <v>336</v>
      </c>
      <c r="L342" s="313">
        <v>7</v>
      </c>
      <c r="M342" s="313" t="s">
        <v>336</v>
      </c>
      <c r="N342" s="343" t="s">
        <v>708</v>
      </c>
      <c r="O342" s="344"/>
      <c r="P342" s="344"/>
    </row>
    <row r="343" spans="1:16" s="356" customFormat="1" ht="12.75" customHeight="1" x14ac:dyDescent="0.3">
      <c r="A343" s="339">
        <f t="shared" si="5"/>
        <v>342</v>
      </c>
      <c r="B343" s="339" t="s">
        <v>133</v>
      </c>
      <c r="C343" s="339">
        <v>1</v>
      </c>
      <c r="D343" s="339">
        <v>559</v>
      </c>
      <c r="E343" s="344" t="str">
        <f>VLOOKUP( T_Aop[[#This Row],[Id]], T_Aop[], ID_Jezik +10, 1)</f>
        <v>III</v>
      </c>
      <c r="F343" s="339" t="str">
        <f>REPT( "  ", T_Aop[[#This Row],[Aop nivo]]) &amp; VLOOKUP( T_Aop[[#This Row],[Id]], T_Aop[], ID_Jezik + 6, 1)</f>
        <v xml:space="preserve">  Neto priliv gotovine iz aktivnosti finansiranja (544 – 551)</v>
      </c>
      <c r="G343" s="312" t="s">
        <v>1393</v>
      </c>
      <c r="H343" s="311" t="s">
        <v>1355</v>
      </c>
      <c r="I343" s="312" t="s">
        <v>2710</v>
      </c>
      <c r="J343" s="379" t="s">
        <v>2423</v>
      </c>
      <c r="K343" s="313" t="s">
        <v>1405</v>
      </c>
      <c r="L343" s="313" t="s">
        <v>1405</v>
      </c>
      <c r="M343" s="313" t="s">
        <v>1405</v>
      </c>
      <c r="N343" s="343" t="s">
        <v>1405</v>
      </c>
      <c r="O343" s="344">
        <v>1</v>
      </c>
      <c r="P343" s="344"/>
    </row>
    <row r="344" spans="1:16" s="356" customFormat="1" ht="12.75" customHeight="1" x14ac:dyDescent="0.3">
      <c r="A344" s="339">
        <f t="shared" si="5"/>
        <v>343</v>
      </c>
      <c r="B344" s="339" t="s">
        <v>133</v>
      </c>
      <c r="C344" s="339">
        <v>1</v>
      </c>
      <c r="D344" s="339">
        <v>560</v>
      </c>
      <c r="E344" s="344" t="str">
        <f>VLOOKUP( T_Aop[[#This Row],[Id]], T_Aop[], ID_Jezik +10, 1)</f>
        <v>IV</v>
      </c>
      <c r="F344" s="339" t="str">
        <f>REPT( "  ", T_Aop[[#This Row],[Aop nivo]]) &amp; VLOOKUP( T_Aop[[#This Row],[Id]], T_Aop[], ID_Jezik + 6, 1)</f>
        <v xml:space="preserve">  Neto odliv gotovine iz aktivnosti finansiranja (551 – 544) </v>
      </c>
      <c r="G344" s="312" t="s">
        <v>1394</v>
      </c>
      <c r="H344" s="311" t="s">
        <v>1356</v>
      </c>
      <c r="I344" s="312" t="s">
        <v>1705</v>
      </c>
      <c r="J344" s="379" t="s">
        <v>2424</v>
      </c>
      <c r="K344" s="313" t="s">
        <v>1406</v>
      </c>
      <c r="L344" s="313" t="s">
        <v>1406</v>
      </c>
      <c r="M344" s="313" t="s">
        <v>1406</v>
      </c>
      <c r="N344" s="343" t="s">
        <v>1406</v>
      </c>
      <c r="O344" s="344">
        <v>1</v>
      </c>
      <c r="P344" s="344"/>
    </row>
    <row r="345" spans="1:16" s="356" customFormat="1" ht="12.75" customHeight="1" x14ac:dyDescent="0.3">
      <c r="A345" s="339">
        <f t="shared" si="5"/>
        <v>344</v>
      </c>
      <c r="B345" s="339" t="s">
        <v>133</v>
      </c>
      <c r="C345" s="339">
        <v>0</v>
      </c>
      <c r="D345" s="339">
        <v>561</v>
      </c>
      <c r="E345" s="344" t="str">
        <f>VLOOKUP( T_Aop[[#This Row],[Id]], T_Aop[], ID_Jezik +10, 1)</f>
        <v>G</v>
      </c>
      <c r="F345" s="365" t="str">
        <f>REPT( "  ", T_Aop[[#This Row],[Aop nivo]]) &amp; VLOOKUP( T_Aop[[#This Row],[Id]], T_Aop[], ID_Jezik + 6, 1)</f>
        <v>UKUPNI PRILIVI GOTOVINE (501 + 515 + 544)</v>
      </c>
      <c r="G345" s="477" t="s">
        <v>1395</v>
      </c>
      <c r="H345" s="311" t="s">
        <v>1357</v>
      </c>
      <c r="I345" s="312" t="s">
        <v>1706</v>
      </c>
      <c r="J345" s="379" t="s">
        <v>2425</v>
      </c>
      <c r="K345" s="313" t="s">
        <v>1423</v>
      </c>
      <c r="L345" s="313" t="s">
        <v>1409</v>
      </c>
      <c r="M345" s="313" t="s">
        <v>1423</v>
      </c>
      <c r="N345" s="343" t="s">
        <v>1409</v>
      </c>
      <c r="O345" s="344">
        <v>1</v>
      </c>
      <c r="P345" s="344"/>
    </row>
    <row r="346" spans="1:16" s="356" customFormat="1" ht="12.75" customHeight="1" x14ac:dyDescent="0.3">
      <c r="A346" s="339">
        <f t="shared" si="5"/>
        <v>345</v>
      </c>
      <c r="B346" s="339" t="s">
        <v>133</v>
      </c>
      <c r="C346" s="339">
        <v>0</v>
      </c>
      <c r="D346" s="339">
        <v>562</v>
      </c>
      <c r="E346" s="344" t="str">
        <f>VLOOKUP( T_Aop[[#This Row],[Id]], T_Aop[], ID_Jezik +10, 1)</f>
        <v>D</v>
      </c>
      <c r="F346" s="365" t="str">
        <f>REPT( "  ", T_Aop[[#This Row],[Aop nivo]]) &amp; VLOOKUP( T_Aop[[#This Row],[Id]], T_Aop[], ID_Jezik + 6, 1)</f>
        <v>UKUPNI ODLIVI GOTOVINE (506 + 531 + 551)</v>
      </c>
      <c r="G346" s="477" t="s">
        <v>1396</v>
      </c>
      <c r="H346" s="311" t="s">
        <v>1358</v>
      </c>
      <c r="I346" s="312" t="s">
        <v>1707</v>
      </c>
      <c r="J346" s="379" t="s">
        <v>2426</v>
      </c>
      <c r="K346" s="313" t="s">
        <v>1424</v>
      </c>
      <c r="L346" s="313" t="s">
        <v>1410</v>
      </c>
      <c r="M346" s="313" t="s">
        <v>1424</v>
      </c>
      <c r="N346" s="343" t="s">
        <v>1410</v>
      </c>
      <c r="O346" s="344">
        <v>1</v>
      </c>
      <c r="P346" s="344"/>
    </row>
    <row r="347" spans="1:16" s="356" customFormat="1" ht="12.75" customHeight="1" x14ac:dyDescent="0.3">
      <c r="A347" s="339">
        <f t="shared" si="5"/>
        <v>346</v>
      </c>
      <c r="B347" s="339" t="s">
        <v>133</v>
      </c>
      <c r="C347" s="339">
        <v>0</v>
      </c>
      <c r="D347" s="339">
        <v>563</v>
      </c>
      <c r="E347" s="344" t="str">
        <f>VLOOKUP( T_Aop[[#This Row],[Id]], T_Aop[], ID_Jezik +10, 1)</f>
        <v>Đ</v>
      </c>
      <c r="F347" s="365" t="str">
        <f>REPT( "  ", T_Aop[[#This Row],[Aop nivo]]) &amp; VLOOKUP( T_Aop[[#This Row],[Id]], T_Aop[], ID_Jezik + 6, 1)</f>
        <v>NETO PRILIV GOTOVINE (561 – 562)</v>
      </c>
      <c r="G347" s="477" t="s">
        <v>1397</v>
      </c>
      <c r="H347" s="311" t="s">
        <v>1359</v>
      </c>
      <c r="I347" s="312" t="s">
        <v>1708</v>
      </c>
      <c r="J347" s="379" t="s">
        <v>2427</v>
      </c>
      <c r="K347" s="313" t="s">
        <v>1425</v>
      </c>
      <c r="L347" s="313" t="s">
        <v>1411</v>
      </c>
      <c r="M347" s="313" t="s">
        <v>1425</v>
      </c>
      <c r="N347" s="343" t="s">
        <v>1411</v>
      </c>
      <c r="O347" s="344">
        <v>1</v>
      </c>
      <c r="P347" s="344"/>
    </row>
    <row r="348" spans="1:16" s="356" customFormat="1" ht="12.75" customHeight="1" x14ac:dyDescent="0.3">
      <c r="A348" s="339">
        <f t="shared" si="5"/>
        <v>347</v>
      </c>
      <c r="B348" s="339" t="s">
        <v>133</v>
      </c>
      <c r="C348" s="339">
        <v>0</v>
      </c>
      <c r="D348" s="339">
        <v>564</v>
      </c>
      <c r="E348" s="344" t="str">
        <f>VLOOKUP( T_Aop[[#This Row],[Id]], T_Aop[], ID_Jezik +10, 1)</f>
        <v>E</v>
      </c>
      <c r="F348" s="365" t="str">
        <f>REPT( "  ", T_Aop[[#This Row],[Aop nivo]]) &amp; VLOOKUP( T_Aop[[#This Row],[Id]], T_Aop[], ID_Jezik + 6, 1)</f>
        <v>NETO ODLIV GOTOVINE (562 – 561)</v>
      </c>
      <c r="G348" s="477" t="s">
        <v>1398</v>
      </c>
      <c r="H348" s="311" t="s">
        <v>1360</v>
      </c>
      <c r="I348" s="312" t="s">
        <v>1709</v>
      </c>
      <c r="J348" s="379" t="s">
        <v>2428</v>
      </c>
      <c r="K348" s="313" t="s">
        <v>1426</v>
      </c>
      <c r="L348" s="313" t="s">
        <v>1412</v>
      </c>
      <c r="M348" s="313" t="s">
        <v>1426</v>
      </c>
      <c r="N348" s="343" t="s">
        <v>1412</v>
      </c>
      <c r="O348" s="344">
        <v>1</v>
      </c>
      <c r="P348" s="344"/>
    </row>
    <row r="349" spans="1:16" s="356" customFormat="1" ht="12.75" customHeight="1" x14ac:dyDescent="0.3">
      <c r="A349" s="339">
        <f t="shared" si="5"/>
        <v>348</v>
      </c>
      <c r="B349" s="339" t="s">
        <v>133</v>
      </c>
      <c r="C349" s="339">
        <v>0</v>
      </c>
      <c r="D349" s="339">
        <v>565</v>
      </c>
      <c r="E349" s="344" t="str">
        <f>VLOOKUP( T_Aop[[#This Row],[Id]], T_Aop[], ID_Jezik +10, 1)</f>
        <v>Ž</v>
      </c>
      <c r="F349" s="365" t="str">
        <f>REPT( "  ", T_Aop[[#This Row],[Aop nivo]]) &amp; VLOOKUP( T_Aop[[#This Row],[Id]], T_Aop[], ID_Jezik + 6, 1)</f>
        <v xml:space="preserve">GOTOVINA NA POČETKU OBRAČUNSKOG PERIODA </v>
      </c>
      <c r="G349" s="477" t="s">
        <v>1399</v>
      </c>
      <c r="H349" s="311" t="s">
        <v>1361</v>
      </c>
      <c r="I349" s="312" t="s">
        <v>1710</v>
      </c>
      <c r="J349" s="379" t="s">
        <v>2429</v>
      </c>
      <c r="K349" s="313" t="s">
        <v>1427</v>
      </c>
      <c r="L349" s="313" t="s">
        <v>1413</v>
      </c>
      <c r="M349" s="313" t="s">
        <v>1427</v>
      </c>
      <c r="N349" s="343" t="s">
        <v>1413</v>
      </c>
      <c r="O349" s="344">
        <v>1</v>
      </c>
      <c r="P349" s="344"/>
    </row>
    <row r="350" spans="1:16" s="356" customFormat="1" ht="12.75" customHeight="1" x14ac:dyDescent="0.3">
      <c r="A350" s="339">
        <f t="shared" si="5"/>
        <v>349</v>
      </c>
      <c r="B350" s="339" t="s">
        <v>133</v>
      </c>
      <c r="C350" s="339">
        <v>0</v>
      </c>
      <c r="D350" s="339">
        <v>566</v>
      </c>
      <c r="E350" s="344" t="str">
        <f>VLOOKUP( T_Aop[[#This Row],[Id]], T_Aop[], ID_Jezik +10, 1)</f>
        <v>Z</v>
      </c>
      <c r="F350" s="365" t="str">
        <f>REPT( "  ", T_Aop[[#This Row],[Aop nivo]]) &amp; VLOOKUP( T_Aop[[#This Row],[Id]], T_Aop[], ID_Jezik + 6, 1)</f>
        <v>POZITIVNE KURSNE RAZLIKE PO OSNOVU PRERAČUNA GOTOVINE</v>
      </c>
      <c r="G350" s="477" t="s">
        <v>1400</v>
      </c>
      <c r="H350" s="311" t="s">
        <v>1362</v>
      </c>
      <c r="I350" s="312" t="s">
        <v>1711</v>
      </c>
      <c r="J350" s="379" t="s">
        <v>2430</v>
      </c>
      <c r="K350" s="313" t="s">
        <v>1428</v>
      </c>
      <c r="L350" s="313" t="s">
        <v>1414</v>
      </c>
      <c r="M350" s="313" t="s">
        <v>1428</v>
      </c>
      <c r="N350" s="343" t="s">
        <v>1414</v>
      </c>
      <c r="O350" s="344">
        <v>1</v>
      </c>
      <c r="P350" s="344"/>
    </row>
    <row r="351" spans="1:16" s="356" customFormat="1" ht="12.75" customHeight="1" x14ac:dyDescent="0.3">
      <c r="A351" s="339">
        <f t="shared" si="5"/>
        <v>350</v>
      </c>
      <c r="B351" s="339" t="s">
        <v>133</v>
      </c>
      <c r="C351" s="339">
        <v>0</v>
      </c>
      <c r="D351" s="339">
        <v>567</v>
      </c>
      <c r="E351" s="344" t="str">
        <f>VLOOKUP( T_Aop[[#This Row],[Id]], T_Aop[], ID_Jezik +10, 1)</f>
        <v>I</v>
      </c>
      <c r="F351" s="365" t="str">
        <f>REPT( "  ", T_Aop[[#This Row],[Aop nivo]]) &amp; VLOOKUP( T_Aop[[#This Row],[Id]], T_Aop[], ID_Jezik + 6, 1)</f>
        <v>NEGATIVNE KURSNE RAZLIKE PO OSNOVU PRERAČUNA GOTOVINE</v>
      </c>
      <c r="G351" s="477" t="s">
        <v>1401</v>
      </c>
      <c r="H351" s="311" t="s">
        <v>1363</v>
      </c>
      <c r="I351" s="312" t="s">
        <v>1712</v>
      </c>
      <c r="J351" s="379" t="s">
        <v>2431</v>
      </c>
      <c r="K351" s="313" t="s">
        <v>1429</v>
      </c>
      <c r="L351" s="313" t="s">
        <v>1415</v>
      </c>
      <c r="M351" s="313" t="s">
        <v>1429</v>
      </c>
      <c r="N351" s="343" t="s">
        <v>1415</v>
      </c>
      <c r="O351" s="344">
        <v>1</v>
      </c>
      <c r="P351" s="344"/>
    </row>
    <row r="352" spans="1:16" s="356" customFormat="1" ht="12.75" customHeight="1" x14ac:dyDescent="0.3">
      <c r="A352" s="347">
        <f t="shared" si="5"/>
        <v>351</v>
      </c>
      <c r="B352" s="347" t="s">
        <v>133</v>
      </c>
      <c r="C352" s="347">
        <v>0</v>
      </c>
      <c r="D352" s="347">
        <v>568</v>
      </c>
      <c r="E352" s="348" t="str">
        <f>VLOOKUP( T_Aop[[#This Row],[Id]], T_Aop[], ID_Jezik +10, 1)</f>
        <v>J</v>
      </c>
      <c r="F352" s="366" t="str">
        <f>REPT( "  ", T_Aop[[#This Row],[Aop nivo]]) &amp; VLOOKUP( T_Aop[[#This Row],[Id]], T_Aop[], ID_Jezik + 6, 1)</f>
        <v>GOTOVINA NA KRAJU OBRAČUNSKOG PERIODA (565 + 563 – 564 + 566 – 567)</v>
      </c>
      <c r="G352" s="478" t="s">
        <v>1402</v>
      </c>
      <c r="H352" s="349" t="s">
        <v>1364</v>
      </c>
      <c r="I352" s="312" t="s">
        <v>1713</v>
      </c>
      <c r="J352" s="379" t="s">
        <v>2432</v>
      </c>
      <c r="K352" s="350" t="s">
        <v>1430</v>
      </c>
      <c r="L352" s="350" t="s">
        <v>1416</v>
      </c>
      <c r="M352" s="350" t="s">
        <v>1430</v>
      </c>
      <c r="N352" s="343" t="s">
        <v>1416</v>
      </c>
      <c r="O352" s="348">
        <v>1</v>
      </c>
      <c r="P352" s="348"/>
    </row>
    <row r="353" spans="1:16" ht="26" x14ac:dyDescent="0.3">
      <c r="A353">
        <f t="shared" si="5"/>
        <v>352</v>
      </c>
      <c r="B353" t="s">
        <v>134</v>
      </c>
      <c r="C353">
        <v>0</v>
      </c>
      <c r="D353">
        <v>601</v>
      </c>
      <c r="E353" s="2" t="str">
        <f>VLOOKUP( T_Aop[[#This Row],[Id]], T_Aop[], ID_Jezik +10, 1)</f>
        <v>010</v>
      </c>
      <c r="F353" t="str">
        <f>REPT( "  ", T_Aop[[#This Row],[Aop nivo]]) &amp; VLOOKUP( T_Aop[[#This Row],[Id]], T_Aop[], ID_Jezik + 6, 1)</f>
        <v>Ulaganja u istraživanje i razvoj (dugovni promet bez početnog stanja)</v>
      </c>
      <c r="G353" s="288" t="s">
        <v>517</v>
      </c>
      <c r="H353" s="56" t="s">
        <v>518</v>
      </c>
      <c r="I353" s="56" t="s">
        <v>519</v>
      </c>
      <c r="J353" s="382" t="s">
        <v>2588</v>
      </c>
      <c r="K353" s="292" t="s">
        <v>721</v>
      </c>
      <c r="L353" s="292" t="s">
        <v>721</v>
      </c>
      <c r="M353" s="292" t="s">
        <v>721</v>
      </c>
      <c r="N353" s="331">
        <v>10</v>
      </c>
      <c r="O353" s="10"/>
      <c r="P353" s="10"/>
    </row>
    <row r="354" spans="1:16" ht="14.65" customHeight="1" x14ac:dyDescent="0.3">
      <c r="A354">
        <f t="shared" si="5"/>
        <v>353</v>
      </c>
      <c r="B354" t="s">
        <v>134</v>
      </c>
      <c r="C354">
        <v>0</v>
      </c>
      <c r="D354">
        <v>602</v>
      </c>
      <c r="E354" s="2" t="str">
        <f>VLOOKUP( T_Aop[[#This Row],[Id]], T_Aop[], ID_Jezik +10, 1)</f>
        <v>201, dio 200</v>
      </c>
      <c r="F354" t="str">
        <f>REPT( "  ", T_Aop[[#This Row],[Aop nivo]]) &amp; VLOOKUP( T_Aop[[#This Row],[Id]], T_Aop[], ID_Jezik + 6, 1)</f>
        <v>Kupci iz Republike Srpske i kupci - povezana pravna lica iz RS (dugovni promet bez početnog stanja)</v>
      </c>
      <c r="G354" s="288" t="s">
        <v>520</v>
      </c>
      <c r="H354" s="56" t="s">
        <v>521</v>
      </c>
      <c r="I354" s="56" t="s">
        <v>522</v>
      </c>
      <c r="J354" s="383" t="s">
        <v>2589</v>
      </c>
      <c r="K354" s="292" t="s">
        <v>657</v>
      </c>
      <c r="L354" s="302" t="s">
        <v>658</v>
      </c>
      <c r="M354" s="292" t="s">
        <v>659</v>
      </c>
      <c r="N354" s="332" t="s">
        <v>2631</v>
      </c>
      <c r="O354" s="10"/>
      <c r="P354" s="10">
        <v>1</v>
      </c>
    </row>
    <row r="355" spans="1:16" ht="14.65" customHeight="1" x14ac:dyDescent="0.3">
      <c r="A355">
        <f t="shared" si="5"/>
        <v>354</v>
      </c>
      <c r="B355" t="s">
        <v>134</v>
      </c>
      <c r="C355">
        <v>0</v>
      </c>
      <c r="D355">
        <v>603</v>
      </c>
      <c r="E355" s="2" t="str">
        <f>VLOOKUP( T_Aop[[#This Row],[Id]], T_Aop[], ID_Jezik +10, 1)</f>
        <v>202, dio 200</v>
      </c>
      <c r="F355" t="str">
        <f>REPT( "  ", T_Aop[[#This Row],[Aop nivo]]) &amp; VLOOKUP( T_Aop[[#This Row],[Id]], T_Aop[], ID_Jezik + 6, 1)</f>
        <v>Kupci iz Federacije BiH i kupci - povezana pravna lica iz FBiH (dugovni promet bez početnog stanja)</v>
      </c>
      <c r="G355" s="288" t="s">
        <v>523</v>
      </c>
      <c r="H355" s="56" t="s">
        <v>524</v>
      </c>
      <c r="I355" s="56" t="s">
        <v>525</v>
      </c>
      <c r="J355" s="382" t="s">
        <v>2590</v>
      </c>
      <c r="K355" s="292" t="s">
        <v>660</v>
      </c>
      <c r="L355" s="302" t="s">
        <v>661</v>
      </c>
      <c r="M355" s="292" t="s">
        <v>662</v>
      </c>
      <c r="N355" s="66" t="s">
        <v>2632</v>
      </c>
      <c r="O355" s="10"/>
      <c r="P355" s="10">
        <v>1</v>
      </c>
    </row>
    <row r="356" spans="1:16" ht="14.65" customHeight="1" x14ac:dyDescent="0.3">
      <c r="A356">
        <f t="shared" si="5"/>
        <v>355</v>
      </c>
      <c r="B356" t="s">
        <v>134</v>
      </c>
      <c r="C356">
        <v>0</v>
      </c>
      <c r="D356">
        <v>604</v>
      </c>
      <c r="E356" s="2" t="str">
        <f>VLOOKUP( T_Aop[[#This Row],[Id]], T_Aop[], ID_Jezik +10, 1)</f>
        <v>203, dio 200</v>
      </c>
      <c r="F356" t="str">
        <f>REPT( "  ", T_Aop[[#This Row],[Aop nivo]]) &amp; VLOOKUP( T_Aop[[#This Row],[Id]], T_Aop[], ID_Jezik + 6, 1)</f>
        <v>Kupci iz Brčko Distrikta BiH i kupci - povezana pravna lica iz BD (dugovni promet bez početnog stanja)</v>
      </c>
      <c r="G356" s="288" t="s">
        <v>526</v>
      </c>
      <c r="H356" s="56" t="s">
        <v>527</v>
      </c>
      <c r="I356" s="56" t="s">
        <v>528</v>
      </c>
      <c r="J356" s="383" t="s">
        <v>2591</v>
      </c>
      <c r="K356" s="292" t="s">
        <v>663</v>
      </c>
      <c r="L356" s="292" t="s">
        <v>664</v>
      </c>
      <c r="M356" s="292" t="s">
        <v>665</v>
      </c>
      <c r="N356" s="332" t="s">
        <v>2633</v>
      </c>
      <c r="O356" s="10"/>
      <c r="P356" s="10">
        <v>1</v>
      </c>
    </row>
    <row r="357" spans="1:16" ht="14.65" customHeight="1" x14ac:dyDescent="0.3">
      <c r="A357">
        <f t="shared" si="5"/>
        <v>356</v>
      </c>
      <c r="B357" t="s">
        <v>134</v>
      </c>
      <c r="C357">
        <v>0</v>
      </c>
      <c r="D357">
        <v>605</v>
      </c>
      <c r="E357" s="2" t="str">
        <f>VLOOKUP( T_Aop[[#This Row],[Id]], T_Aop[], ID_Jezik +10, 1)</f>
        <v>432, dio 431</v>
      </c>
      <c r="F357" t="str">
        <f>REPT( "  ", T_Aop[[#This Row],[Aop nivo]]) &amp; VLOOKUP( T_Aop[[#This Row],[Id]], T_Aop[], ID_Jezik + 6, 1)</f>
        <v>Dobavljači iz Republike Srpske i dobavljači - povezana pravna lica iz RS (potražni promet bez početnog stanja)</v>
      </c>
      <c r="G357" s="288" t="s">
        <v>529</v>
      </c>
      <c r="H357" s="56" t="s">
        <v>530</v>
      </c>
      <c r="I357" s="56" t="s">
        <v>531</v>
      </c>
      <c r="J357" s="382" t="s">
        <v>2592</v>
      </c>
      <c r="K357" s="292" t="s">
        <v>666</v>
      </c>
      <c r="L357" s="292" t="s">
        <v>667</v>
      </c>
      <c r="M357" s="292" t="s">
        <v>668</v>
      </c>
      <c r="N357" s="66" t="s">
        <v>2634</v>
      </c>
      <c r="O357" s="10"/>
      <c r="P357" s="10">
        <v>1</v>
      </c>
    </row>
    <row r="358" spans="1:16" ht="14.65" customHeight="1" x14ac:dyDescent="0.3">
      <c r="A358">
        <f t="shared" si="5"/>
        <v>357</v>
      </c>
      <c r="B358" t="s">
        <v>134</v>
      </c>
      <c r="C358">
        <v>0</v>
      </c>
      <c r="D358" s="2">
        <v>606</v>
      </c>
      <c r="E358" s="2" t="str">
        <f>VLOOKUP( T_Aop[[#This Row],[Id]], T_Aop[], ID_Jezik +10, 1)</f>
        <v>433, dio 431</v>
      </c>
      <c r="F358" t="str">
        <f>REPT( "  ", T_Aop[[#This Row],[Aop nivo]]) &amp; VLOOKUP( T_Aop[[#This Row],[Id]], T_Aop[], ID_Jezik + 6, 1)</f>
        <v>Dobavljači iz Federacije BiH i dobavljači - povezana pravna lica iz FBiH (potražni promet bez početnog stanja)</v>
      </c>
      <c r="G358" s="288" t="s">
        <v>532</v>
      </c>
      <c r="H358" s="56" t="s">
        <v>533</v>
      </c>
      <c r="I358" s="56" t="s">
        <v>534</v>
      </c>
      <c r="J358" s="382" t="s">
        <v>2593</v>
      </c>
      <c r="K358" s="292" t="s">
        <v>669</v>
      </c>
      <c r="L358" s="302" t="s">
        <v>670</v>
      </c>
      <c r="M358" s="292" t="s">
        <v>671</v>
      </c>
      <c r="N358" s="332" t="s">
        <v>2635</v>
      </c>
      <c r="O358" s="10"/>
      <c r="P358" s="10">
        <v>1</v>
      </c>
    </row>
    <row r="359" spans="1:16" ht="14.65" customHeight="1" x14ac:dyDescent="0.3">
      <c r="A359">
        <f t="shared" si="5"/>
        <v>358</v>
      </c>
      <c r="B359" t="s">
        <v>134</v>
      </c>
      <c r="C359">
        <v>0</v>
      </c>
      <c r="D359" s="2">
        <v>607</v>
      </c>
      <c r="E359" s="2" t="str">
        <f>VLOOKUP( T_Aop[[#This Row],[Id]], T_Aop[], ID_Jezik +10, 1)</f>
        <v>434, dio 431</v>
      </c>
      <c r="F359" t="str">
        <f>REPT( "  ", T_Aop[[#This Row],[Aop nivo]]) &amp; VLOOKUP( T_Aop[[#This Row],[Id]], T_Aop[], ID_Jezik + 6, 1)</f>
        <v>Dobavljači iz Brčko Distrikta BiH i dobavljači - povezana pravna lica iz DB (potražni promet bez početnog stanja)</v>
      </c>
      <c r="G359" s="288" t="s">
        <v>535</v>
      </c>
      <c r="H359" s="56" t="s">
        <v>536</v>
      </c>
      <c r="I359" s="56" t="s">
        <v>537</v>
      </c>
      <c r="J359" s="382" t="s">
        <v>2594</v>
      </c>
      <c r="K359" s="292" t="s">
        <v>672</v>
      </c>
      <c r="L359" s="302" t="s">
        <v>673</v>
      </c>
      <c r="M359" s="292" t="s">
        <v>674</v>
      </c>
      <c r="N359" s="66" t="s">
        <v>2636</v>
      </c>
      <c r="O359" s="10"/>
      <c r="P359" s="10">
        <v>1</v>
      </c>
    </row>
    <row r="360" spans="1:16" ht="14.65" customHeight="1" x14ac:dyDescent="0.3">
      <c r="A360">
        <f t="shared" si="5"/>
        <v>359</v>
      </c>
      <c r="B360" t="s">
        <v>134</v>
      </c>
      <c r="C360">
        <v>0</v>
      </c>
      <c r="D360" s="561">
        <v>608</v>
      </c>
      <c r="E360" s="2" t="str">
        <f>VLOOKUP( T_Aop[[#This Row],[Id]], T_Aop[], ID_Jezik +10, 1)</f>
        <v>601, dio 600, dio 605</v>
      </c>
      <c r="F360" t="str">
        <f>REPT( "  ", T_Aop[[#This Row],[Aop nivo]]) &amp; VLOOKUP( T_Aop[[#This Row],[Id]], T_Aop[], ID_Jezik + 6, 1)</f>
        <v>Prihodi od prodaje robe u Republici Srpskoj i prihodi od prodaje robe povezanim pravnim licima u RS</v>
      </c>
      <c r="G360" s="288" t="s">
        <v>538</v>
      </c>
      <c r="H360" s="56" t="s">
        <v>539</v>
      </c>
      <c r="I360" s="56" t="s">
        <v>540</v>
      </c>
      <c r="J360" s="383" t="s">
        <v>2595</v>
      </c>
      <c r="K360" s="537" t="s">
        <v>2928</v>
      </c>
      <c r="L360" s="538" t="s">
        <v>2925</v>
      </c>
      <c r="M360" s="537" t="s">
        <v>2926</v>
      </c>
      <c r="N360" s="539" t="s">
        <v>2934</v>
      </c>
      <c r="O360" s="10"/>
      <c r="P360" s="10">
        <v>1</v>
      </c>
    </row>
    <row r="361" spans="1:16" ht="14.65" customHeight="1" x14ac:dyDescent="0.3">
      <c r="A361">
        <f t="shared" si="5"/>
        <v>360</v>
      </c>
      <c r="B361" t="s">
        <v>134</v>
      </c>
      <c r="C361">
        <v>0</v>
      </c>
      <c r="D361" s="561">
        <v>609</v>
      </c>
      <c r="E361" s="2" t="str">
        <f>VLOOKUP( T_Aop[[#This Row],[Id]], T_Aop[], ID_Jezik +10, 1)</f>
        <v>602, dio 600, dio 605</v>
      </c>
      <c r="F361" t="str">
        <f>REPT( "  ", T_Aop[[#This Row],[Aop nivo]]) &amp; VLOOKUP( T_Aop[[#This Row],[Id]], T_Aop[], ID_Jezik + 6, 1)</f>
        <v>Prihodi od prodaje robe u Federaciji BiH i prihodi od prodaje robe povezanim pravnim licima u FBiH</v>
      </c>
      <c r="G361" s="288" t="s">
        <v>541</v>
      </c>
      <c r="H361" s="56" t="s">
        <v>542</v>
      </c>
      <c r="I361" s="56" t="s">
        <v>543</v>
      </c>
      <c r="J361" s="384" t="s">
        <v>2596</v>
      </c>
      <c r="K361" s="537" t="s">
        <v>2929</v>
      </c>
      <c r="L361" s="538" t="s">
        <v>2930</v>
      </c>
      <c r="M361" s="537" t="s">
        <v>2932</v>
      </c>
      <c r="N361" s="539" t="s">
        <v>2935</v>
      </c>
      <c r="O361" s="10"/>
      <c r="P361" s="10">
        <v>1</v>
      </c>
    </row>
    <row r="362" spans="1:16" ht="14.65" customHeight="1" x14ac:dyDescent="0.3">
      <c r="A362">
        <f t="shared" si="5"/>
        <v>361</v>
      </c>
      <c r="B362" t="s">
        <v>134</v>
      </c>
      <c r="C362">
        <v>0</v>
      </c>
      <c r="D362" s="561">
        <v>610</v>
      </c>
      <c r="E362" s="2" t="str">
        <f>VLOOKUP( T_Aop[[#This Row],[Id]], T_Aop[], ID_Jezik +10, 1)</f>
        <v>603, dio 600, dio 605</v>
      </c>
      <c r="F362" t="str">
        <f>REPT( "  ", T_Aop[[#This Row],[Aop nivo]]) &amp; VLOOKUP( T_Aop[[#This Row],[Id]], T_Aop[], ID_Jezik + 6, 1)</f>
        <v>Prihodi od prodaje robe u Brčko Distriktu BiH i prihodi od prodaje robe povezanim pravnim licima u BD</v>
      </c>
      <c r="G362" s="288" t="s">
        <v>544</v>
      </c>
      <c r="H362" s="56" t="s">
        <v>545</v>
      </c>
      <c r="I362" s="56" t="s">
        <v>546</v>
      </c>
      <c r="J362" s="383" t="s">
        <v>2597</v>
      </c>
      <c r="K362" s="537" t="s">
        <v>2927</v>
      </c>
      <c r="L362" s="538" t="s">
        <v>2931</v>
      </c>
      <c r="M362" s="537" t="s">
        <v>2933</v>
      </c>
      <c r="N362" s="539" t="s">
        <v>2936</v>
      </c>
      <c r="O362" s="10"/>
      <c r="P362" s="10">
        <v>1</v>
      </c>
    </row>
    <row r="363" spans="1:16" ht="14.65" customHeight="1" x14ac:dyDescent="0.3">
      <c r="A363">
        <f t="shared" si="5"/>
        <v>362</v>
      </c>
      <c r="B363" t="s">
        <v>134</v>
      </c>
      <c r="C363">
        <v>0</v>
      </c>
      <c r="D363" s="561">
        <v>611</v>
      </c>
      <c r="E363" s="2" t="str">
        <f>VLOOKUP( T_Aop[[#This Row],[Id]], T_Aop[], ID_Jezik +10, 1)</f>
        <v>611, dio 610, dio 615</v>
      </c>
      <c r="F363" t="str">
        <f>REPT( "  ", T_Aop[[#This Row],[Aop nivo]]) &amp; VLOOKUP( T_Aop[[#This Row],[Id]], T_Aop[], ID_Jezik + 6, 1)</f>
        <v>Prihodi od prodaje proizvoda u Republici Srpskoj i prihodi od prodaje proizvoda povezanim pravnim licima u Republici Srpskoj</v>
      </c>
      <c r="G363" s="540" t="s">
        <v>2937</v>
      </c>
      <c r="H363" s="301" t="s">
        <v>2990</v>
      </c>
      <c r="I363" s="555" t="s">
        <v>2996</v>
      </c>
      <c r="J363" s="383" t="s">
        <v>2598</v>
      </c>
      <c r="K363" s="537" t="s">
        <v>2938</v>
      </c>
      <c r="L363" s="538" t="s">
        <v>2941</v>
      </c>
      <c r="M363" s="537" t="s">
        <v>2946</v>
      </c>
      <c r="N363" s="539" t="s">
        <v>2947</v>
      </c>
      <c r="O363" s="10"/>
      <c r="P363" s="10"/>
    </row>
    <row r="364" spans="1:16" ht="14.65" customHeight="1" x14ac:dyDescent="0.3">
      <c r="A364">
        <f t="shared" si="5"/>
        <v>363</v>
      </c>
      <c r="B364" t="s">
        <v>134</v>
      </c>
      <c r="C364">
        <v>0</v>
      </c>
      <c r="D364" s="561">
        <v>612</v>
      </c>
      <c r="E364" s="2" t="str">
        <f>VLOOKUP( T_Aop[[#This Row],[Id]], T_Aop[], ID_Jezik +10, 1)</f>
        <v>612, dio 610, dio 615</v>
      </c>
      <c r="F364" t="str">
        <f>REPT( "  ", T_Aop[[#This Row],[Aop nivo]]) &amp; VLOOKUP( T_Aop[[#This Row],[Id]], T_Aop[], ID_Jezik + 6, 1)</f>
        <v>Prihodi od prodaje proizvoda u Federaciji BiH i prihodi od prodaje proizvoda povezanim pravnim licima u Federaciji BiH</v>
      </c>
      <c r="G364" s="540" t="s">
        <v>2950</v>
      </c>
      <c r="H364" s="301" t="s">
        <v>2989</v>
      </c>
      <c r="I364" s="555" t="s">
        <v>2997</v>
      </c>
      <c r="J364" s="383" t="s">
        <v>2599</v>
      </c>
      <c r="K364" s="537" t="s">
        <v>2939</v>
      </c>
      <c r="L364" s="538" t="s">
        <v>2942</v>
      </c>
      <c r="M364" s="537" t="s">
        <v>2944</v>
      </c>
      <c r="N364" s="539" t="s">
        <v>2948</v>
      </c>
      <c r="O364" s="10"/>
      <c r="P364" s="10"/>
    </row>
    <row r="365" spans="1:16" ht="14.65" customHeight="1" x14ac:dyDescent="0.3">
      <c r="A365">
        <f t="shared" si="5"/>
        <v>364</v>
      </c>
      <c r="B365" t="s">
        <v>134</v>
      </c>
      <c r="C365">
        <v>0</v>
      </c>
      <c r="D365" s="561">
        <v>613</v>
      </c>
      <c r="E365" s="2" t="str">
        <f>VLOOKUP( T_Aop[[#This Row],[Id]], T_Aop[], ID_Jezik +10, 1)</f>
        <v>613, dio 610, dio 615</v>
      </c>
      <c r="F365" t="str">
        <f>REPT( "  ", T_Aop[[#This Row],[Aop nivo]]) &amp; VLOOKUP( T_Aop[[#This Row],[Id]], T_Aop[], ID_Jezik + 6, 1)</f>
        <v>Prihodi od prodaje proizvoda u Brčko Distriktu BiH i prihodi od prodaje učinaka povezanim pravnim licima u Brčko Distriktu BiH</v>
      </c>
      <c r="G365" s="540" t="s">
        <v>2951</v>
      </c>
      <c r="H365" s="301" t="s">
        <v>2991</v>
      </c>
      <c r="I365" s="555" t="s">
        <v>2998</v>
      </c>
      <c r="J365" s="382" t="s">
        <v>2600</v>
      </c>
      <c r="K365" s="537" t="s">
        <v>2940</v>
      </c>
      <c r="L365" s="538" t="s">
        <v>2943</v>
      </c>
      <c r="M365" s="537" t="s">
        <v>2945</v>
      </c>
      <c r="N365" s="539" t="s">
        <v>2949</v>
      </c>
      <c r="O365" s="10"/>
      <c r="P365" s="10">
        <v>1</v>
      </c>
    </row>
    <row r="366" spans="1:16" ht="14.65" customHeight="1" x14ac:dyDescent="0.3">
      <c r="A366">
        <f t="shared" si="5"/>
        <v>365</v>
      </c>
      <c r="B366" t="s">
        <v>134</v>
      </c>
      <c r="C366">
        <v>0</v>
      </c>
      <c r="D366" s="561">
        <v>614</v>
      </c>
      <c r="E366" s="2" t="str">
        <f>VLOOKUP( T_Aop[[#This Row],[Id]], T_Aop[], ID_Jezik +10, 1)</f>
        <v>621, dio 620, dio 625</v>
      </c>
      <c r="F366" t="str">
        <f>REPT( "  ", T_Aop[[#This Row],[Aop nivo]]) &amp; VLOOKUP( T_Aop[[#This Row],[Id]], T_Aop[], ID_Jezik + 6, 1)</f>
        <v xml:space="preserve">Prihodi od pruženih usluga u Republici Srpskoj i prihodi od pruženih usluga povezanim pravnim licima u Republici Srpskoj  </v>
      </c>
      <c r="G366" s="540" t="s">
        <v>2995</v>
      </c>
      <c r="H366" s="301" t="s">
        <v>2994</v>
      </c>
      <c r="I366" s="555" t="s">
        <v>2999</v>
      </c>
      <c r="J366" s="383" t="s">
        <v>2601</v>
      </c>
      <c r="K366" s="537" t="s">
        <v>2954</v>
      </c>
      <c r="L366" s="537" t="s">
        <v>2957</v>
      </c>
      <c r="M366" s="537" t="s">
        <v>2960</v>
      </c>
      <c r="N366" s="539" t="s">
        <v>2963</v>
      </c>
      <c r="O366" s="10"/>
      <c r="P366" s="10" t="s">
        <v>741</v>
      </c>
    </row>
    <row r="367" spans="1:16" ht="16.5" customHeight="1" x14ac:dyDescent="0.3">
      <c r="A367">
        <f t="shared" si="5"/>
        <v>366</v>
      </c>
      <c r="B367" t="s">
        <v>134</v>
      </c>
      <c r="C367">
        <v>0</v>
      </c>
      <c r="D367" s="561">
        <v>615</v>
      </c>
      <c r="E367" s="2" t="str">
        <f>VLOOKUP( T_Aop[[#This Row],[Id]], T_Aop[], ID_Jezik +10, 1)</f>
        <v>622, dio 620, dio 625</v>
      </c>
      <c r="F367" t="str">
        <f>REPT( "  ", T_Aop[[#This Row],[Aop nivo]]) &amp; VLOOKUP( T_Aop[[#This Row],[Id]], T_Aop[], ID_Jezik + 6, 1)</f>
        <v>Prihodi od pruženih usluga u Federaciji BiH i prihodi od pruženih usluga povezanim pravnim licima u Federaciji BiH</v>
      </c>
      <c r="G367" s="540" t="s">
        <v>2952</v>
      </c>
      <c r="H367" s="301" t="s">
        <v>2992</v>
      </c>
      <c r="I367" s="555" t="s">
        <v>3000</v>
      </c>
      <c r="J367" s="382" t="s">
        <v>2602</v>
      </c>
      <c r="K367" s="537" t="s">
        <v>2955</v>
      </c>
      <c r="L367" s="537" t="s">
        <v>2958</v>
      </c>
      <c r="M367" s="537" t="s">
        <v>2961</v>
      </c>
      <c r="N367" s="539" t="s">
        <v>2964</v>
      </c>
      <c r="O367" s="10"/>
      <c r="P367" s="10" t="s">
        <v>741</v>
      </c>
    </row>
    <row r="368" spans="1:16" ht="26" x14ac:dyDescent="0.3">
      <c r="A368">
        <f t="shared" si="5"/>
        <v>367</v>
      </c>
      <c r="B368" t="s">
        <v>134</v>
      </c>
      <c r="C368">
        <v>0</v>
      </c>
      <c r="D368" s="561">
        <v>616</v>
      </c>
      <c r="E368" s="2" t="str">
        <f>VLOOKUP( T_Aop[[#This Row],[Id]], T_Aop[], ID_Jezik +10, 1)</f>
        <v>623, dio 620, dio 625</v>
      </c>
      <c r="F368" t="str">
        <f>REPT( "  ", T_Aop[[#This Row],[Aop nivo]]) &amp; VLOOKUP( T_Aop[[#This Row],[Id]], T_Aop[], ID_Jezik + 6, 1)</f>
        <v>Prihodi od pruženih usluga u Brčko Distriktu BiH i prihodi od pruženih usluga povezanim pravnim licima u Brčko Distriktu BiH</v>
      </c>
      <c r="G368" s="540" t="s">
        <v>2953</v>
      </c>
      <c r="H368" s="301" t="s">
        <v>2993</v>
      </c>
      <c r="I368" s="555" t="s">
        <v>3001</v>
      </c>
      <c r="J368" s="383" t="s">
        <v>2603</v>
      </c>
      <c r="K368" s="537" t="s">
        <v>2956</v>
      </c>
      <c r="L368" s="537" t="s">
        <v>2959</v>
      </c>
      <c r="M368" s="537" t="s">
        <v>2962</v>
      </c>
      <c r="N368" s="539" t="s">
        <v>2965</v>
      </c>
      <c r="O368" s="10"/>
      <c r="P368" s="10"/>
    </row>
    <row r="369" spans="1:16" ht="26" x14ac:dyDescent="0.3">
      <c r="A369">
        <f t="shared" si="5"/>
        <v>368</v>
      </c>
      <c r="B369" t="s">
        <v>134</v>
      </c>
      <c r="C369">
        <v>0</v>
      </c>
      <c r="D369" s="561">
        <v>617</v>
      </c>
      <c r="E369" s="2">
        <f>VLOOKUP( T_Aop[[#This Row],[Id]], T_Aop[], ID_Jezik +10, 1)</f>
        <v>65</v>
      </c>
      <c r="F369" t="str">
        <f>REPT( "  ", T_Aop[[#This Row],[Aop nivo]]) &amp; VLOOKUP( T_Aop[[#This Row],[Id]], T_Aop[], ID_Jezik + 6, 1)</f>
        <v>OSTALI POSLOVNI PRIHODI (618 + 621 + 622 + 623 + 624 + 625 + 626 + 627 + 628)</v>
      </c>
      <c r="G369" s="551" t="s">
        <v>2966</v>
      </c>
      <c r="H369" s="552" t="s">
        <v>2968</v>
      </c>
      <c r="I369" s="552" t="s">
        <v>2967</v>
      </c>
      <c r="J369" s="541" t="s">
        <v>2969</v>
      </c>
      <c r="K369" s="292">
        <v>65</v>
      </c>
      <c r="L369" s="302">
        <v>65</v>
      </c>
      <c r="M369" s="292">
        <v>65</v>
      </c>
      <c r="N369" s="334">
        <v>65</v>
      </c>
      <c r="O369" s="10">
        <v>1</v>
      </c>
      <c r="P369" s="10"/>
    </row>
    <row r="370" spans="1:16" ht="17.25" customHeight="1" x14ac:dyDescent="0.3">
      <c r="A370">
        <f t="shared" si="5"/>
        <v>369</v>
      </c>
      <c r="B370" t="s">
        <v>134</v>
      </c>
      <c r="C370">
        <v>1</v>
      </c>
      <c r="D370" s="2">
        <v>618</v>
      </c>
      <c r="E370" s="2">
        <f>VLOOKUP( T_Aop[[#This Row],[Id]], T_Aop[], ID_Jezik +10, 1)</f>
        <v>650</v>
      </c>
      <c r="F370" t="str">
        <f>REPT( "  ", T_Aop[[#This Row],[Aop nivo]]) &amp; VLOOKUP( T_Aop[[#This Row],[Id]], T_Aop[], ID_Jezik + 6, 1)</f>
        <v xml:space="preserve">  a) Prihodi od premija, subvencija, dotacija, regresa, podsticaja i slično</v>
      </c>
      <c r="G370" s="288" t="s">
        <v>547</v>
      </c>
      <c r="H370" s="56" t="s">
        <v>548</v>
      </c>
      <c r="I370" s="56" t="s">
        <v>363</v>
      </c>
      <c r="J370" s="383" t="s">
        <v>2604</v>
      </c>
      <c r="K370" s="292">
        <v>650</v>
      </c>
      <c r="L370" s="302">
        <v>650</v>
      </c>
      <c r="M370" s="292">
        <v>650</v>
      </c>
      <c r="N370" s="333">
        <v>650</v>
      </c>
      <c r="O370" s="10"/>
      <c r="P370" s="10"/>
    </row>
    <row r="371" spans="1:16" ht="17.25" customHeight="1" x14ac:dyDescent="0.3">
      <c r="A371">
        <f t="shared" si="5"/>
        <v>370</v>
      </c>
      <c r="B371" t="s">
        <v>134</v>
      </c>
      <c r="C371">
        <v>2</v>
      </c>
      <c r="D371" s="2">
        <v>619</v>
      </c>
      <c r="E371" s="2" t="str">
        <f>VLOOKUP( T_Aop[[#This Row],[Id]], T_Aop[], ID_Jezik +10, 1)</f>
        <v>dio 650</v>
      </c>
      <c r="F371" t="str">
        <f>REPT( "  ", T_Aop[[#This Row],[Aop nivo]]) &amp; VLOOKUP( T_Aop[[#This Row],[Id]], T_Aop[], ID_Jezik + 6, 1)</f>
        <v xml:space="preserve">    Od toga: prihodi po osnovu subvencija na proizvode1 (subvencije koje se mogu prikazati po jedinici proizvoda, npr. vozna karta, brašno, hljeb, mlijeko i dr.)</v>
      </c>
      <c r="G371" s="288" t="s">
        <v>3012</v>
      </c>
      <c r="H371" s="56" t="s">
        <v>3014</v>
      </c>
      <c r="I371" s="56" t="s">
        <v>3016</v>
      </c>
      <c r="J371" s="382" t="s">
        <v>3018</v>
      </c>
      <c r="K371" s="292" t="s">
        <v>36</v>
      </c>
      <c r="L371" s="302" t="s">
        <v>675</v>
      </c>
      <c r="M371" s="292" t="s">
        <v>357</v>
      </c>
      <c r="N371" s="66" t="s">
        <v>2637</v>
      </c>
      <c r="O371" s="10"/>
      <c r="P371" s="10">
        <v>1</v>
      </c>
    </row>
    <row r="372" spans="1:16" ht="27.5" x14ac:dyDescent="0.3">
      <c r="A372">
        <f t="shared" si="5"/>
        <v>371</v>
      </c>
      <c r="B372" t="s">
        <v>134</v>
      </c>
      <c r="C372">
        <v>2</v>
      </c>
      <c r="D372" s="2">
        <v>620</v>
      </c>
      <c r="E372" s="2" t="str">
        <f>VLOOKUP( T_Aop[[#This Row],[Id]], T_Aop[], ID_Jezik +10, 1)</f>
        <v>dio 650</v>
      </c>
      <c r="F372" t="str">
        <f>REPT( "  ", T_Aop[[#This Row],[Aop nivo]]) &amp; VLOOKUP( T_Aop[[#This Row],[Id]], T_Aop[], ID_Jezik + 6, 1)</f>
        <v xml:space="preserve">    Od toga: prihodi po osnovu subvencija na proizvodnju2 (na zapošljavanje, platu, kamatnu stopu, za smanjenje zagađenja i dr.)</v>
      </c>
      <c r="G372" s="288" t="s">
        <v>3013</v>
      </c>
      <c r="H372" s="56" t="s">
        <v>3015</v>
      </c>
      <c r="I372" s="56" t="s">
        <v>3017</v>
      </c>
      <c r="J372" s="383" t="s">
        <v>3019</v>
      </c>
      <c r="K372" s="302" t="s">
        <v>36</v>
      </c>
      <c r="L372" s="292" t="s">
        <v>675</v>
      </c>
      <c r="M372" s="292" t="s">
        <v>357</v>
      </c>
      <c r="N372" s="332" t="s">
        <v>2637</v>
      </c>
      <c r="O372" s="10"/>
      <c r="P372" s="10">
        <v>1</v>
      </c>
    </row>
    <row r="373" spans="1:16" x14ac:dyDescent="0.3">
      <c r="A373">
        <f t="shared" si="5"/>
        <v>372</v>
      </c>
      <c r="B373" t="s">
        <v>134</v>
      </c>
      <c r="C373">
        <v>1</v>
      </c>
      <c r="D373" s="2">
        <v>621</v>
      </c>
      <c r="E373" s="2">
        <f>VLOOKUP( T_Aop[[#This Row],[Id]], T_Aop[], ID_Jezik +10, 1)</f>
        <v>651</v>
      </c>
      <c r="F373" t="str">
        <f>REPT( "  ", T_Aop[[#This Row],[Aop nivo]]) &amp; VLOOKUP( T_Aop[[#This Row],[Id]], T_Aop[], ID_Jezik + 6, 1)</f>
        <v xml:space="preserve">  b) Prihod od zakupnina</v>
      </c>
      <c r="G373" s="288" t="s">
        <v>364</v>
      </c>
      <c r="H373" s="56" t="s">
        <v>549</v>
      </c>
      <c r="I373" s="56" t="s">
        <v>365</v>
      </c>
      <c r="J373" s="382" t="s">
        <v>2605</v>
      </c>
      <c r="K373" s="302">
        <v>651</v>
      </c>
      <c r="L373" s="292">
        <v>651</v>
      </c>
      <c r="M373" s="292">
        <v>651</v>
      </c>
      <c r="N373" s="66">
        <v>651</v>
      </c>
      <c r="O373" s="10"/>
      <c r="P373" s="10"/>
    </row>
    <row r="374" spans="1:16" x14ac:dyDescent="0.3">
      <c r="A374">
        <f t="shared" si="5"/>
        <v>373</v>
      </c>
      <c r="B374" t="s">
        <v>134</v>
      </c>
      <c r="C374">
        <v>1</v>
      </c>
      <c r="D374" s="2">
        <v>622</v>
      </c>
      <c r="E374" s="2">
        <f>VLOOKUP( T_Aop[[#This Row],[Id]], T_Aop[], ID_Jezik +10, 1)</f>
        <v>652</v>
      </c>
      <c r="F374" t="str">
        <f>REPT( "  ", T_Aop[[#This Row],[Aop nivo]]) &amp; VLOOKUP( T_Aop[[#This Row],[Id]], T_Aop[], ID_Jezik + 6, 1)</f>
        <v xml:space="preserve">  v) Prihod od donacija</v>
      </c>
      <c r="G374" s="288" t="s">
        <v>3066</v>
      </c>
      <c r="H374" s="56" t="s">
        <v>550</v>
      </c>
      <c r="I374" s="56" t="s">
        <v>366</v>
      </c>
      <c r="J374" s="383" t="s">
        <v>2606</v>
      </c>
      <c r="K374" s="292">
        <v>652</v>
      </c>
      <c r="L374" s="302">
        <v>652</v>
      </c>
      <c r="M374" s="302">
        <v>652</v>
      </c>
      <c r="N374" s="332">
        <v>652</v>
      </c>
      <c r="O374" s="10"/>
      <c r="P374" s="10"/>
    </row>
    <row r="375" spans="1:16" x14ac:dyDescent="0.3">
      <c r="A375">
        <f t="shared" si="5"/>
        <v>374</v>
      </c>
      <c r="B375" t="s">
        <v>134</v>
      </c>
      <c r="C375">
        <v>1</v>
      </c>
      <c r="D375" s="2">
        <v>623</v>
      </c>
      <c r="E375" s="2">
        <f>VLOOKUP( T_Aop[[#This Row],[Id]], T_Aop[], ID_Jezik +10, 1)</f>
        <v>653</v>
      </c>
      <c r="F375" t="str">
        <f>REPT( "  ", T_Aop[[#This Row],[Aop nivo]]) &amp; VLOOKUP( T_Aop[[#This Row],[Id]], T_Aop[], ID_Jezik + 6, 1)</f>
        <v xml:space="preserve">  g) Prihod od članarina</v>
      </c>
      <c r="G375" s="288" t="s">
        <v>3067</v>
      </c>
      <c r="H375" s="56" t="s">
        <v>551</v>
      </c>
      <c r="I375" s="56" t="s">
        <v>367</v>
      </c>
      <c r="J375" s="382" t="s">
        <v>2607</v>
      </c>
      <c r="K375" s="292">
        <v>653</v>
      </c>
      <c r="L375" s="302">
        <v>653</v>
      </c>
      <c r="M375" s="302">
        <v>653</v>
      </c>
      <c r="N375" s="66">
        <v>653</v>
      </c>
      <c r="O375" s="10"/>
      <c r="P375" s="10"/>
    </row>
    <row r="376" spans="1:16" x14ac:dyDescent="0.3">
      <c r="A376">
        <f t="shared" si="5"/>
        <v>375</v>
      </c>
      <c r="B376" s="78" t="s">
        <v>134</v>
      </c>
      <c r="C376">
        <v>1</v>
      </c>
      <c r="D376" s="2">
        <v>624</v>
      </c>
      <c r="E376" s="80">
        <f>VLOOKUP( T_Aop[[#This Row],[Id]], T_Aop[], ID_Jezik +10, 1)</f>
        <v>654</v>
      </c>
      <c r="F376" s="79" t="str">
        <f>REPT( "  ", T_Aop[[#This Row],[Aop nivo]]) &amp; VLOOKUP( T_Aop[[#This Row],[Id]], T_Aop[], ID_Jezik + 6, 1)</f>
        <v xml:space="preserve">  d) Prihod od tantijema i licencnih prava</v>
      </c>
      <c r="G376" s="299" t="s">
        <v>3068</v>
      </c>
      <c r="H376" s="56" t="s">
        <v>552</v>
      </c>
      <c r="I376" s="56" t="s">
        <v>368</v>
      </c>
      <c r="J376" s="383" t="s">
        <v>2608</v>
      </c>
      <c r="K376" s="300">
        <v>654</v>
      </c>
      <c r="L376" s="302">
        <v>654</v>
      </c>
      <c r="M376" s="292">
        <v>654</v>
      </c>
      <c r="N376" s="332">
        <v>654</v>
      </c>
      <c r="O376" s="10"/>
      <c r="P376" s="10"/>
    </row>
    <row r="377" spans="1:16" ht="26" x14ac:dyDescent="0.3">
      <c r="A377">
        <f t="shared" si="5"/>
        <v>376</v>
      </c>
      <c r="B377" s="78" t="s">
        <v>134</v>
      </c>
      <c r="C377">
        <v>1</v>
      </c>
      <c r="D377" s="2">
        <v>625</v>
      </c>
      <c r="E377" s="80">
        <f>VLOOKUP( T_Aop[[#This Row],[Id]], T_Aop[], ID_Jezik +10, 1)</f>
        <v>655</v>
      </c>
      <c r="F377" s="79" t="str">
        <f>REPT( "  ", T_Aop[[#This Row],[Aop nivo]]) &amp; VLOOKUP( T_Aop[[#This Row],[Id]], T_Aop[], ID_Jezik + 6, 1)</f>
        <v xml:space="preserve">  đ) Prihod iz namjenskih izvora finansiranja (iz budžeta, fondova i dr.)</v>
      </c>
      <c r="G377" s="299" t="s">
        <v>3069</v>
      </c>
      <c r="H377" s="56" t="s">
        <v>553</v>
      </c>
      <c r="I377" s="56" t="s">
        <v>369</v>
      </c>
      <c r="J377" s="382" t="s">
        <v>3050</v>
      </c>
      <c r="K377" s="300">
        <v>655</v>
      </c>
      <c r="L377" s="292">
        <v>655</v>
      </c>
      <c r="M377" s="292">
        <v>655</v>
      </c>
      <c r="N377" s="66">
        <v>655</v>
      </c>
      <c r="O377" s="10"/>
      <c r="P377" s="10"/>
    </row>
    <row r="378" spans="1:16" x14ac:dyDescent="0.3">
      <c r="A378">
        <f t="shared" si="5"/>
        <v>377</v>
      </c>
      <c r="B378" s="78" t="s">
        <v>134</v>
      </c>
      <c r="C378">
        <v>1</v>
      </c>
      <c r="D378" s="2">
        <v>626</v>
      </c>
      <c r="E378" s="80" t="str">
        <f>VLOOKUP( T_Aop[[#This Row],[Id]], T_Aop[], ID_Jezik +10, 1)</f>
        <v>656</v>
      </c>
      <c r="F378" s="79" t="str">
        <f>REPT( "  ", T_Aop[[#This Row],[Aop nivo]]) &amp; VLOOKUP( T_Aop[[#This Row],[Id]], T_Aop[], ID_Jezik + 6, 1)</f>
        <v xml:space="preserve">  e) Prihodi od dividendi</v>
      </c>
      <c r="G378" s="542" t="s">
        <v>3070</v>
      </c>
      <c r="H378" s="301" t="s">
        <v>3063</v>
      </c>
      <c r="I378" s="555" t="s">
        <v>3002</v>
      </c>
      <c r="J378" s="556" t="s">
        <v>3048</v>
      </c>
      <c r="K378" s="543" t="s">
        <v>2970</v>
      </c>
      <c r="L378" s="543" t="s">
        <v>2970</v>
      </c>
      <c r="M378" s="543" t="s">
        <v>2970</v>
      </c>
      <c r="N378" s="543" t="s">
        <v>2970</v>
      </c>
      <c r="O378" s="10"/>
      <c r="P378" s="10"/>
    </row>
    <row r="379" spans="1:16" ht="26" x14ac:dyDescent="0.3">
      <c r="A379">
        <f t="shared" si="5"/>
        <v>378</v>
      </c>
      <c r="B379" s="78" t="s">
        <v>134</v>
      </c>
      <c r="C379">
        <v>1</v>
      </c>
      <c r="D379" s="2">
        <v>627</v>
      </c>
      <c r="E379" s="80" t="str">
        <f>VLOOKUP( T_Aop[[#This Row],[Id]], T_Aop[], ID_Jezik +10, 1)</f>
        <v>657</v>
      </c>
      <c r="F379" s="79" t="str">
        <f>REPT( "  ", T_Aop[[#This Row],[Aop nivo]]) &amp; VLOOKUP( T_Aop[[#This Row],[Id]], T_Aop[], ID_Jezik + 6, 1)</f>
        <v xml:space="preserve">  ž) Prihodi od aktiviranja ili potrošnje robe, gotovih proizvoda ili usluga</v>
      </c>
      <c r="G379" s="542" t="s">
        <v>3071</v>
      </c>
      <c r="H379" s="301" t="s">
        <v>2988</v>
      </c>
      <c r="I379" s="555" t="s">
        <v>3003</v>
      </c>
      <c r="J379" s="556" t="s">
        <v>3049</v>
      </c>
      <c r="K379" s="543" t="s">
        <v>2971</v>
      </c>
      <c r="L379" s="543" t="s">
        <v>2971</v>
      </c>
      <c r="M379" s="543" t="s">
        <v>2971</v>
      </c>
      <c r="N379" s="543" t="s">
        <v>2971</v>
      </c>
      <c r="O379" s="10"/>
      <c r="P379" s="10"/>
    </row>
    <row r="380" spans="1:16" x14ac:dyDescent="0.3">
      <c r="A380">
        <f t="shared" si="5"/>
        <v>379</v>
      </c>
      <c r="B380" s="78" t="s">
        <v>134</v>
      </c>
      <c r="C380" s="79">
        <v>1</v>
      </c>
      <c r="D380" s="2">
        <v>628</v>
      </c>
      <c r="E380" s="80">
        <f>VLOOKUP( T_Aop[[#This Row],[Id]], T_Aop[], ID_Jezik +10, 1)</f>
        <v>659</v>
      </c>
      <c r="F380" s="79" t="str">
        <f>REPT( "  ", T_Aop[[#This Row],[Aop nivo]]) &amp; VLOOKUP( T_Aop[[#This Row],[Id]], T_Aop[], ID_Jezik + 6, 1)</f>
        <v xml:space="preserve">  z) Ostali poslovni prihodi po drugim osnovima</v>
      </c>
      <c r="G380" s="299" t="s">
        <v>3072</v>
      </c>
      <c r="H380" s="303" t="s">
        <v>3064</v>
      </c>
      <c r="I380" s="303" t="s">
        <v>3065</v>
      </c>
      <c r="J380" s="383" t="s">
        <v>3051</v>
      </c>
      <c r="K380" s="300">
        <v>659</v>
      </c>
      <c r="L380" s="300">
        <v>659</v>
      </c>
      <c r="M380" s="300">
        <v>659</v>
      </c>
      <c r="N380" s="332">
        <v>659</v>
      </c>
      <c r="O380" s="80"/>
      <c r="P380" s="80"/>
    </row>
    <row r="381" spans="1:16" x14ac:dyDescent="0.3">
      <c r="A381">
        <f t="shared" si="5"/>
        <v>380</v>
      </c>
      <c r="B381" s="78" t="s">
        <v>134</v>
      </c>
      <c r="C381" s="79">
        <v>0</v>
      </c>
      <c r="D381" s="2">
        <v>629</v>
      </c>
      <c r="E381" s="80" t="str">
        <f>VLOOKUP( T_Aop[[#This Row],[Id]], T_Aop[], ID_Jezik +10, 1)</f>
        <v>66 + 67</v>
      </c>
      <c r="F381" s="79" t="str">
        <f>REPT( "  ", T_Aop[[#This Row],[Aop nivo]]) &amp; VLOOKUP( T_Aop[[#This Row],[Id]], T_Aop[], ID_Jezik + 6, 1)</f>
        <v>FINANSIJSKI I OSTALI PRIHODI</v>
      </c>
      <c r="G381" s="299" t="s">
        <v>348</v>
      </c>
      <c r="H381" s="303" t="s">
        <v>554</v>
      </c>
      <c r="I381" s="303" t="s">
        <v>370</v>
      </c>
      <c r="J381" s="386" t="s">
        <v>2609</v>
      </c>
      <c r="K381" s="300" t="s">
        <v>676</v>
      </c>
      <c r="L381" s="304" t="s">
        <v>676</v>
      </c>
      <c r="M381" s="300" t="s">
        <v>676</v>
      </c>
      <c r="N381" s="334" t="s">
        <v>676</v>
      </c>
      <c r="O381" s="80">
        <v>1</v>
      </c>
      <c r="P381" s="80"/>
    </row>
    <row r="382" spans="1:16" x14ac:dyDescent="0.3">
      <c r="A382">
        <f t="shared" si="5"/>
        <v>381</v>
      </c>
      <c r="B382" s="78" t="s">
        <v>134</v>
      </c>
      <c r="C382" s="79">
        <v>2</v>
      </c>
      <c r="D382" s="2">
        <v>630</v>
      </c>
      <c r="E382" s="80" t="str">
        <f>VLOOKUP( T_Aop[[#This Row],[Id]], T_Aop[], ID_Jezik +10, 1)</f>
        <v>dio 670</v>
      </c>
      <c r="F382" s="79" t="str">
        <f>REPT( "  ", T_Aop[[#This Row],[Aop nivo]]) &amp; VLOOKUP( T_Aop[[#This Row],[Id]], T_Aop[], ID_Jezik + 6, 1)</f>
        <v xml:space="preserve">    Od toga: dobici po osnovu prodaje nekretnina, postrojenja i opreme </v>
      </c>
      <c r="G382" s="542" t="s">
        <v>2972</v>
      </c>
      <c r="H382" s="546" t="s">
        <v>2986</v>
      </c>
      <c r="I382" s="557" t="s">
        <v>3004</v>
      </c>
      <c r="J382" s="556" t="s">
        <v>2610</v>
      </c>
      <c r="K382" s="544" t="s">
        <v>353</v>
      </c>
      <c r="L382" s="544" t="s">
        <v>677</v>
      </c>
      <c r="M382" s="544" t="s">
        <v>358</v>
      </c>
      <c r="N382" s="539" t="s">
        <v>2638</v>
      </c>
      <c r="O382" s="80"/>
      <c r="P382" s="80"/>
    </row>
    <row r="383" spans="1:16" x14ac:dyDescent="0.3">
      <c r="A383">
        <f t="shared" si="5"/>
        <v>382</v>
      </c>
      <c r="B383" s="78" t="s">
        <v>134</v>
      </c>
      <c r="C383" s="79">
        <v>1</v>
      </c>
      <c r="D383" s="2">
        <v>631</v>
      </c>
      <c r="E383" s="80" t="str">
        <f>VLOOKUP( T_Aop[[#This Row],[Id]], T_Aop[], ID_Jezik +10, 1)</f>
        <v>678</v>
      </c>
      <c r="F383" s="79" t="str">
        <f>REPT( "  ", T_Aop[[#This Row],[Aop nivo]]) &amp; VLOOKUP( T_Aop[[#This Row],[Id]], T_Aop[], ID_Jezik + 6, 1)</f>
        <v xml:space="preserve">  Dobici od derivatnih finansijskih instrumenata</v>
      </c>
      <c r="G383" s="542" t="s">
        <v>2973</v>
      </c>
      <c r="H383" s="546" t="s">
        <v>2987</v>
      </c>
      <c r="I383" s="557" t="s">
        <v>3005</v>
      </c>
      <c r="J383" s="556" t="s">
        <v>2611</v>
      </c>
      <c r="K383" s="544" t="s">
        <v>2974</v>
      </c>
      <c r="L383" s="544" t="s">
        <v>2974</v>
      </c>
      <c r="M383" s="544" t="s">
        <v>2974</v>
      </c>
      <c r="N383" s="545">
        <v>678</v>
      </c>
      <c r="O383" s="80"/>
      <c r="P383" s="80"/>
    </row>
    <row r="384" spans="1:16" ht="26" x14ac:dyDescent="0.3">
      <c r="A384">
        <f t="shared" si="5"/>
        <v>383</v>
      </c>
      <c r="B384" s="78" t="s">
        <v>134</v>
      </c>
      <c r="C384" s="79">
        <v>0</v>
      </c>
      <c r="D384" s="2">
        <v>632</v>
      </c>
      <c r="E384" s="80">
        <f>VLOOKUP( T_Aop[[#This Row],[Id]], T_Aop[], ID_Jezik +10, 1)</f>
        <v>52</v>
      </c>
      <c r="F384" s="79" t="str">
        <f>REPT( "  ", T_Aop[[#This Row],[Aop nivo]]) &amp; VLOOKUP( T_Aop[[#This Row],[Id]], T_Aop[], ID_Jezik + 6, 1)</f>
        <v>TROŠKOVI PLATA, NAKNADA PLATA I OSTALIH LIČNIH PRIMANJA</v>
      </c>
      <c r="G384" s="553" t="s">
        <v>2975</v>
      </c>
      <c r="H384" s="554" t="s">
        <v>2985</v>
      </c>
      <c r="I384" s="558" t="s">
        <v>3006</v>
      </c>
      <c r="J384" s="559" t="s">
        <v>2612</v>
      </c>
      <c r="K384" s="300">
        <v>52</v>
      </c>
      <c r="L384" s="304">
        <v>52</v>
      </c>
      <c r="M384" s="300">
        <v>52</v>
      </c>
      <c r="N384" s="334">
        <v>52</v>
      </c>
      <c r="O384" s="80">
        <v>1</v>
      </c>
      <c r="P384" s="80"/>
    </row>
    <row r="385" spans="1:16" ht="26" x14ac:dyDescent="0.3">
      <c r="A385">
        <f t="shared" si="5"/>
        <v>384</v>
      </c>
      <c r="B385" s="78" t="s">
        <v>134</v>
      </c>
      <c r="C385" s="79">
        <v>1</v>
      </c>
      <c r="D385" s="2">
        <v>633</v>
      </c>
      <c r="E385" s="80" t="str">
        <f>VLOOKUP( T_Aop[[#This Row],[Id]], T_Aop[], ID_Jezik +10, 1)</f>
        <v>522 + 523</v>
      </c>
      <c r="F385" s="79" t="str">
        <f>REPT( "  ", T_Aop[[#This Row],[Aop nivo]]) &amp; VLOOKUP( T_Aop[[#This Row],[Id]], T_Aop[], ID_Jezik + 6, 1)</f>
        <v xml:space="preserve">  Troškovi bruto naknada članovima upravnog, nadzornog, odbora za reviziju i dr.</v>
      </c>
      <c r="G385" s="299" t="s">
        <v>734</v>
      </c>
      <c r="H385" s="303" t="s">
        <v>748</v>
      </c>
      <c r="I385" s="303" t="s">
        <v>755</v>
      </c>
      <c r="J385" s="383" t="s">
        <v>2613</v>
      </c>
      <c r="K385" s="300" t="s">
        <v>732</v>
      </c>
      <c r="L385" s="304" t="s">
        <v>732</v>
      </c>
      <c r="M385" s="300" t="s">
        <v>732</v>
      </c>
      <c r="N385" s="335" t="s">
        <v>2639</v>
      </c>
      <c r="O385" s="80"/>
      <c r="P385" s="80"/>
    </row>
    <row r="386" spans="1:16" x14ac:dyDescent="0.3">
      <c r="A386">
        <f t="shared" ref="A386:A453" si="6">ROW()-ROW($A$1)</f>
        <v>385</v>
      </c>
      <c r="B386" s="78" t="s">
        <v>134</v>
      </c>
      <c r="C386" s="79">
        <v>1</v>
      </c>
      <c r="D386" s="2">
        <v>634</v>
      </c>
      <c r="E386" s="80">
        <f>VLOOKUP( T_Aop[[#This Row],[Id]], T_Aop[], ID_Jezik +10, 1)</f>
        <v>525</v>
      </c>
      <c r="F386" s="79" t="str">
        <f>REPT( "  ", T_Aop[[#This Row],[Aop nivo]]) &amp; VLOOKUP( T_Aop[[#This Row],[Id]], T_Aop[], ID_Jezik + 6, 1)</f>
        <v xml:space="preserve">  Troškovi zaposlenih na službenom putu</v>
      </c>
      <c r="G386" s="299" t="s">
        <v>555</v>
      </c>
      <c r="H386" s="303" t="s">
        <v>556</v>
      </c>
      <c r="I386" s="303" t="s">
        <v>557</v>
      </c>
      <c r="J386" s="383" t="s">
        <v>2614</v>
      </c>
      <c r="K386" s="300">
        <v>525</v>
      </c>
      <c r="L386" s="304">
        <v>525</v>
      </c>
      <c r="M386" s="300">
        <v>525</v>
      </c>
      <c r="N386" s="333">
        <v>525</v>
      </c>
      <c r="O386" s="80"/>
      <c r="P386" s="80"/>
    </row>
    <row r="387" spans="1:16" x14ac:dyDescent="0.3">
      <c r="A387">
        <f t="shared" si="6"/>
        <v>386</v>
      </c>
      <c r="B387" s="78" t="s">
        <v>134</v>
      </c>
      <c r="C387" s="79">
        <v>2</v>
      </c>
      <c r="D387" s="2">
        <v>635</v>
      </c>
      <c r="E387" s="80" t="str">
        <f>VLOOKUP( T_Aop[[#This Row],[Id]], T_Aop[], ID_Jezik +10, 1)</f>
        <v>dio 525</v>
      </c>
      <c r="F387" s="79" t="str">
        <f>REPT( "  ", T_Aop[[#This Row],[Aop nivo]]) &amp; VLOOKUP( T_Aop[[#This Row],[Id]], T_Aop[], ID_Jezik + 6, 1)</f>
        <v xml:space="preserve">    Od toga: dnevnice</v>
      </c>
      <c r="G387" s="299" t="s">
        <v>558</v>
      </c>
      <c r="H387" s="303" t="s">
        <v>559</v>
      </c>
      <c r="I387" s="303" t="s">
        <v>560</v>
      </c>
      <c r="J387" s="382" t="s">
        <v>2615</v>
      </c>
      <c r="K387" s="300" t="s">
        <v>678</v>
      </c>
      <c r="L387" s="300" t="s">
        <v>679</v>
      </c>
      <c r="M387" s="300" t="s">
        <v>680</v>
      </c>
      <c r="N387" s="335" t="s">
        <v>2640</v>
      </c>
      <c r="O387" s="80"/>
      <c r="P387" s="80"/>
    </row>
    <row r="388" spans="1:16" ht="26" x14ac:dyDescent="0.3">
      <c r="A388">
        <f t="shared" si="6"/>
        <v>387</v>
      </c>
      <c r="B388" s="78" t="s">
        <v>134</v>
      </c>
      <c r="C388" s="79">
        <v>0</v>
      </c>
      <c r="D388" s="2">
        <v>636</v>
      </c>
      <c r="E388" s="80">
        <f>VLOOKUP( T_Aop[[#This Row],[Id]], T_Aop[], ID_Jezik +10, 1)</f>
        <v>53</v>
      </c>
      <c r="F388" s="79" t="str">
        <f>REPT( "  ", T_Aop[[#This Row],[Aop nivo]]) &amp; VLOOKUP( T_Aop[[#This Row],[Id]], T_Aop[], ID_Jezik + 6, 1)</f>
        <v>TROŠKOVI PROIZVODNIH USLUGA (637 + 638 + 639 + 640 + 641 + 642 + 643 + 644)</v>
      </c>
      <c r="G388" s="553" t="s">
        <v>2978</v>
      </c>
      <c r="H388" s="554" t="s">
        <v>2976</v>
      </c>
      <c r="I388" s="558" t="s">
        <v>3007</v>
      </c>
      <c r="J388" s="559" t="s">
        <v>2977</v>
      </c>
      <c r="K388" s="300">
        <v>53</v>
      </c>
      <c r="L388" s="304">
        <v>53</v>
      </c>
      <c r="M388" s="300">
        <v>53</v>
      </c>
      <c r="N388" s="336">
        <v>53</v>
      </c>
      <c r="O388" s="80">
        <v>1</v>
      </c>
      <c r="P388" s="80"/>
    </row>
    <row r="389" spans="1:16" x14ac:dyDescent="0.3">
      <c r="A389">
        <f t="shared" si="6"/>
        <v>388</v>
      </c>
      <c r="B389" s="78" t="s">
        <v>134</v>
      </c>
      <c r="C389" s="79">
        <v>1</v>
      </c>
      <c r="D389" s="2">
        <v>637</v>
      </c>
      <c r="E389" s="80">
        <f>VLOOKUP( T_Aop[[#This Row],[Id]], T_Aop[], ID_Jezik +10, 1)</f>
        <v>530</v>
      </c>
      <c r="F389" s="79" t="str">
        <f>REPT( "  ", T_Aop[[#This Row],[Aop nivo]]) &amp; VLOOKUP( T_Aop[[#This Row],[Id]], T_Aop[], ID_Jezik + 6, 1)</f>
        <v xml:space="preserve">  a) Troškovi usluga na izradi učinaka</v>
      </c>
      <c r="G389" s="299" t="s">
        <v>349</v>
      </c>
      <c r="H389" s="303" t="s">
        <v>561</v>
      </c>
      <c r="I389" s="303" t="s">
        <v>562</v>
      </c>
      <c r="J389" s="382" t="s">
        <v>2616</v>
      </c>
      <c r="K389" s="300">
        <v>530</v>
      </c>
      <c r="L389" s="304">
        <v>530</v>
      </c>
      <c r="M389" s="300">
        <v>530</v>
      </c>
      <c r="N389" s="66">
        <v>530</v>
      </c>
      <c r="O389" s="80"/>
      <c r="P389" s="80"/>
    </row>
    <row r="390" spans="1:16" x14ac:dyDescent="0.3">
      <c r="A390">
        <f t="shared" si="6"/>
        <v>389</v>
      </c>
      <c r="B390" s="78" t="s">
        <v>134</v>
      </c>
      <c r="C390" s="79">
        <v>1</v>
      </c>
      <c r="D390" s="2">
        <v>638</v>
      </c>
      <c r="E390" s="80">
        <f>VLOOKUP( T_Aop[[#This Row],[Id]], T_Aop[], ID_Jezik +10, 1)</f>
        <v>531</v>
      </c>
      <c r="F390" s="79" t="str">
        <f>REPT( "  ", T_Aop[[#This Row],[Aop nivo]]) &amp; VLOOKUP( T_Aop[[#This Row],[Id]], T_Aop[], ID_Jezik + 6, 1)</f>
        <v xml:space="preserve">  b) Troškovi transportnih usluga</v>
      </c>
      <c r="G390" s="299" t="s">
        <v>350</v>
      </c>
      <c r="H390" s="303" t="s">
        <v>563</v>
      </c>
      <c r="I390" s="303" t="s">
        <v>371</v>
      </c>
      <c r="J390" s="383" t="s">
        <v>2617</v>
      </c>
      <c r="K390" s="300">
        <v>531</v>
      </c>
      <c r="L390" s="304">
        <v>531</v>
      </c>
      <c r="M390" s="300">
        <v>531</v>
      </c>
      <c r="N390" s="332">
        <v>531</v>
      </c>
      <c r="O390" s="80"/>
      <c r="P390" s="80"/>
    </row>
    <row r="391" spans="1:16" x14ac:dyDescent="0.3">
      <c r="A391">
        <f t="shared" si="6"/>
        <v>390</v>
      </c>
      <c r="B391" s="78" t="s">
        <v>134</v>
      </c>
      <c r="C391" s="79">
        <v>1</v>
      </c>
      <c r="D391" s="2">
        <v>639</v>
      </c>
      <c r="E391" s="80" t="str">
        <f>VLOOKUP( T_Aop[[#This Row],[Id]], T_Aop[], ID_Jezik +10, 1)</f>
        <v>dio 532</v>
      </c>
      <c r="F391" s="79" t="str">
        <f>REPT( "  ", T_Aop[[#This Row],[Aop nivo]]) &amp; VLOOKUP( T_Aop[[#This Row],[Id]], T_Aop[], ID_Jezik + 6, 1)</f>
        <v xml:space="preserve">  v) Troškovi za usluge tekućeg održavanja osnovnih sredstava</v>
      </c>
      <c r="G391" s="299" t="s">
        <v>564</v>
      </c>
      <c r="H391" s="303" t="s">
        <v>565</v>
      </c>
      <c r="I391" s="303" t="s">
        <v>566</v>
      </c>
      <c r="J391" s="382" t="s">
        <v>2618</v>
      </c>
      <c r="K391" s="300" t="s">
        <v>354</v>
      </c>
      <c r="L391" s="304" t="s">
        <v>681</v>
      </c>
      <c r="M391" s="300" t="s">
        <v>359</v>
      </c>
      <c r="N391" s="337" t="s">
        <v>2641</v>
      </c>
      <c r="O391" s="80"/>
      <c r="P391" s="80"/>
    </row>
    <row r="392" spans="1:16" x14ac:dyDescent="0.3">
      <c r="A392">
        <f t="shared" si="6"/>
        <v>391</v>
      </c>
      <c r="B392" s="78" t="s">
        <v>134</v>
      </c>
      <c r="C392" s="79">
        <v>1</v>
      </c>
      <c r="D392" s="2">
        <v>640</v>
      </c>
      <c r="E392" s="80" t="str">
        <f>VLOOKUP( T_Aop[[#This Row],[Id]], T_Aop[], ID_Jezik +10, 1)</f>
        <v>dio 532</v>
      </c>
      <c r="F392" s="79" t="str">
        <f>REPT( "  ", T_Aop[[#This Row],[Aop nivo]]) &amp; VLOOKUP( T_Aop[[#This Row],[Id]], T_Aop[], ID_Jezik + 6, 1)</f>
        <v xml:space="preserve">  g) Troškovi za usluge investicionog održavanja osnovnih sredstava</v>
      </c>
      <c r="G392" s="299" t="s">
        <v>567</v>
      </c>
      <c r="H392" s="303" t="s">
        <v>568</v>
      </c>
      <c r="I392" s="303" t="s">
        <v>569</v>
      </c>
      <c r="J392" s="383" t="s">
        <v>2619</v>
      </c>
      <c r="K392" s="300" t="s">
        <v>354</v>
      </c>
      <c r="L392" s="300" t="s">
        <v>681</v>
      </c>
      <c r="M392" s="300" t="s">
        <v>359</v>
      </c>
      <c r="N392" s="332" t="s">
        <v>2641</v>
      </c>
      <c r="O392" s="80"/>
      <c r="P392" s="80"/>
    </row>
    <row r="393" spans="1:16" x14ac:dyDescent="0.3">
      <c r="A393">
        <f t="shared" si="6"/>
        <v>392</v>
      </c>
      <c r="B393" s="78" t="s">
        <v>134</v>
      </c>
      <c r="C393" s="79">
        <v>1</v>
      </c>
      <c r="D393" s="2">
        <v>641</v>
      </c>
      <c r="E393" s="80">
        <f>VLOOKUP( T_Aop[[#This Row],[Id]], T_Aop[], ID_Jezik +10, 1)</f>
        <v>533</v>
      </c>
      <c r="F393" s="79" t="str">
        <f>REPT( "  ", T_Aop[[#This Row],[Aop nivo]]) &amp; VLOOKUP( T_Aop[[#This Row],[Id]], T_Aop[], ID_Jezik + 6, 1)</f>
        <v xml:space="preserve">  d) Troškovi zakupa</v>
      </c>
      <c r="G393" s="299" t="s">
        <v>570</v>
      </c>
      <c r="H393" s="303" t="s">
        <v>571</v>
      </c>
      <c r="I393" s="303" t="s">
        <v>372</v>
      </c>
      <c r="J393" s="387" t="s">
        <v>2620</v>
      </c>
      <c r="K393" s="300">
        <v>533</v>
      </c>
      <c r="L393" s="300">
        <v>533</v>
      </c>
      <c r="M393" s="300">
        <v>533</v>
      </c>
      <c r="N393" s="337">
        <v>533</v>
      </c>
      <c r="O393" s="80"/>
      <c r="P393" s="80"/>
    </row>
    <row r="394" spans="1:16" x14ac:dyDescent="0.3">
      <c r="A394">
        <f t="shared" si="6"/>
        <v>393</v>
      </c>
      <c r="B394" s="78" t="s">
        <v>134</v>
      </c>
      <c r="C394" s="79">
        <v>1</v>
      </c>
      <c r="D394" s="2">
        <v>642</v>
      </c>
      <c r="E394" s="80" t="str">
        <f>VLOOKUP( T_Aop[[#This Row],[Id]], T_Aop[], ID_Jezik +10, 1)</f>
        <v>534 + 535</v>
      </c>
      <c r="F394" s="79" t="str">
        <f>REPT( "  ", T_Aop[[#This Row],[Aop nivo]]) &amp; VLOOKUP( T_Aop[[#This Row],[Id]], T_Aop[], ID_Jezik + 6, 1)</f>
        <v xml:space="preserve">  đ) Troškovi sajmova, reklame i propagande</v>
      </c>
      <c r="G394" s="299" t="s">
        <v>572</v>
      </c>
      <c r="H394" s="303" t="s">
        <v>573</v>
      </c>
      <c r="I394" s="303" t="s">
        <v>373</v>
      </c>
      <c r="J394" s="383" t="s">
        <v>2621</v>
      </c>
      <c r="K394" s="300" t="s">
        <v>682</v>
      </c>
      <c r="L394" s="304" t="s">
        <v>682</v>
      </c>
      <c r="M394" s="300" t="s">
        <v>682</v>
      </c>
      <c r="N394" s="332" t="s">
        <v>2642</v>
      </c>
      <c r="O394" s="80"/>
      <c r="P394" s="80"/>
    </row>
    <row r="395" spans="1:16" x14ac:dyDescent="0.3">
      <c r="A395">
        <f t="shared" si="6"/>
        <v>394</v>
      </c>
      <c r="B395" s="78" t="s">
        <v>134</v>
      </c>
      <c r="C395" s="79">
        <v>1</v>
      </c>
      <c r="D395" s="2">
        <v>643</v>
      </c>
      <c r="E395" s="80" t="str">
        <f>VLOOKUP( T_Aop[[#This Row],[Id]], T_Aop[], ID_Jezik +10, 1)</f>
        <v>536 + 537</v>
      </c>
      <c r="F395" s="79" t="str">
        <f>REPT( "  ", T_Aop[[#This Row],[Aop nivo]]) &amp; VLOOKUP( T_Aop[[#This Row],[Id]], T_Aop[], ID_Jezik + 6, 1)</f>
        <v xml:space="preserve">  e) Troškovi istraživanja i razvoja koji se ne kapitalizuju</v>
      </c>
      <c r="G395" s="299" t="s">
        <v>574</v>
      </c>
      <c r="H395" s="303" t="s">
        <v>575</v>
      </c>
      <c r="I395" s="303" t="s">
        <v>374</v>
      </c>
      <c r="J395" s="382" t="s">
        <v>2622</v>
      </c>
      <c r="K395" s="300" t="s">
        <v>683</v>
      </c>
      <c r="L395" s="300" t="s">
        <v>683</v>
      </c>
      <c r="M395" s="300" t="s">
        <v>683</v>
      </c>
      <c r="N395" s="66" t="s">
        <v>2643</v>
      </c>
      <c r="O395" s="80"/>
      <c r="P395" s="80"/>
    </row>
    <row r="396" spans="1:16" x14ac:dyDescent="0.3">
      <c r="A396">
        <f t="shared" si="6"/>
        <v>395</v>
      </c>
      <c r="B396" s="78" t="s">
        <v>134</v>
      </c>
      <c r="C396" s="79">
        <v>1</v>
      </c>
      <c r="D396" s="2">
        <v>644</v>
      </c>
      <c r="E396" s="80">
        <f>VLOOKUP( T_Aop[[#This Row],[Id]], T_Aop[], ID_Jezik +10, 1)</f>
        <v>539</v>
      </c>
      <c r="F396" s="79" t="str">
        <f>REPT( "  ", T_Aop[[#This Row],[Aop nivo]]) &amp; VLOOKUP( T_Aop[[#This Row],[Id]], T_Aop[], ID_Jezik + 6, 1)</f>
        <v xml:space="preserve">  ž) Troškovi ostalih usluga</v>
      </c>
      <c r="G396" s="299" t="s">
        <v>576</v>
      </c>
      <c r="H396" s="303" t="s">
        <v>577</v>
      </c>
      <c r="I396" s="303" t="s">
        <v>375</v>
      </c>
      <c r="J396" s="383" t="s">
        <v>2623</v>
      </c>
      <c r="K396" s="300">
        <v>539</v>
      </c>
      <c r="L396" s="300">
        <v>539</v>
      </c>
      <c r="M396" s="300">
        <v>539</v>
      </c>
      <c r="N396" s="332">
        <v>539</v>
      </c>
      <c r="O396" s="80"/>
      <c r="P396" s="80"/>
    </row>
    <row r="397" spans="1:16" ht="26" x14ac:dyDescent="0.3">
      <c r="A397">
        <f t="shared" si="6"/>
        <v>396</v>
      </c>
      <c r="B397" s="78" t="s">
        <v>134</v>
      </c>
      <c r="C397" s="79">
        <v>2</v>
      </c>
      <c r="D397" s="2">
        <v>645</v>
      </c>
      <c r="E397" s="80" t="str">
        <f>VLOOKUP( T_Aop[[#This Row],[Id]], T_Aop[], ID_Jezik +10, 1)</f>
        <v>dio 539</v>
      </c>
      <c r="F397" s="79" t="str">
        <f>REPT( "  ", T_Aop[[#This Row],[Aop nivo]]) &amp; VLOOKUP( T_Aop[[#This Row],[Id]], T_Aop[], ID_Jezik + 6, 1)</f>
        <v xml:space="preserve">    Od toga: bruto iznosi naknada po ugovorima sa fizičkim licima van radnog odnosa</v>
      </c>
      <c r="G397" s="299" t="s">
        <v>578</v>
      </c>
      <c r="H397" s="303" t="s">
        <v>579</v>
      </c>
      <c r="I397" s="303" t="s">
        <v>580</v>
      </c>
      <c r="J397" s="382" t="s">
        <v>2624</v>
      </c>
      <c r="K397" s="300" t="s">
        <v>355</v>
      </c>
      <c r="L397" s="300" t="s">
        <v>684</v>
      </c>
      <c r="M397" s="300" t="s">
        <v>360</v>
      </c>
      <c r="N397" s="66" t="s">
        <v>2644</v>
      </c>
      <c r="O397" s="80"/>
      <c r="P397" s="80"/>
    </row>
    <row r="398" spans="1:16" ht="26" x14ac:dyDescent="0.3">
      <c r="A398">
        <f t="shared" si="6"/>
        <v>397</v>
      </c>
      <c r="B398" s="78" t="s">
        <v>134</v>
      </c>
      <c r="C398" s="79">
        <v>0</v>
      </c>
      <c r="D398" s="2">
        <v>646</v>
      </c>
      <c r="E398" s="80">
        <f>VLOOKUP( T_Aop[[#This Row],[Id]], T_Aop[], ID_Jezik +10, 1)</f>
        <v>55</v>
      </c>
      <c r="F398" s="79" t="str">
        <f>REPT( "  ", T_Aop[[#This Row],[Aop nivo]]) &amp; VLOOKUP( T_Aop[[#This Row],[Id]], T_Aop[], ID_Jezik + 6, 1)</f>
        <v>NEMATERIJALNI TROŠKOVI (647 + 650 + 651 + 652 + 653 + 654 + 655 + 656)</v>
      </c>
      <c r="G398" s="553" t="s">
        <v>2979</v>
      </c>
      <c r="H398" s="554" t="s">
        <v>2980</v>
      </c>
      <c r="I398" s="554" t="s">
        <v>2981</v>
      </c>
      <c r="J398" s="541" t="s">
        <v>2982</v>
      </c>
      <c r="K398" s="300">
        <v>55</v>
      </c>
      <c r="L398" s="304">
        <v>55</v>
      </c>
      <c r="M398" s="300">
        <v>55</v>
      </c>
      <c r="N398" s="336">
        <v>55</v>
      </c>
      <c r="O398" s="80">
        <v>1</v>
      </c>
      <c r="P398" s="80"/>
    </row>
    <row r="399" spans="1:16" x14ac:dyDescent="0.3">
      <c r="A399">
        <f t="shared" si="6"/>
        <v>398</v>
      </c>
      <c r="B399" s="78" t="s">
        <v>134</v>
      </c>
      <c r="C399" s="79">
        <v>1</v>
      </c>
      <c r="D399" s="2">
        <v>647</v>
      </c>
      <c r="E399" s="80">
        <f>VLOOKUP( T_Aop[[#This Row],[Id]], T_Aop[], ID_Jezik +10, 1)</f>
        <v>550</v>
      </c>
      <c r="F399" s="79" t="str">
        <f>REPT( "  ", T_Aop[[#This Row],[Aop nivo]]) &amp; VLOOKUP( T_Aop[[#This Row],[Id]], T_Aop[], ID_Jezik + 6, 1)</f>
        <v xml:space="preserve">  a) Troškovi ostalih usluga</v>
      </c>
      <c r="G399" s="542" t="s">
        <v>2983</v>
      </c>
      <c r="H399" s="546" t="s">
        <v>2984</v>
      </c>
      <c r="I399" s="557" t="s">
        <v>3008</v>
      </c>
      <c r="J399" s="556" t="s">
        <v>2625</v>
      </c>
      <c r="K399" s="300">
        <v>550</v>
      </c>
      <c r="L399" s="304">
        <v>550</v>
      </c>
      <c r="M399" s="300">
        <v>550</v>
      </c>
      <c r="N399" s="66">
        <v>550</v>
      </c>
      <c r="O399" s="80"/>
      <c r="P399" s="80"/>
    </row>
    <row r="400" spans="1:16" ht="26" x14ac:dyDescent="0.3">
      <c r="A400">
        <f t="shared" si="6"/>
        <v>399</v>
      </c>
      <c r="B400" s="78" t="s">
        <v>134</v>
      </c>
      <c r="C400" s="79">
        <v>2</v>
      </c>
      <c r="D400" s="2">
        <v>648</v>
      </c>
      <c r="E400" s="80" t="str">
        <f>VLOOKUP( T_Aop[[#This Row],[Id]], T_Aop[], ID_Jezik +10, 1)</f>
        <v>dio 550</v>
      </c>
      <c r="F400" s="79" t="str">
        <f>REPT( "  ", T_Aop[[#This Row],[Aop nivo]]) &amp; VLOOKUP( T_Aop[[#This Row],[Id]], T_Aop[], ID_Jezik + 6, 1)</f>
        <v xml:space="preserve">    Od toga: troškovi stručnog obrazovanja i usavršavanja zaposlenih</v>
      </c>
      <c r="G400" s="299" t="s">
        <v>735</v>
      </c>
      <c r="H400" s="303" t="s">
        <v>749</v>
      </c>
      <c r="I400" s="303" t="s">
        <v>376</v>
      </c>
      <c r="J400" s="383" t="s">
        <v>2626</v>
      </c>
      <c r="K400" s="300" t="s">
        <v>59</v>
      </c>
      <c r="L400" s="304" t="s">
        <v>685</v>
      </c>
      <c r="M400" s="300" t="s">
        <v>361</v>
      </c>
      <c r="N400" s="332" t="s">
        <v>2645</v>
      </c>
      <c r="O400" s="80"/>
      <c r="P400" s="80"/>
    </row>
    <row r="401" spans="1:16" ht="26" x14ac:dyDescent="0.3">
      <c r="A401">
        <f t="shared" si="6"/>
        <v>400</v>
      </c>
      <c r="B401" s="78" t="s">
        <v>134</v>
      </c>
      <c r="C401" s="79">
        <v>2</v>
      </c>
      <c r="D401" s="2">
        <v>649</v>
      </c>
      <c r="E401" s="80" t="str">
        <f>VLOOKUP( T_Aop[[#This Row],[Id]], T_Aop[], ID_Jezik +10, 1)</f>
        <v>dio 550</v>
      </c>
      <c r="F401" s="79" t="str">
        <f>REPT( "  ", T_Aop[[#This Row],[Aop nivo]]) &amp; VLOOKUP( T_Aop[[#This Row],[Id]], T_Aop[], ID_Jezik + 6, 1)</f>
        <v xml:space="preserve">    Od toga: bruto iznosi naknada po ugovorima sa fizičkim licima van radnog odnosa</v>
      </c>
      <c r="G401" s="299" t="s">
        <v>578</v>
      </c>
      <c r="H401" s="303" t="s">
        <v>579</v>
      </c>
      <c r="I401" s="303" t="s">
        <v>580</v>
      </c>
      <c r="J401" s="383" t="s">
        <v>2624</v>
      </c>
      <c r="K401" s="300" t="s">
        <v>59</v>
      </c>
      <c r="L401" s="304" t="s">
        <v>685</v>
      </c>
      <c r="M401" s="300" t="s">
        <v>361</v>
      </c>
      <c r="N401" s="332" t="s">
        <v>2645</v>
      </c>
      <c r="O401" s="80"/>
      <c r="P401" s="80"/>
    </row>
    <row r="402" spans="1:16" x14ac:dyDescent="0.3">
      <c r="A402">
        <f t="shared" si="6"/>
        <v>401</v>
      </c>
      <c r="B402" s="78" t="s">
        <v>134</v>
      </c>
      <c r="C402" s="79">
        <v>1</v>
      </c>
      <c r="D402" s="2">
        <v>650</v>
      </c>
      <c r="E402" s="80">
        <f>VLOOKUP( T_Aop[[#This Row],[Id]], T_Aop[], ID_Jezik +10, 1)</f>
        <v>551</v>
      </c>
      <c r="F402" s="79" t="str">
        <f>REPT( "  ", T_Aop[[#This Row],[Aop nivo]]) &amp; VLOOKUP( T_Aop[[#This Row],[Id]], T_Aop[], ID_Jezik + 6, 1)</f>
        <v xml:space="preserve">  b) Troškovi reprezentacije</v>
      </c>
      <c r="G402" s="299" t="s">
        <v>736</v>
      </c>
      <c r="H402" s="303" t="s">
        <v>750</v>
      </c>
      <c r="I402" s="303" t="s">
        <v>742</v>
      </c>
      <c r="J402" s="382" t="s">
        <v>2627</v>
      </c>
      <c r="K402" s="300">
        <v>551</v>
      </c>
      <c r="L402" s="304">
        <v>551</v>
      </c>
      <c r="M402" s="300">
        <v>551</v>
      </c>
      <c r="N402" s="66">
        <v>551</v>
      </c>
      <c r="O402" s="80"/>
      <c r="P402" s="80"/>
    </row>
    <row r="403" spans="1:16" x14ac:dyDescent="0.3">
      <c r="A403">
        <f t="shared" si="6"/>
        <v>402</v>
      </c>
      <c r="B403" s="78" t="s">
        <v>134</v>
      </c>
      <c r="C403" s="79">
        <v>1</v>
      </c>
      <c r="D403" s="2">
        <v>651</v>
      </c>
      <c r="E403" s="80">
        <f>VLOOKUP( T_Aop[[#This Row],[Id]], T_Aop[], ID_Jezik +10, 1)</f>
        <v>552</v>
      </c>
      <c r="F403" s="79" t="str">
        <f>REPT( "  ", T_Aop[[#This Row],[Aop nivo]]) &amp; VLOOKUP( T_Aop[[#This Row],[Id]], T_Aop[], ID_Jezik + 6, 1)</f>
        <v xml:space="preserve">  v) Troškovi premije osiguranja</v>
      </c>
      <c r="G403" s="299" t="s">
        <v>737</v>
      </c>
      <c r="H403" s="303" t="s">
        <v>751</v>
      </c>
      <c r="I403" s="303" t="s">
        <v>743</v>
      </c>
      <c r="J403" s="383" t="s">
        <v>2628</v>
      </c>
      <c r="K403" s="300">
        <v>552</v>
      </c>
      <c r="L403" s="304">
        <v>552</v>
      </c>
      <c r="M403" s="300">
        <v>552</v>
      </c>
      <c r="N403" s="332">
        <v>552</v>
      </c>
      <c r="O403" s="80"/>
      <c r="P403" s="80"/>
    </row>
    <row r="404" spans="1:16" x14ac:dyDescent="0.3">
      <c r="A404">
        <f t="shared" si="6"/>
        <v>403</v>
      </c>
      <c r="B404" s="78" t="s">
        <v>134</v>
      </c>
      <c r="C404" s="79">
        <v>1</v>
      </c>
      <c r="D404" s="2">
        <v>652</v>
      </c>
      <c r="E404" s="80">
        <f>VLOOKUP( T_Aop[[#This Row],[Id]], T_Aop[], ID_Jezik +10, 1)</f>
        <v>553</v>
      </c>
      <c r="F404" s="79" t="str">
        <f>REPT( "  ", T_Aop[[#This Row],[Aop nivo]]) &amp; VLOOKUP( T_Aop[[#This Row],[Id]], T_Aop[], ID_Jezik + 6, 1)</f>
        <v xml:space="preserve">  g) Troškovi platnog prometa</v>
      </c>
      <c r="G404" s="299" t="s">
        <v>738</v>
      </c>
      <c r="H404" s="303" t="s">
        <v>752</v>
      </c>
      <c r="I404" s="303" t="s">
        <v>744</v>
      </c>
      <c r="J404" s="382" t="s">
        <v>2629</v>
      </c>
      <c r="K404" s="300">
        <v>553</v>
      </c>
      <c r="L404" s="304">
        <v>553</v>
      </c>
      <c r="M404" s="300">
        <v>553</v>
      </c>
      <c r="N404" s="66">
        <v>553</v>
      </c>
      <c r="O404" s="80"/>
      <c r="P404" s="80"/>
    </row>
    <row r="405" spans="1:16" x14ac:dyDescent="0.3">
      <c r="A405">
        <f t="shared" si="6"/>
        <v>404</v>
      </c>
      <c r="B405" s="78" t="s">
        <v>134</v>
      </c>
      <c r="C405" s="79">
        <v>1</v>
      </c>
      <c r="D405" s="2">
        <v>653</v>
      </c>
      <c r="E405" s="80">
        <f>VLOOKUP( T_Aop[[#This Row],[Id]], T_Aop[], ID_Jezik +10, 1)</f>
        <v>554</v>
      </c>
      <c r="F405" s="79" t="str">
        <f>REPT( "  ", T_Aop[[#This Row],[Aop nivo]]) &amp; VLOOKUP( T_Aop[[#This Row],[Id]], T_Aop[], ID_Jezik + 6, 1)</f>
        <v xml:space="preserve">  d) Troškovi članarina</v>
      </c>
      <c r="G405" s="299" t="s">
        <v>739</v>
      </c>
      <c r="H405" s="303" t="s">
        <v>753</v>
      </c>
      <c r="I405" s="303" t="s">
        <v>745</v>
      </c>
      <c r="J405" s="383" t="s">
        <v>2630</v>
      </c>
      <c r="K405" s="300">
        <v>554</v>
      </c>
      <c r="L405" s="300">
        <v>554</v>
      </c>
      <c r="M405" s="300">
        <v>554</v>
      </c>
      <c r="N405" s="332">
        <v>554</v>
      </c>
      <c r="O405" s="80"/>
      <c r="P405" s="80"/>
    </row>
    <row r="406" spans="1:16" ht="27.5" x14ac:dyDescent="0.3">
      <c r="A406">
        <f t="shared" si="6"/>
        <v>405</v>
      </c>
      <c r="B406" s="78" t="s">
        <v>134</v>
      </c>
      <c r="C406" s="79">
        <v>1</v>
      </c>
      <c r="D406" s="2">
        <v>654</v>
      </c>
      <c r="E406" s="80" t="str">
        <f>VLOOKUP( T_Aop[[#This Row],[Id]], T_Aop[], ID_Jezik +10, 1)</f>
        <v>dio 555</v>
      </c>
      <c r="F406" s="79" t="str">
        <f>REPT( "  ", T_Aop[[#This Row],[Aop nivo]]) &amp; VLOOKUP( T_Aop[[#This Row],[Id]], T_Aop[], ID_Jezik + 6, 1)</f>
        <v xml:space="preserve">  đ) Troškovi poreza na proizvode3, carine, boravišne takse, porez na igre na sreću i sl.</v>
      </c>
      <c r="G406" s="299" t="s">
        <v>3011</v>
      </c>
      <c r="H406" s="303" t="s">
        <v>3020</v>
      </c>
      <c r="I406" s="303" t="s">
        <v>3022</v>
      </c>
      <c r="J406" s="382" t="s">
        <v>3024</v>
      </c>
      <c r="K406" s="300" t="s">
        <v>356</v>
      </c>
      <c r="L406" s="300" t="s">
        <v>686</v>
      </c>
      <c r="M406" s="300" t="s">
        <v>362</v>
      </c>
      <c r="N406" s="66" t="s">
        <v>2646</v>
      </c>
      <c r="O406" s="80"/>
      <c r="P406" s="80"/>
    </row>
    <row r="407" spans="1:16" ht="27.5" x14ac:dyDescent="0.3">
      <c r="A407">
        <f t="shared" si="6"/>
        <v>406</v>
      </c>
      <c r="B407" t="s">
        <v>134</v>
      </c>
      <c r="C407" s="79">
        <v>1</v>
      </c>
      <c r="D407" s="2">
        <v>655</v>
      </c>
      <c r="E407" s="2" t="str">
        <f>VLOOKUP( T_Aop[[#This Row],[Id]], T_Aop[], ID_Jezik +10, 1)</f>
        <v>dio 555</v>
      </c>
      <c r="F407" t="str">
        <f>REPT( "  ", T_Aop[[#This Row],[Aop nivo]]) &amp; VLOOKUP( T_Aop[[#This Row],[Id]], T_Aop[], ID_Jezik + 6, 1)</f>
        <v xml:space="preserve">  e) Troškovi poreza na proizvodnju4: na imovinu, na zemljište, za korišćenje voda i šuma, za protivpožarnu zaštitu i sl.</v>
      </c>
      <c r="G407" s="288" t="s">
        <v>3010</v>
      </c>
      <c r="H407" s="303" t="s">
        <v>3021</v>
      </c>
      <c r="I407" s="303" t="s">
        <v>3023</v>
      </c>
      <c r="J407" s="383" t="s">
        <v>3025</v>
      </c>
      <c r="K407" s="292" t="s">
        <v>356</v>
      </c>
      <c r="L407" s="300" t="s">
        <v>686</v>
      </c>
      <c r="M407" s="300" t="s">
        <v>362</v>
      </c>
      <c r="N407" s="332" t="s">
        <v>2646</v>
      </c>
      <c r="O407" s="80"/>
      <c r="P407" s="80">
        <v>1</v>
      </c>
    </row>
    <row r="408" spans="1:16" x14ac:dyDescent="0.3">
      <c r="A408">
        <f t="shared" si="6"/>
        <v>407</v>
      </c>
      <c r="B408" t="s">
        <v>134</v>
      </c>
      <c r="C408" s="79">
        <v>1</v>
      </c>
      <c r="D408" s="2">
        <v>656</v>
      </c>
      <c r="E408" s="10">
        <f>VLOOKUP( T_Aop[[#This Row],[Id]], T_Aop[], ID_Jezik +10, 1)</f>
        <v>559</v>
      </c>
      <c r="F408" s="3" t="str">
        <f>REPT( "  ", T_Aop[[#This Row],[Aop nivo]]) &amp; VLOOKUP( T_Aop[[#This Row],[Id]], T_Aop[], ID_Jezik + 6, 1)</f>
        <v xml:space="preserve">  ž) Ostali nematerijalni troškovi</v>
      </c>
      <c r="G408" s="288" t="s">
        <v>740</v>
      </c>
      <c r="H408" s="303" t="s">
        <v>754</v>
      </c>
      <c r="I408" s="303" t="s">
        <v>746</v>
      </c>
      <c r="J408" s="382" t="s">
        <v>2650</v>
      </c>
      <c r="K408" s="292">
        <v>559</v>
      </c>
      <c r="L408" s="300">
        <v>559</v>
      </c>
      <c r="M408" s="300">
        <v>559</v>
      </c>
      <c r="N408" s="66">
        <v>559</v>
      </c>
      <c r="O408" s="80"/>
      <c r="P408" s="80"/>
    </row>
    <row r="409" spans="1:16" x14ac:dyDescent="0.3">
      <c r="A409">
        <f t="shared" si="6"/>
        <v>408</v>
      </c>
      <c r="B409" t="s">
        <v>134</v>
      </c>
      <c r="C409" s="79">
        <v>0</v>
      </c>
      <c r="D409" s="2">
        <v>657</v>
      </c>
      <c r="E409" s="10">
        <f>VLOOKUP( T_Aop[[#This Row],[Id]], T_Aop[], ID_Jezik +10, 1)</f>
        <v>0</v>
      </c>
      <c r="F409" s="3" t="str">
        <f>REPT( "  ", T_Aop[[#This Row],[Aop nivo]]) &amp; VLOOKUP( T_Aop[[#This Row],[Id]], T_Aop[], ID_Jezik + 6, 1)</f>
        <v>OBAVEZE I POTRAŽIVANJA</v>
      </c>
      <c r="G409" s="281" t="s">
        <v>377</v>
      </c>
      <c r="H409" s="303" t="s">
        <v>581</v>
      </c>
      <c r="I409" s="303" t="s">
        <v>378</v>
      </c>
      <c r="J409" s="385" t="s">
        <v>2651</v>
      </c>
      <c r="K409" s="292"/>
      <c r="L409" s="292"/>
      <c r="M409" s="292"/>
      <c r="N409" s="313"/>
      <c r="O409" s="80">
        <v>1</v>
      </c>
      <c r="P409" s="80"/>
    </row>
    <row r="410" spans="1:16" x14ac:dyDescent="0.3">
      <c r="A410">
        <f t="shared" si="6"/>
        <v>409</v>
      </c>
      <c r="B410" t="s">
        <v>134</v>
      </c>
      <c r="C410" s="79">
        <v>1</v>
      </c>
      <c r="D410" s="2">
        <v>658</v>
      </c>
      <c r="E410" s="10" t="str">
        <f>VLOOKUP( T_Aop[[#This Row],[Id]], T_Aop[], ID_Jezik +10, 1)</f>
        <v>47, osim 479</v>
      </c>
      <c r="F410" s="3" t="str">
        <f>REPT( "  ", T_Aop[[#This Row],[Aop nivo]]) &amp; VLOOKUP( T_Aop[[#This Row],[Id]], T_Aop[], ID_Jezik + 6, 1)</f>
        <v xml:space="preserve">  Obračunati (fakturisani) porez na dodatu vrijednost (kumulativan promet konta)</v>
      </c>
      <c r="G410" s="288" t="s">
        <v>379</v>
      </c>
      <c r="H410" s="303" t="s">
        <v>582</v>
      </c>
      <c r="I410" s="303" t="s">
        <v>3009</v>
      </c>
      <c r="J410" s="382" t="s">
        <v>2652</v>
      </c>
      <c r="K410" s="292" t="s">
        <v>34</v>
      </c>
      <c r="L410" s="300" t="s">
        <v>687</v>
      </c>
      <c r="M410" s="300" t="s">
        <v>26</v>
      </c>
      <c r="N410" s="66" t="s">
        <v>2647</v>
      </c>
      <c r="O410" s="80"/>
      <c r="P410" s="80"/>
    </row>
    <row r="411" spans="1:16" x14ac:dyDescent="0.3">
      <c r="A411">
        <f t="shared" si="6"/>
        <v>410</v>
      </c>
      <c r="B411" t="s">
        <v>134</v>
      </c>
      <c r="C411">
        <v>1</v>
      </c>
      <c r="D411" s="2">
        <v>659</v>
      </c>
      <c r="E411" s="10" t="str">
        <f>VLOOKUP( T_Aop[[#This Row],[Id]], T_Aop[], ID_Jezik +10, 1)</f>
        <v>27, osim 279</v>
      </c>
      <c r="F411" s="3" t="str">
        <f>REPT( "  ", T_Aop[[#This Row],[Aop nivo]]) &amp; VLOOKUP( T_Aop[[#This Row],[Id]], T_Aop[], ID_Jezik + 6, 1)</f>
        <v xml:space="preserve">  Ulazni porez na dodatu vrijednost (kumulativan promet konta)</v>
      </c>
      <c r="G411" s="288" t="s">
        <v>380</v>
      </c>
      <c r="H411" s="56" t="s">
        <v>583</v>
      </c>
      <c r="I411" s="56" t="s">
        <v>381</v>
      </c>
      <c r="J411" s="383" t="s">
        <v>2653</v>
      </c>
      <c r="K411" s="292" t="s">
        <v>35</v>
      </c>
      <c r="L411" s="292" t="s">
        <v>688</v>
      </c>
      <c r="M411" s="292" t="s">
        <v>27</v>
      </c>
      <c r="N411" s="332" t="s">
        <v>2648</v>
      </c>
      <c r="O411" s="10"/>
      <c r="P411" s="10"/>
    </row>
    <row r="412" spans="1:16" ht="26" x14ac:dyDescent="0.3">
      <c r="A412">
        <f t="shared" si="6"/>
        <v>411</v>
      </c>
      <c r="B412" t="s">
        <v>134</v>
      </c>
      <c r="C412" s="3">
        <v>1</v>
      </c>
      <c r="D412" s="2">
        <v>660</v>
      </c>
      <c r="E412" s="10">
        <f>VLOOKUP( T_Aop[[#This Row],[Id]], T_Aop[], ID_Jezik +10, 1)</f>
        <v>479</v>
      </c>
      <c r="F412" s="3" t="str">
        <f>REPT( "  ", T_Aop[[#This Row],[Aop nivo]]) &amp; VLOOKUP( T_Aop[[#This Row],[Id]], T_Aop[], ID_Jezik + 6, 1)</f>
        <v xml:space="preserve">  Obaveze za PDV po osnovu razlike između obračunatog i akontacionog PDV-a (saldo konta)</v>
      </c>
      <c r="G412" s="56" t="s">
        <v>584</v>
      </c>
      <c r="H412" s="56" t="s">
        <v>585</v>
      </c>
      <c r="I412" s="56" t="s">
        <v>382</v>
      </c>
      <c r="J412" s="382" t="s">
        <v>2654</v>
      </c>
      <c r="K412" s="292">
        <v>479</v>
      </c>
      <c r="L412" s="292">
        <v>479</v>
      </c>
      <c r="M412" s="292">
        <v>479</v>
      </c>
      <c r="N412" s="66">
        <v>479</v>
      </c>
      <c r="O412" s="10"/>
      <c r="P412" s="10"/>
    </row>
    <row r="413" spans="1:16" ht="26" x14ac:dyDescent="0.3">
      <c r="A413">
        <f t="shared" si="6"/>
        <v>412</v>
      </c>
      <c r="B413" t="s">
        <v>134</v>
      </c>
      <c r="C413" s="3">
        <v>1</v>
      </c>
      <c r="D413" s="2">
        <v>661</v>
      </c>
      <c r="E413" s="10">
        <f>VLOOKUP( T_Aop[[#This Row],[Id]], T_Aop[], ID_Jezik +10, 1)</f>
        <v>279</v>
      </c>
      <c r="F413" s="3" t="str">
        <f>REPT( "  ", T_Aop[[#This Row],[Aop nivo]]) &amp; VLOOKUP( T_Aop[[#This Row],[Id]], T_Aop[], ID_Jezik + 6, 1)</f>
        <v xml:space="preserve">  Potraživanja po osnovu razlike između akontacionog i obračunatog PDV-a (saldo konta)</v>
      </c>
      <c r="G413" s="56" t="s">
        <v>586</v>
      </c>
      <c r="H413" s="56" t="s">
        <v>587</v>
      </c>
      <c r="I413" s="56" t="s">
        <v>383</v>
      </c>
      <c r="J413" s="383" t="s">
        <v>2655</v>
      </c>
      <c r="K413" s="292">
        <v>279</v>
      </c>
      <c r="L413" s="292">
        <v>279</v>
      </c>
      <c r="M413" s="292">
        <v>279</v>
      </c>
      <c r="N413" s="332">
        <v>279</v>
      </c>
      <c r="O413" s="10"/>
      <c r="P413" s="10"/>
    </row>
    <row r="414" spans="1:16" x14ac:dyDescent="0.3">
      <c r="A414">
        <f t="shared" si="6"/>
        <v>413</v>
      </c>
      <c r="B414" t="s">
        <v>134</v>
      </c>
      <c r="C414" s="3">
        <v>1</v>
      </c>
      <c r="D414" s="2">
        <v>662</v>
      </c>
      <c r="E414" s="10">
        <f>VLOOKUP( T_Aop[[#This Row],[Id]], T_Aop[], ID_Jezik +10, 1)</f>
        <v>271</v>
      </c>
      <c r="F414" s="3" t="str">
        <f>REPT( "  ", T_Aop[[#This Row],[Aop nivo]]) &amp; VLOOKUP( T_Aop[[#This Row],[Id]], T_Aop[], ID_Jezik + 6, 1)</f>
        <v xml:space="preserve">  PDV plaćen pri uvozu (kumulativan promet konta)</v>
      </c>
      <c r="G414" s="288" t="s">
        <v>588</v>
      </c>
      <c r="H414" s="56" t="s">
        <v>589</v>
      </c>
      <c r="I414" s="56" t="s">
        <v>384</v>
      </c>
      <c r="J414" s="382" t="s">
        <v>2656</v>
      </c>
      <c r="K414" s="292">
        <v>271</v>
      </c>
      <c r="L414" s="292">
        <v>271</v>
      </c>
      <c r="M414" s="292">
        <v>271</v>
      </c>
      <c r="N414" s="66">
        <v>271</v>
      </c>
      <c r="O414" s="10"/>
      <c r="P414" s="10"/>
    </row>
    <row r="415" spans="1:16" ht="26" x14ac:dyDescent="0.3">
      <c r="A415">
        <f t="shared" si="6"/>
        <v>414</v>
      </c>
      <c r="B415" t="s">
        <v>134</v>
      </c>
      <c r="C415" s="3">
        <v>1</v>
      </c>
      <c r="D415" s="2">
        <v>663</v>
      </c>
      <c r="E415" s="10">
        <f>VLOOKUP( T_Aop[[#This Row],[Id]], T_Aop[], ID_Jezik +10, 1)</f>
        <v>484</v>
      </c>
      <c r="F415" s="3" t="str">
        <f>REPT( "  ", T_Aop[[#This Row],[Aop nivo]]) &amp; VLOOKUP( T_Aop[[#This Row],[Id]], T_Aop[], ID_Jezik + 6, 1)</f>
        <v xml:space="preserve">  Obaveze za PDV plaćen pri uvozu (kumulativan promet konta)</v>
      </c>
      <c r="G415" s="288" t="s">
        <v>385</v>
      </c>
      <c r="H415" s="56" t="s">
        <v>590</v>
      </c>
      <c r="I415" s="56" t="s">
        <v>386</v>
      </c>
      <c r="J415" s="383" t="s">
        <v>2657</v>
      </c>
      <c r="K415" s="292">
        <v>484</v>
      </c>
      <c r="L415" s="292">
        <v>484</v>
      </c>
      <c r="M415" s="292">
        <v>484</v>
      </c>
      <c r="N415" s="332">
        <v>484</v>
      </c>
      <c r="O415" s="10"/>
      <c r="P415" s="10"/>
    </row>
    <row r="416" spans="1:16" x14ac:dyDescent="0.3">
      <c r="A416">
        <f t="shared" si="6"/>
        <v>415</v>
      </c>
      <c r="B416" t="s">
        <v>134</v>
      </c>
      <c r="C416" s="3">
        <v>1</v>
      </c>
      <c r="D416" s="2">
        <v>664</v>
      </c>
      <c r="E416" s="10">
        <f>VLOOKUP( T_Aop[[#This Row],[Id]], T_Aop[], ID_Jezik +10, 1)</f>
        <v>480</v>
      </c>
      <c r="F416" s="3" t="str">
        <f>REPT( "  ", T_Aop[[#This Row],[Aop nivo]]) &amp; VLOOKUP( T_Aop[[#This Row],[Id]], T_Aop[], ID_Jezik + 6, 1)</f>
        <v xml:space="preserve">  Obaveze za akcize (kumulativan promet konta)</v>
      </c>
      <c r="G416" s="288" t="s">
        <v>387</v>
      </c>
      <c r="H416" s="56" t="s">
        <v>591</v>
      </c>
      <c r="I416" s="56" t="s">
        <v>388</v>
      </c>
      <c r="J416" s="382" t="s">
        <v>2658</v>
      </c>
      <c r="K416" s="292">
        <v>480</v>
      </c>
      <c r="L416" s="292">
        <v>480</v>
      </c>
      <c r="M416" s="292">
        <v>480</v>
      </c>
      <c r="N416" s="66">
        <v>480</v>
      </c>
      <c r="O416" s="10"/>
      <c r="P416" s="10"/>
    </row>
    <row r="417" spans="1:16" x14ac:dyDescent="0.3">
      <c r="A417">
        <f t="shared" si="6"/>
        <v>416</v>
      </c>
      <c r="B417" t="s">
        <v>134</v>
      </c>
      <c r="C417" s="3">
        <v>1</v>
      </c>
      <c r="D417" s="2">
        <v>665</v>
      </c>
      <c r="E417" s="10" t="str">
        <f>VLOOKUP( T_Aop[[#This Row],[Id]], T_Aop[], ID_Jezik +10, 1)</f>
        <v>nema konta</v>
      </c>
      <c r="F417" s="3" t="str">
        <f>REPT( "  ", T_Aop[[#This Row],[Aop nivo]]) &amp; VLOOKUP( T_Aop[[#This Row],[Id]], T_Aop[], ID_Jezik + 6, 1)</f>
        <v xml:space="preserve">  Prihodi ostvareni na bazi podugovaranja</v>
      </c>
      <c r="G417" s="288" t="s">
        <v>389</v>
      </c>
      <c r="H417" s="56" t="s">
        <v>592</v>
      </c>
      <c r="I417" s="56" t="s">
        <v>390</v>
      </c>
      <c r="J417" s="383" t="s">
        <v>2659</v>
      </c>
      <c r="K417" s="292" t="s">
        <v>733</v>
      </c>
      <c r="L417" s="292" t="s">
        <v>747</v>
      </c>
      <c r="M417" s="292"/>
      <c r="N417" s="332" t="s">
        <v>2649</v>
      </c>
      <c r="O417" s="10"/>
      <c r="P417" s="10"/>
    </row>
    <row r="418" spans="1:16" x14ac:dyDescent="0.3">
      <c r="A418">
        <f t="shared" si="6"/>
        <v>417</v>
      </c>
      <c r="B418" t="s">
        <v>134</v>
      </c>
      <c r="C418" s="3">
        <v>1</v>
      </c>
      <c r="D418" s="2">
        <v>666</v>
      </c>
      <c r="E418" s="10" t="str">
        <f>VLOOKUP( T_Aop[[#This Row],[Id]], T_Aop[], ID_Jezik +10, 1)</f>
        <v>nema konta</v>
      </c>
      <c r="F418" s="3" t="str">
        <f>REPT( "  ", T_Aop[[#This Row],[Aop nivo]]) &amp; VLOOKUP( T_Aop[[#This Row],[Id]], T_Aop[], ID_Jezik + 6, 1)</f>
        <v xml:space="preserve">  Plaćanja podugovaračima za rad, isporučene proizvode i usluge</v>
      </c>
      <c r="G418" s="288" t="s">
        <v>351</v>
      </c>
      <c r="H418" s="56" t="s">
        <v>593</v>
      </c>
      <c r="I418" s="56" t="s">
        <v>391</v>
      </c>
      <c r="J418" s="382" t="s">
        <v>2660</v>
      </c>
      <c r="K418" s="292" t="s">
        <v>733</v>
      </c>
      <c r="L418" s="292" t="s">
        <v>747</v>
      </c>
      <c r="M418" s="292"/>
      <c r="N418" s="66" t="s">
        <v>2649</v>
      </c>
      <c r="O418" s="10"/>
      <c r="P418" s="10"/>
    </row>
    <row r="419" spans="1:16" ht="26" x14ac:dyDescent="0.3">
      <c r="A419">
        <f t="shared" si="6"/>
        <v>418</v>
      </c>
      <c r="B419" t="s">
        <v>134</v>
      </c>
      <c r="C419" s="3">
        <v>1</v>
      </c>
      <c r="D419" s="10">
        <v>667</v>
      </c>
      <c r="E419" s="10" t="str">
        <f>VLOOKUP( T_Aop[[#This Row],[Id]], T_Aop[], ID_Jezik +10, 1)</f>
        <v>nema konta</v>
      </c>
      <c r="F419" s="3" t="str">
        <f>REPT( "  ", T_Aop[[#This Row],[Aop nivo]]) &amp; VLOOKUP( T_Aop[[#This Row],[Id]], T_Aop[], ID_Jezik + 6, 1)</f>
        <v xml:space="preserve">  Ukupan broj odrađenih časova rada (efektivni časovi rada bez bolovanja, godišnjih odmora, državnih praznika i sl.)</v>
      </c>
      <c r="G419" s="288" t="s">
        <v>352</v>
      </c>
      <c r="H419" s="56" t="s">
        <v>594</v>
      </c>
      <c r="I419" s="56" t="s">
        <v>392</v>
      </c>
      <c r="J419" s="383" t="s">
        <v>2661</v>
      </c>
      <c r="K419" s="292" t="s">
        <v>733</v>
      </c>
      <c r="L419" s="292" t="s">
        <v>747</v>
      </c>
      <c r="M419" s="292"/>
      <c r="N419" s="338" t="s">
        <v>2649</v>
      </c>
      <c r="O419" s="10"/>
      <c r="P419" s="10">
        <v>1</v>
      </c>
    </row>
    <row r="420" spans="1:16" x14ac:dyDescent="0.3">
      <c r="A420">
        <f t="shared" si="6"/>
        <v>419</v>
      </c>
      <c r="B420" t="s">
        <v>135</v>
      </c>
      <c r="C420" s="3"/>
      <c r="D420" s="3"/>
      <c r="E420" s="10">
        <f>VLOOKUP( T_Aop[[#This Row],[Id]], T_Aop[], ID_Jezik +10, 1)</f>
        <v>0</v>
      </c>
      <c r="F420" s="3" t="str">
        <f>REPT( "  ", T_Aop[[#This Row],[Aop nivo]]) &amp; VLOOKUP( T_Aop[[#This Row],[Id]], T_Aop[], ID_Jezik + 6, 1)</f>
        <v/>
      </c>
      <c r="H420" s="56"/>
      <c r="I420" s="56"/>
      <c r="K420" s="292"/>
      <c r="L420" s="292"/>
      <c r="M420" s="292"/>
      <c r="N420" s="290"/>
      <c r="O420" s="10"/>
      <c r="P420" s="10"/>
    </row>
    <row r="421" spans="1:16" x14ac:dyDescent="0.3">
      <c r="A421">
        <f t="shared" si="6"/>
        <v>420</v>
      </c>
      <c r="B421" t="s">
        <v>135</v>
      </c>
      <c r="C421" s="3">
        <v>0</v>
      </c>
      <c r="D421">
        <v>901</v>
      </c>
      <c r="E421" s="2" t="str">
        <f>VLOOKUP( T_Aop[[#This Row],[Id]], T_Aop[], ID_Jezik +10, 1)</f>
        <v>1.</v>
      </c>
      <c r="F421" t="str">
        <f>REPT( "  ", T_Aop[[#This Row],[Aop nivo]]) &amp; VLOOKUP( T_Aop[[#This Row],[Id]], T_Aop[], ID_Jezik + 6, 1)</f>
        <v>1. Stanje na dan 01.01.2025. god.</v>
      </c>
      <c r="G421" s="305" t="str">
        <f>CONCATENATE("1. Stanje na dan ", Podesavanja!$X$6, " god.")</f>
        <v>1. Stanje na dan 01.01.2025. god.</v>
      </c>
      <c r="H421" s="306" t="str">
        <f>CONCATENATE("1. Стање на дан ", Podesavanja!$X$6, " год.")</f>
        <v>1. Стање на дан 01.01.2025. год.</v>
      </c>
      <c r="I421" s="306" t="str">
        <f>CONCATENATE("1. Value on day ", Podesavanja!$Y$6)</f>
        <v>1. Value on day 01.01.2025</v>
      </c>
      <c r="J421" s="306" t="str">
        <f>CONCATENATE("1. Состояние на дату", Podesavanja!$Y$6)</f>
        <v>1. Состояние на дату01.01.2025</v>
      </c>
      <c r="K421" s="292" t="s">
        <v>702</v>
      </c>
      <c r="L421" s="292" t="s">
        <v>702</v>
      </c>
      <c r="M421" s="292" t="s">
        <v>702</v>
      </c>
      <c r="N421" s="292" t="s">
        <v>702</v>
      </c>
      <c r="O421" s="10">
        <v>1</v>
      </c>
      <c r="P421" s="10"/>
    </row>
    <row r="422" spans="1:16" x14ac:dyDescent="0.3">
      <c r="A422">
        <f t="shared" si="6"/>
        <v>421</v>
      </c>
      <c r="B422" t="s">
        <v>135</v>
      </c>
      <c r="C422" s="3"/>
      <c r="E422" s="2">
        <f>VLOOKUP( T_Aop[[#This Row],[Id]], T_Aop[], ID_Jezik +10, 1)</f>
        <v>0</v>
      </c>
      <c r="F422" t="str">
        <f>REPT( "  ", T_Aop[[#This Row],[Aop nivo]]) &amp; VLOOKUP( T_Aop[[#This Row],[Id]], T_Aop[], ID_Jezik + 6, 1)</f>
        <v/>
      </c>
      <c r="G422" s="305"/>
      <c r="H422" s="306"/>
      <c r="I422" s="306"/>
      <c r="K422" s="292"/>
      <c r="L422" s="292"/>
      <c r="M422" s="292"/>
      <c r="N422" s="292"/>
      <c r="O422" s="10"/>
      <c r="P422" s="10"/>
    </row>
    <row r="423" spans="1:16" x14ac:dyDescent="0.3">
      <c r="A423">
        <f t="shared" si="6"/>
        <v>422</v>
      </c>
      <c r="B423" t="s">
        <v>135</v>
      </c>
      <c r="C423" s="3">
        <v>2</v>
      </c>
      <c r="D423">
        <v>902</v>
      </c>
      <c r="E423" s="2" t="str">
        <f>VLOOKUP( T_Aop[[#This Row],[Id]], T_Aop[], ID_Jezik +10, 1)</f>
        <v>2.</v>
      </c>
      <c r="F423" t="str">
        <f>REPT( "  ", T_Aop[[#This Row],[Aop nivo]]) &amp; VLOOKUP( T_Aop[[#This Row],[Id]], T_Aop[], ID_Jezik + 6, 1)</f>
        <v xml:space="preserve">    2. Efekti promjena u računovodstvenim politikama </v>
      </c>
      <c r="G423" s="288" t="s">
        <v>1603</v>
      </c>
      <c r="H423" s="56" t="s">
        <v>1631</v>
      </c>
      <c r="I423" s="56" t="s">
        <v>2490</v>
      </c>
      <c r="J423" s="283" t="s">
        <v>2437</v>
      </c>
      <c r="K423" s="292" t="s">
        <v>703</v>
      </c>
      <c r="L423" s="292" t="s">
        <v>703</v>
      </c>
      <c r="M423" s="292" t="s">
        <v>703</v>
      </c>
      <c r="N423" s="292" t="s">
        <v>703</v>
      </c>
      <c r="O423" s="10"/>
      <c r="P423" s="10"/>
    </row>
    <row r="424" spans="1:16" x14ac:dyDescent="0.3">
      <c r="A424">
        <f t="shared" si="6"/>
        <v>423</v>
      </c>
      <c r="B424" t="s">
        <v>135</v>
      </c>
      <c r="C424" s="3">
        <v>2</v>
      </c>
      <c r="D424">
        <v>903</v>
      </c>
      <c r="E424" s="2" t="str">
        <f>VLOOKUP( T_Aop[[#This Row],[Id]], T_Aop[], ID_Jezik +10, 1)</f>
        <v>3.</v>
      </c>
      <c r="F424" t="str">
        <f>REPT( "  ", T_Aop[[#This Row],[Aop nivo]]) &amp; VLOOKUP( T_Aop[[#This Row],[Id]], T_Aop[], ID_Jezik + 6, 1)</f>
        <v xml:space="preserve">    3. Efekti ispravki grešaka</v>
      </c>
      <c r="G424" s="288" t="s">
        <v>2242</v>
      </c>
      <c r="H424" s="56" t="s">
        <v>2239</v>
      </c>
      <c r="I424" s="56" t="s">
        <v>2491</v>
      </c>
      <c r="J424" s="283" t="s">
        <v>2438</v>
      </c>
      <c r="K424" s="292" t="s">
        <v>704</v>
      </c>
      <c r="L424" s="292" t="s">
        <v>704</v>
      </c>
      <c r="M424" s="292" t="s">
        <v>704</v>
      </c>
      <c r="N424" s="292" t="s">
        <v>704</v>
      </c>
      <c r="O424" s="10"/>
      <c r="P424" s="10"/>
    </row>
    <row r="425" spans="1:16" ht="26" x14ac:dyDescent="0.3">
      <c r="A425">
        <f t="shared" si="6"/>
        <v>424</v>
      </c>
      <c r="B425" t="s">
        <v>135</v>
      </c>
      <c r="C425" s="3">
        <v>1</v>
      </c>
      <c r="D425">
        <v>904</v>
      </c>
      <c r="E425" s="2" t="str">
        <f>VLOOKUP( T_Aop[[#This Row],[Id]], T_Aop[], ID_Jezik +10, 1)</f>
        <v>4.</v>
      </c>
      <c r="F425" t="str">
        <f>REPT( "  ", T_Aop[[#This Row],[Aop nivo]]) &amp; VLOOKUP( T_Aop[[#This Row],[Id]], T_Aop[], ID_Jezik + 6, 1)</f>
        <v xml:space="preserve">  4. Ponovo iskazano stanje na dan 01.01.2025. god. (901 ± 902 ± 903)</v>
      </c>
      <c r="G425" s="310" t="str">
        <f>CONCATENATE("4. Ponovo iskazano stanje na dan ", Podesavanja!$X$6, " god. (901 ± 902 ± 903)")</f>
        <v>4. Ponovo iskazano stanje na dan 01.01.2025. god. (901 ± 902 ± 903)</v>
      </c>
      <c r="H425" s="306" t="str">
        <f>CONCATENATE("4. Поново исказано стање на дан ", Podesavanja!$X$6, " год.  (901 ± 902 ± 903)")</f>
        <v>4. Поново исказано стање на дан 01.01.2025. год.  (901 ± 902 ± 903)</v>
      </c>
      <c r="I425" s="306" t="str">
        <f>CONCATENATE("4. New value on day ",  Podesavanja!$Y$6, " (901 ± 902 ± 903)")</f>
        <v>4. New value on day 01.01.2025 (901 ± 902 ± 903)</v>
      </c>
      <c r="J425" s="309" t="str">
        <f>CONCATENATE("4. Повторно представленное состояние на дату ", Podesavanja!$X$6, " года (901 ± 902 ± 903)")</f>
        <v>4. Повторно представленное состояние на дату 01.01.2025. года (901 ± 902 ± 903)</v>
      </c>
      <c r="K425" s="292" t="s">
        <v>705</v>
      </c>
      <c r="L425" s="292" t="s">
        <v>705</v>
      </c>
      <c r="M425" s="292" t="s">
        <v>705</v>
      </c>
      <c r="N425" s="292" t="s">
        <v>705</v>
      </c>
      <c r="O425" s="10">
        <v>1</v>
      </c>
      <c r="P425" s="10"/>
    </row>
    <row r="426" spans="1:16" x14ac:dyDescent="0.3">
      <c r="A426">
        <f t="shared" si="6"/>
        <v>425</v>
      </c>
      <c r="B426" t="s">
        <v>135</v>
      </c>
      <c r="C426" s="3"/>
      <c r="E426" s="2">
        <f>VLOOKUP( T_Aop[[#This Row],[Id]], T_Aop[], ID_Jezik +10, 1)</f>
        <v>0</v>
      </c>
      <c r="F426" t="str">
        <f>REPT( "  ", T_Aop[[#This Row],[Aop nivo]]) &amp; VLOOKUP( T_Aop[[#This Row],[Id]], T_Aop[], ID_Jezik + 6, 1)</f>
        <v/>
      </c>
      <c r="G426" s="306"/>
      <c r="H426" s="306"/>
      <c r="I426" s="306"/>
      <c r="K426" s="292"/>
      <c r="L426" s="292"/>
      <c r="M426" s="292"/>
      <c r="N426" s="292"/>
      <c r="O426" s="10"/>
      <c r="P426" s="10"/>
    </row>
    <row r="427" spans="1:16" x14ac:dyDescent="0.3">
      <c r="A427">
        <f t="shared" si="6"/>
        <v>426</v>
      </c>
      <c r="B427" t="s">
        <v>135</v>
      </c>
      <c r="C427" s="3">
        <v>2</v>
      </c>
      <c r="D427">
        <v>905</v>
      </c>
      <c r="E427" s="2" t="str">
        <f>VLOOKUP( T_Aop[[#This Row],[Id]], T_Aop[], ID_Jezik +10, 1)</f>
        <v>5.</v>
      </c>
      <c r="F427" t="str">
        <f>REPT( "  ", T_Aop[[#This Row],[Aop nivo]]) &amp; VLOOKUP( T_Aop[[#This Row],[Id]], T_Aop[], ID_Jezik + 6, 1)</f>
        <v xml:space="preserve">    5. Dobit/(gubitak) za godinu</v>
      </c>
      <c r="G427" s="56" t="s">
        <v>1602</v>
      </c>
      <c r="H427" s="56" t="s">
        <v>1632</v>
      </c>
      <c r="I427" s="308" t="s">
        <v>2488</v>
      </c>
      <c r="J427" s="283" t="s">
        <v>2439</v>
      </c>
      <c r="K427" s="292" t="s">
        <v>706</v>
      </c>
      <c r="L427" s="292" t="s">
        <v>706</v>
      </c>
      <c r="M427" s="292" t="s">
        <v>706</v>
      </c>
      <c r="N427" s="292" t="s">
        <v>706</v>
      </c>
      <c r="O427" s="10"/>
      <c r="P427" s="10"/>
    </row>
    <row r="428" spans="1:16" x14ac:dyDescent="0.3">
      <c r="A428">
        <f t="shared" si="6"/>
        <v>427</v>
      </c>
      <c r="B428" t="s">
        <v>135</v>
      </c>
      <c r="C428" s="3">
        <v>2</v>
      </c>
      <c r="D428">
        <v>906</v>
      </c>
      <c r="E428" s="2" t="str">
        <f>VLOOKUP( T_Aop[[#This Row],[Id]], T_Aop[], ID_Jezik +10, 1)</f>
        <v>6.</v>
      </c>
      <c r="F428" t="str">
        <f>REPT( "  ", T_Aop[[#This Row],[Aop nivo]]) &amp; VLOOKUP( T_Aop[[#This Row],[Id]], T_Aop[], ID_Jezik + 6, 1)</f>
        <v xml:space="preserve">    6. Ostali ukupni rezultat za godinu</v>
      </c>
      <c r="G428" s="56" t="s">
        <v>1604</v>
      </c>
      <c r="H428" s="56" t="s">
        <v>1633</v>
      </c>
      <c r="I428" s="308" t="s">
        <v>2489</v>
      </c>
      <c r="J428" s="283" t="s">
        <v>2440</v>
      </c>
      <c r="K428" s="292" t="s">
        <v>707</v>
      </c>
      <c r="L428" s="292" t="s">
        <v>707</v>
      </c>
      <c r="M428" s="292" t="s">
        <v>707</v>
      </c>
      <c r="N428" s="292" t="s">
        <v>707</v>
      </c>
      <c r="O428" s="10"/>
      <c r="P428" s="10">
        <v>1</v>
      </c>
    </row>
    <row r="429" spans="1:16" x14ac:dyDescent="0.3">
      <c r="A429">
        <f t="shared" si="6"/>
        <v>428</v>
      </c>
      <c r="B429" t="s">
        <v>135</v>
      </c>
      <c r="C429" s="3">
        <v>1</v>
      </c>
      <c r="D429">
        <v>907</v>
      </c>
      <c r="E429" s="2" t="str">
        <f>VLOOKUP( T_Aop[[#This Row],[Id]], T_Aop[], ID_Jezik +10, 1)</f>
        <v>7.</v>
      </c>
      <c r="F429" t="str">
        <f>REPT( "  ", T_Aop[[#This Row],[Aop nivo]]) &amp; VLOOKUP( T_Aop[[#This Row],[Id]], T_Aop[], ID_Jezik + 6, 1)</f>
        <v xml:space="preserve">  7. Ukupna dobit/(gubitak) (± 905 ± 906)</v>
      </c>
      <c r="G429" s="310" t="s">
        <v>2879</v>
      </c>
      <c r="H429" s="310" t="s">
        <v>2882</v>
      </c>
      <c r="I429" s="310" t="s">
        <v>2880</v>
      </c>
      <c r="J429" s="284" t="s">
        <v>2881</v>
      </c>
      <c r="K429" s="292" t="s">
        <v>708</v>
      </c>
      <c r="L429" s="292" t="s">
        <v>708</v>
      </c>
      <c r="M429" s="292" t="s">
        <v>708</v>
      </c>
      <c r="N429" s="292" t="s">
        <v>708</v>
      </c>
      <c r="O429" s="10"/>
      <c r="P429" s="10">
        <v>1</v>
      </c>
    </row>
    <row r="430" spans="1:16" ht="9.75" customHeight="1" x14ac:dyDescent="0.3">
      <c r="A430">
        <f t="shared" si="6"/>
        <v>429</v>
      </c>
      <c r="B430" t="s">
        <v>135</v>
      </c>
      <c r="C430" s="3"/>
      <c r="E430" s="2">
        <f>VLOOKUP( T_Aop[[#This Row],[Id]], T_Aop[], ID_Jezik +10, 1)</f>
        <v>0</v>
      </c>
      <c r="F430" t="str">
        <f>REPT( "  ", T_Aop[[#This Row],[Aop nivo]]) &amp; VLOOKUP( T_Aop[[#This Row],[Id]], T_Aop[], ID_Jezik + 6, 1)</f>
        <v/>
      </c>
      <c r="G430" s="56"/>
      <c r="H430" s="56"/>
      <c r="I430" s="56"/>
      <c r="K430" s="292"/>
      <c r="L430" s="292"/>
      <c r="M430" s="292"/>
      <c r="N430" s="292"/>
      <c r="O430" s="10"/>
      <c r="P430" s="10"/>
    </row>
    <row r="431" spans="1:16" x14ac:dyDescent="0.3">
      <c r="A431">
        <f t="shared" si="6"/>
        <v>430</v>
      </c>
      <c r="B431" t="s">
        <v>135</v>
      </c>
      <c r="C431" s="3">
        <v>2</v>
      </c>
      <c r="D431">
        <v>908</v>
      </c>
      <c r="E431" s="2" t="str">
        <f>VLOOKUP( T_Aop[[#This Row],[Id]], T_Aop[], ID_Jezik +10, 1)</f>
        <v>8.</v>
      </c>
      <c r="F431" t="str">
        <f>REPT( "  ", T_Aop[[#This Row],[Aop nivo]]) &amp; VLOOKUP( T_Aop[[#This Row],[Id]], T_Aop[], ID_Jezik + 6, 1)</f>
        <v xml:space="preserve">    8. Emisija akcijskog kapitala i drugi oblici povećanja kapitala</v>
      </c>
      <c r="G431" s="56" t="s">
        <v>2241</v>
      </c>
      <c r="H431" s="56" t="s">
        <v>2240</v>
      </c>
      <c r="I431" s="308" t="s">
        <v>2492</v>
      </c>
      <c r="J431" s="283" t="s">
        <v>2441</v>
      </c>
      <c r="K431" s="292" t="s">
        <v>709</v>
      </c>
      <c r="L431" s="292" t="s">
        <v>709</v>
      </c>
      <c r="M431" s="292" t="s">
        <v>709</v>
      </c>
      <c r="N431" s="292" t="s">
        <v>709</v>
      </c>
      <c r="O431" s="10"/>
      <c r="P431" s="10"/>
    </row>
    <row r="432" spans="1:16" x14ac:dyDescent="0.3">
      <c r="A432">
        <f t="shared" si="6"/>
        <v>431</v>
      </c>
      <c r="B432" t="s">
        <v>135</v>
      </c>
      <c r="C432" s="3">
        <v>2</v>
      </c>
      <c r="D432">
        <v>909</v>
      </c>
      <c r="E432" s="2" t="str">
        <f>VLOOKUP( T_Aop[[#This Row],[Id]], T_Aop[], ID_Jezik +10, 1)</f>
        <v>9.</v>
      </c>
      <c r="F432" t="str">
        <f>REPT( "  ", T_Aop[[#This Row],[Aop nivo]]) &amp; VLOOKUP( T_Aop[[#This Row],[Id]], T_Aop[], ID_Jezik + 6, 1)</f>
        <v xml:space="preserve">    9. Sticanje sopstvenih akcija i drugi oblici smanjenja kapitala</v>
      </c>
      <c r="G432" s="56" t="s">
        <v>1605</v>
      </c>
      <c r="H432" s="56" t="s">
        <v>1634</v>
      </c>
      <c r="I432" s="308" t="s">
        <v>2493</v>
      </c>
      <c r="J432" s="283" t="s">
        <v>2442</v>
      </c>
      <c r="K432" s="292" t="s">
        <v>710</v>
      </c>
      <c r="L432" s="292" t="s">
        <v>710</v>
      </c>
      <c r="M432" s="292" t="s">
        <v>710</v>
      </c>
      <c r="N432" s="292" t="s">
        <v>710</v>
      </c>
      <c r="O432" s="10"/>
      <c r="P432" s="10"/>
    </row>
    <row r="433" spans="1:16" x14ac:dyDescent="0.3">
      <c r="A433">
        <f t="shared" si="6"/>
        <v>432</v>
      </c>
      <c r="B433" t="s">
        <v>135</v>
      </c>
      <c r="C433" s="3">
        <v>2</v>
      </c>
      <c r="D433">
        <v>910</v>
      </c>
      <c r="E433" s="2" t="str">
        <f>VLOOKUP( T_Aop[[#This Row],[Id]], T_Aop[], ID_Jezik +10, 1)</f>
        <v>10.</v>
      </c>
      <c r="F433" t="str">
        <f>REPT( "  ", T_Aop[[#This Row],[Aop nivo]]) &amp; VLOOKUP( T_Aop[[#This Row],[Id]], T_Aop[], ID_Jezik + 6, 1)</f>
        <v xml:space="preserve">    10. Objavljene dividende </v>
      </c>
      <c r="G433" s="56" t="s">
        <v>1606</v>
      </c>
      <c r="H433" s="56" t="s">
        <v>1635</v>
      </c>
      <c r="I433" s="308" t="s">
        <v>2486</v>
      </c>
      <c r="J433" s="283" t="s">
        <v>2443</v>
      </c>
      <c r="K433" s="292" t="s">
        <v>711</v>
      </c>
      <c r="L433" s="292" t="s">
        <v>711</v>
      </c>
      <c r="M433" s="292" t="s">
        <v>711</v>
      </c>
      <c r="N433" s="292" t="s">
        <v>711</v>
      </c>
      <c r="O433" s="10"/>
      <c r="P433" s="10"/>
    </row>
    <row r="434" spans="1:16" x14ac:dyDescent="0.3">
      <c r="A434">
        <f t="shared" si="6"/>
        <v>433</v>
      </c>
      <c r="B434" t="s">
        <v>135</v>
      </c>
      <c r="C434" s="3">
        <v>2</v>
      </c>
      <c r="D434">
        <v>911</v>
      </c>
      <c r="E434" s="2" t="str">
        <f>VLOOKUP( T_Aop[[#This Row],[Id]], T_Aop[], ID_Jezik +10, 1)</f>
        <v>11.</v>
      </c>
      <c r="F434" t="str">
        <f>REPT( "  ", T_Aop[[#This Row],[Aop nivo]]) &amp; VLOOKUP( T_Aop[[#This Row],[Id]], T_Aop[], ID_Jezik + 6, 1)</f>
        <v xml:space="preserve">    11. Drugi oblici raspodjele dobiti i pokriće gubitka</v>
      </c>
      <c r="G434" s="56" t="s">
        <v>1607</v>
      </c>
      <c r="H434" s="56" t="s">
        <v>1636</v>
      </c>
      <c r="I434" s="308" t="s">
        <v>2487</v>
      </c>
      <c r="J434" s="283" t="s">
        <v>2444</v>
      </c>
      <c r="K434" s="292" t="s">
        <v>712</v>
      </c>
      <c r="L434" s="292" t="s">
        <v>712</v>
      </c>
      <c r="M434" s="292" t="s">
        <v>712</v>
      </c>
      <c r="N434" s="292" t="s">
        <v>712</v>
      </c>
      <c r="O434" s="10"/>
      <c r="P434" s="10"/>
    </row>
    <row r="435" spans="1:16" x14ac:dyDescent="0.3">
      <c r="A435">
        <f t="shared" si="6"/>
        <v>434</v>
      </c>
      <c r="B435" t="s">
        <v>135</v>
      </c>
      <c r="C435" s="3">
        <v>2</v>
      </c>
      <c r="D435">
        <v>912</v>
      </c>
      <c r="E435" s="2" t="str">
        <f>VLOOKUP( T_Aop[[#This Row],[Id]], T_Aop[], ID_Jezik +10, 1)</f>
        <v>12.</v>
      </c>
      <c r="F435" t="str">
        <f>REPT( "  ", T_Aop[[#This Row],[Aop nivo]]) &amp; VLOOKUP( T_Aop[[#This Row],[Id]], T_Aop[], ID_Jezik + 6, 1)</f>
        <v xml:space="preserve">    12. Ostale promjene</v>
      </c>
      <c r="G435" s="306" t="s">
        <v>1608</v>
      </c>
      <c r="H435" s="306" t="s">
        <v>1637</v>
      </c>
      <c r="I435" s="306" t="s">
        <v>2485</v>
      </c>
      <c r="J435" s="306" t="s">
        <v>2445</v>
      </c>
      <c r="K435" s="292" t="s">
        <v>713</v>
      </c>
      <c r="L435" s="292" t="s">
        <v>713</v>
      </c>
      <c r="M435" s="292" t="s">
        <v>713</v>
      </c>
      <c r="N435" s="292" t="s">
        <v>713</v>
      </c>
      <c r="O435" s="10">
        <v>1</v>
      </c>
      <c r="P435" s="10">
        <v>1</v>
      </c>
    </row>
    <row r="436" spans="1:16" x14ac:dyDescent="0.3">
      <c r="A436">
        <f t="shared" si="6"/>
        <v>435</v>
      </c>
      <c r="B436" t="s">
        <v>135</v>
      </c>
      <c r="C436" s="3"/>
      <c r="E436" s="2">
        <f>VLOOKUP( T_Aop[[#This Row],[Id]], T_Aop[], ID_Jezik +10, 1)</f>
        <v>0</v>
      </c>
      <c r="F436" t="str">
        <f>REPT( "  ", T_Aop[[#This Row],[Aop nivo]]) &amp; VLOOKUP( T_Aop[[#This Row],[Id]], T_Aop[], ID_Jezik + 6, 1)</f>
        <v/>
      </c>
      <c r="G436" s="306"/>
      <c r="H436" s="306"/>
      <c r="I436" s="306"/>
      <c r="J436" s="285"/>
      <c r="K436" s="292"/>
      <c r="L436" s="292"/>
      <c r="M436" s="292"/>
      <c r="N436" s="292"/>
      <c r="O436" s="10"/>
      <c r="P436" s="10"/>
    </row>
    <row r="437" spans="1:16" ht="26" x14ac:dyDescent="0.3">
      <c r="A437">
        <f t="shared" si="6"/>
        <v>436</v>
      </c>
      <c r="B437" t="s">
        <v>135</v>
      </c>
      <c r="C437" s="3">
        <v>1</v>
      </c>
      <c r="D437">
        <v>913</v>
      </c>
      <c r="E437" s="2" t="str">
        <f>VLOOKUP( T_Aop[[#This Row],[Id]], T_Aop[], ID_Jezik +10, 1)</f>
        <v>13.</v>
      </c>
      <c r="F437" s="183" t="str">
        <f>REPT( "  ", T_Aop[[#This Row],[Aop nivo]]) &amp; VLOOKUP( T_Aop[[#This Row],[Id]], T_Aop[], ID_Jezik + 6, 1)</f>
        <v xml:space="preserve">  13. Stanje na dan 31.12.2025. god. / 01.01.2026. god. 
   (904 ± 907 ± 908 - 909 - 910 ± 911 ± 912)</v>
      </c>
      <c r="G437" s="306" t="str">
        <f>CONCATENATE("13. Stanje na dan ", Podesavanja!$X$5, " god. / ", Podesavanja!$X$4, " god. 
   (904 ± 907 ± 908 - 909 - 910 ± 911 ± 912)")</f>
        <v>13. Stanje na dan 31.12.2025. god. / 01.01.2026. god. 
   (904 ± 907 ± 908 - 909 - 910 ± 911 ± 912)</v>
      </c>
      <c r="H437" s="306" t="str">
        <f>CONCATENATE("13. Стање на дан ", Podesavanja!$X$5, " год. / ", Podesavanja!$X$4, " год. 
(904 ± 907 ± 908 - 909 - 910 ± 911 ± 912)")</f>
        <v>13. Стање на дан 31.12.2025. год. / 01.01.2026. год. 
(904 ± 907 ± 908 - 909 - 910 ± 911 ± 912)</v>
      </c>
      <c r="I437" s="306" t="str">
        <f>CONCATENATE("13. Value on day ", Podesavanja!$Y$5," / ", Podesavanja!$Y$4, " 
(904 ± 907 ± 908 - 909 - 910 ± 911 ± 912)")</f>
        <v>13. Value on day 31.12.2025 / 01.01.2026 
(904 ± 907 ± 908 - 909 - 910 ± 911 ± 912)</v>
      </c>
      <c r="J437" s="306" t="str">
        <f>CONCATENATE("13. Состояние на дату ", Podesavanja!$X$5, " года / ", Podesavanja!$X$4, " god. 
(904 ± 907 ± 908 - 909 - 910 ± 911 ± 912)")</f>
        <v>13. Состояние на дату 31.12.2025. года / 01.01.2026. god. 
(904 ± 907 ± 908 - 909 - 910 ± 911 ± 912)</v>
      </c>
      <c r="K437" s="292" t="s">
        <v>714</v>
      </c>
      <c r="L437" s="292" t="s">
        <v>714</v>
      </c>
      <c r="M437" s="292" t="s">
        <v>714</v>
      </c>
      <c r="N437" s="292" t="s">
        <v>714</v>
      </c>
      <c r="O437" s="10"/>
      <c r="P437" s="10"/>
    </row>
    <row r="438" spans="1:16" x14ac:dyDescent="0.3">
      <c r="A438">
        <f t="shared" si="6"/>
        <v>437</v>
      </c>
      <c r="B438" t="s">
        <v>135</v>
      </c>
      <c r="C438" s="3"/>
      <c r="E438" s="2">
        <f>VLOOKUP( T_Aop[[#This Row],[Id]], T_Aop[], ID_Jezik +10, 1)</f>
        <v>0</v>
      </c>
      <c r="F438" t="str">
        <f>REPT( "  ", T_Aop[[#This Row],[Aop nivo]]) &amp; VLOOKUP( T_Aop[[#This Row],[Id]], T_Aop[], ID_Jezik + 6, 1)</f>
        <v/>
      </c>
      <c r="G438" s="301"/>
      <c r="H438" s="56"/>
      <c r="I438" s="56"/>
      <c r="K438" s="292"/>
      <c r="L438" s="292"/>
      <c r="M438" s="292"/>
      <c r="N438" s="292"/>
      <c r="O438" s="10"/>
      <c r="P438" s="10"/>
    </row>
    <row r="439" spans="1:16" x14ac:dyDescent="0.3">
      <c r="A439">
        <f t="shared" si="6"/>
        <v>438</v>
      </c>
      <c r="B439" t="s">
        <v>135</v>
      </c>
      <c r="C439" s="3">
        <v>2</v>
      </c>
      <c r="D439">
        <v>914</v>
      </c>
      <c r="E439" s="2" t="str">
        <f>VLOOKUP( T_Aop[[#This Row],[Id]], T_Aop[], ID_Jezik +10, 1)</f>
        <v>14.</v>
      </c>
      <c r="F439" t="str">
        <f>REPT( "  ", T_Aop[[#This Row],[Aop nivo]]) &amp; VLOOKUP( T_Aop[[#This Row],[Id]], T_Aop[], ID_Jezik + 6, 1)</f>
        <v xml:space="preserve">    14. Efekti promjena u računovodstvenim politikama</v>
      </c>
      <c r="G439" s="56" t="s">
        <v>1609</v>
      </c>
      <c r="H439" s="56" t="s">
        <v>1638</v>
      </c>
      <c r="I439" s="308" t="s">
        <v>2494</v>
      </c>
      <c r="J439" s="283" t="s">
        <v>2446</v>
      </c>
      <c r="K439" s="292" t="s">
        <v>715</v>
      </c>
      <c r="L439" s="292" t="s">
        <v>715</v>
      </c>
      <c r="M439" s="292" t="s">
        <v>715</v>
      </c>
      <c r="N439" s="292" t="s">
        <v>715</v>
      </c>
      <c r="O439" s="10"/>
      <c r="P439" s="10"/>
    </row>
    <row r="440" spans="1:16" x14ac:dyDescent="0.3">
      <c r="A440">
        <f t="shared" si="6"/>
        <v>439</v>
      </c>
      <c r="B440" t="s">
        <v>135</v>
      </c>
      <c r="C440" s="3">
        <v>2</v>
      </c>
      <c r="D440">
        <v>915</v>
      </c>
      <c r="E440" s="2" t="str">
        <f>VLOOKUP( T_Aop[[#This Row],[Id]], T_Aop[], ID_Jezik +10, 1)</f>
        <v>15</v>
      </c>
      <c r="F440" t="str">
        <f>REPT( "  ", T_Aop[[#This Row],[Aop nivo]]) &amp; VLOOKUP( T_Aop[[#This Row],[Id]], T_Aop[], ID_Jezik + 6, 1)</f>
        <v xml:space="preserve">    15. Efekti ispravki grešaka</v>
      </c>
      <c r="G440" s="56" t="s">
        <v>2916</v>
      </c>
      <c r="H440" s="56" t="s">
        <v>2917</v>
      </c>
      <c r="I440" s="308" t="s">
        <v>2495</v>
      </c>
      <c r="J440" s="283" t="s">
        <v>2447</v>
      </c>
      <c r="K440" s="292" t="s">
        <v>1422</v>
      </c>
      <c r="L440" s="292" t="s">
        <v>1422</v>
      </c>
      <c r="M440" s="292" t="s">
        <v>1422</v>
      </c>
      <c r="N440" s="292" t="s">
        <v>1422</v>
      </c>
      <c r="O440" s="10"/>
      <c r="P440" s="10"/>
    </row>
    <row r="441" spans="1:16" x14ac:dyDescent="0.3">
      <c r="A441">
        <f t="shared" si="6"/>
        <v>440</v>
      </c>
      <c r="B441" t="s">
        <v>135</v>
      </c>
      <c r="C441" s="3">
        <v>1</v>
      </c>
      <c r="D441">
        <v>916</v>
      </c>
      <c r="E441" s="2" t="str">
        <f>VLOOKUP( T_Aop[[#This Row],[Id]], T_Aop[], ID_Jezik +10, 1)</f>
        <v>16</v>
      </c>
      <c r="F441" t="str">
        <f>REPT( "  ", T_Aop[[#This Row],[Aop nivo]]) &amp; VLOOKUP( T_Aop[[#This Row],[Id]], T_Aop[], ID_Jezik + 6, 1)</f>
        <v xml:space="preserve">  16. Ponovo iskazano stanje na dan 01.01.2026. godine (913 ± 914 ± 915)</v>
      </c>
      <c r="G441" s="306" t="str">
        <f>CONCATENATE("16. Ponovo iskazano stanje na dan ", Podesavanja!$X$4, " godine (913 ± 914 ± 915)")</f>
        <v>16. Ponovo iskazano stanje na dan 01.01.2026. godine (913 ± 914 ± 915)</v>
      </c>
      <c r="H441" s="306" t="str">
        <f>CONCATENATE("16. Поново исказано стање на дан ", Podesavanja!$X$4, " године (913 ± 914 ± 915)")</f>
        <v>16. Поново исказано стање на дан 01.01.2026. године (913 ± 914 ± 915)</v>
      </c>
      <c r="I441" s="306" t="str">
        <f>CONCATENATE("16. New value on day ",  Podesavanja!$Y$4," (913 ± 914 ± 915)")</f>
        <v>16. New value on day 01.01.2026 (913 ± 914 ± 915)</v>
      </c>
      <c r="J441" s="306" t="str">
        <f>CONCATENATE("16. Повторно представленное состояние", Podesavanja!$X$4, " года (913 ± 914 ± 915)")</f>
        <v>16. Повторно представленное состояние01.01.2026. года (913 ± 914 ± 915)</v>
      </c>
      <c r="K441" s="292" t="s">
        <v>1616</v>
      </c>
      <c r="L441" s="292" t="s">
        <v>1616</v>
      </c>
      <c r="M441" s="292" t="s">
        <v>1616</v>
      </c>
      <c r="N441" s="292" t="s">
        <v>1616</v>
      </c>
      <c r="O441" s="10">
        <v>1</v>
      </c>
      <c r="P441" s="10"/>
    </row>
    <row r="442" spans="1:16" x14ac:dyDescent="0.3">
      <c r="A442">
        <f t="shared" si="6"/>
        <v>441</v>
      </c>
      <c r="B442" t="s">
        <v>135</v>
      </c>
      <c r="C442" s="3"/>
      <c r="E442" s="2">
        <f>VLOOKUP( T_Aop[[#This Row],[Id]], T_Aop[], ID_Jezik +10, 1)</f>
        <v>0</v>
      </c>
      <c r="F442" t="str">
        <f>REPT( "  ", T_Aop[[#This Row],[Aop nivo]]) &amp; VLOOKUP( T_Aop[[#This Row],[Id]], T_Aop[], ID_Jezik + 6, 1)</f>
        <v/>
      </c>
      <c r="G442" s="306"/>
      <c r="H442" s="306"/>
      <c r="I442" s="306"/>
      <c r="J442" s="285"/>
      <c r="K442" s="292"/>
      <c r="L442" s="292"/>
      <c r="M442" s="292"/>
      <c r="N442" s="292"/>
      <c r="O442" s="10"/>
      <c r="P442" s="10"/>
    </row>
    <row r="443" spans="1:16" x14ac:dyDescent="0.3">
      <c r="A443">
        <f t="shared" si="6"/>
        <v>442</v>
      </c>
      <c r="B443" t="s">
        <v>135</v>
      </c>
      <c r="C443" s="3">
        <v>2</v>
      </c>
      <c r="D443">
        <v>917</v>
      </c>
      <c r="E443" s="2" t="str">
        <f>VLOOKUP( T_Aop[[#This Row],[Id]], T_Aop[], ID_Jezik +10, 1)</f>
        <v>17</v>
      </c>
      <c r="F443" t="str">
        <f>REPT( "  ", T_Aop[[#This Row],[Aop nivo]]) &amp; VLOOKUP( T_Aop[[#This Row],[Id]], T_Aop[], ID_Jezik + 6, 1)</f>
        <v xml:space="preserve">    17. Dobit/(gubitak) za godinu</v>
      </c>
      <c r="G443" s="56" t="s">
        <v>1610</v>
      </c>
      <c r="H443" s="56" t="s">
        <v>1639</v>
      </c>
      <c r="I443" s="308" t="s">
        <v>2496</v>
      </c>
      <c r="J443" s="282" t="s">
        <v>2448</v>
      </c>
      <c r="K443" s="292" t="s">
        <v>1617</v>
      </c>
      <c r="L443" s="292" t="s">
        <v>1617</v>
      </c>
      <c r="M443" s="292" t="s">
        <v>1617</v>
      </c>
      <c r="N443" s="292" t="s">
        <v>1617</v>
      </c>
      <c r="O443" s="10"/>
      <c r="P443" s="10"/>
    </row>
    <row r="444" spans="1:16" x14ac:dyDescent="0.3">
      <c r="A444">
        <f t="shared" si="6"/>
        <v>443</v>
      </c>
      <c r="B444" t="s">
        <v>135</v>
      </c>
      <c r="C444" s="3">
        <v>2</v>
      </c>
      <c r="D444">
        <v>918</v>
      </c>
      <c r="E444" s="2" t="str">
        <f>VLOOKUP( T_Aop[[#This Row],[Id]], T_Aop[], ID_Jezik +10, 1)</f>
        <v>18</v>
      </c>
      <c r="F444" t="str">
        <f>REPT( "  ", T_Aop[[#This Row],[Aop nivo]]) &amp; VLOOKUP( T_Aop[[#This Row],[Id]], T_Aop[], ID_Jezik + 6, 1)</f>
        <v xml:space="preserve">    18. Ostali ukupni rezultat za godinu</v>
      </c>
      <c r="G444" s="56" t="s">
        <v>2895</v>
      </c>
      <c r="H444" s="56" t="s">
        <v>2896</v>
      </c>
      <c r="I444" s="308" t="s">
        <v>2897</v>
      </c>
      <c r="J444" s="282" t="s">
        <v>2449</v>
      </c>
      <c r="K444" s="292" t="s">
        <v>1618</v>
      </c>
      <c r="L444" s="292" t="s">
        <v>1618</v>
      </c>
      <c r="M444" s="292" t="s">
        <v>1618</v>
      </c>
      <c r="N444" s="292" t="s">
        <v>1618</v>
      </c>
      <c r="O444" s="10"/>
      <c r="P444" s="10">
        <v>1</v>
      </c>
    </row>
    <row r="445" spans="1:16" x14ac:dyDescent="0.3">
      <c r="A445">
        <f t="shared" si="6"/>
        <v>444</v>
      </c>
      <c r="B445" t="s">
        <v>135</v>
      </c>
      <c r="C445" s="3">
        <v>1</v>
      </c>
      <c r="D445">
        <v>919</v>
      </c>
      <c r="E445" s="2" t="str">
        <f>VLOOKUP( T_Aop[[#This Row],[Id]], T_Aop[], ID_Jezik +10, 1)</f>
        <v>19</v>
      </c>
      <c r="F445" t="str">
        <f>REPT( "  ", T_Aop[[#This Row],[Aop nivo]]) &amp; VLOOKUP( T_Aop[[#This Row],[Id]], T_Aop[], ID_Jezik + 6, 1)</f>
        <v xml:space="preserve">  19. Ukupna dobit/(gubitak) (± 917 ± 918)</v>
      </c>
      <c r="G445" s="310" t="s">
        <v>2243</v>
      </c>
      <c r="H445" s="310" t="s">
        <v>2244</v>
      </c>
      <c r="I445" s="310" t="s">
        <v>2501</v>
      </c>
      <c r="J445" s="310" t="s">
        <v>2450</v>
      </c>
      <c r="K445" s="292" t="s">
        <v>1619</v>
      </c>
      <c r="L445" s="292" t="s">
        <v>1619</v>
      </c>
      <c r="M445" s="292" t="s">
        <v>1619</v>
      </c>
      <c r="N445" s="292" t="s">
        <v>1619</v>
      </c>
      <c r="O445" s="10"/>
      <c r="P445" s="10">
        <v>1</v>
      </c>
    </row>
    <row r="446" spans="1:16" x14ac:dyDescent="0.3">
      <c r="A446">
        <f t="shared" si="6"/>
        <v>445</v>
      </c>
      <c r="B446" t="s">
        <v>135</v>
      </c>
      <c r="C446" s="3"/>
      <c r="E446" s="2"/>
      <c r="F446" t="str">
        <f>REPT( "  ", T_Aop[[#This Row],[Aop nivo]]) &amp; VLOOKUP( T_Aop[[#This Row],[Id]], T_Aop[], ID_Jezik + 6, 1)</f>
        <v/>
      </c>
      <c r="G446" s="56"/>
      <c r="H446" s="56"/>
      <c r="I446" s="56"/>
      <c r="J446" s="56"/>
      <c r="K446" s="292"/>
      <c r="L446" s="292"/>
      <c r="M446" s="292"/>
      <c r="N446" s="292"/>
      <c r="O446" s="10"/>
      <c r="P446" s="10"/>
    </row>
    <row r="447" spans="1:16" x14ac:dyDescent="0.3">
      <c r="A447">
        <f t="shared" si="6"/>
        <v>446</v>
      </c>
      <c r="B447" t="s">
        <v>135</v>
      </c>
      <c r="C447" s="3">
        <v>2</v>
      </c>
      <c r="D447">
        <v>920</v>
      </c>
      <c r="E447" s="2" t="str">
        <f>VLOOKUP( T_Aop[[#This Row],[Id]], T_Aop[], ID_Jezik +10, 1)</f>
        <v>20</v>
      </c>
      <c r="F447" t="str">
        <f>REPT( "  ", T_Aop[[#This Row],[Aop nivo]]) &amp; VLOOKUP( T_Aop[[#This Row],[Id]], T_Aop[], ID_Jezik + 6, 1)</f>
        <v xml:space="preserve">    20. Emisija akcijskog kapitala i drugi oblici povećanja kapitala</v>
      </c>
      <c r="G447" s="56" t="s">
        <v>1611</v>
      </c>
      <c r="H447" s="56" t="s">
        <v>1640</v>
      </c>
      <c r="I447" s="307" t="s">
        <v>2497</v>
      </c>
      <c r="J447" s="282" t="s">
        <v>2451</v>
      </c>
      <c r="K447" s="292" t="s">
        <v>1620</v>
      </c>
      <c r="L447" s="292" t="s">
        <v>1620</v>
      </c>
      <c r="M447" s="292" t="s">
        <v>1620</v>
      </c>
      <c r="N447" s="292" t="s">
        <v>1620</v>
      </c>
      <c r="O447" s="10"/>
      <c r="P447" s="10"/>
    </row>
    <row r="448" spans="1:16" x14ac:dyDescent="0.3">
      <c r="A448">
        <f t="shared" si="6"/>
        <v>447</v>
      </c>
      <c r="B448" t="s">
        <v>135</v>
      </c>
      <c r="C448" s="3">
        <v>2</v>
      </c>
      <c r="D448">
        <v>921</v>
      </c>
      <c r="E448" s="2" t="str">
        <f>VLOOKUP( T_Aop[[#This Row],[Id]], T_Aop[], ID_Jezik +10, 1)</f>
        <v>21</v>
      </c>
      <c r="F448" t="str">
        <f>REPT( "  ", T_Aop[[#This Row],[Aop nivo]]) &amp; VLOOKUP( T_Aop[[#This Row],[Id]], T_Aop[], ID_Jezik + 6, 1)</f>
        <v xml:space="preserve">    21. Sticanje sopstvenih akcija i drugi oblici smanjenja kapitala</v>
      </c>
      <c r="G448" s="56" t="s">
        <v>1612</v>
      </c>
      <c r="H448" s="56" t="s">
        <v>1641</v>
      </c>
      <c r="I448" s="308" t="s">
        <v>2498</v>
      </c>
      <c r="J448" s="282" t="s">
        <v>2452</v>
      </c>
      <c r="K448" s="292" t="s">
        <v>1621</v>
      </c>
      <c r="L448" s="292" t="s">
        <v>1621</v>
      </c>
      <c r="M448" s="292" t="s">
        <v>1621</v>
      </c>
      <c r="N448" s="292" t="s">
        <v>1621</v>
      </c>
      <c r="O448" s="10"/>
      <c r="P448" s="10"/>
    </row>
    <row r="449" spans="1:16" x14ac:dyDescent="0.3">
      <c r="A449">
        <f t="shared" si="6"/>
        <v>448</v>
      </c>
      <c r="B449" t="s">
        <v>135</v>
      </c>
      <c r="C449" s="3">
        <v>2</v>
      </c>
      <c r="D449">
        <v>922</v>
      </c>
      <c r="E449" s="2" t="str">
        <f>VLOOKUP( T_Aop[[#This Row],[Id]], T_Aop[], ID_Jezik +10, 1)</f>
        <v>22</v>
      </c>
      <c r="F449" t="str">
        <f>REPT( "  ", T_Aop[[#This Row],[Aop nivo]]) &amp; VLOOKUP( T_Aop[[#This Row],[Id]], T_Aop[], ID_Jezik + 6, 1)</f>
        <v xml:space="preserve">    22. Objavljene dividende </v>
      </c>
      <c r="G449" s="56" t="s">
        <v>1613</v>
      </c>
      <c r="H449" s="56" t="s">
        <v>1642</v>
      </c>
      <c r="I449" s="308" t="s">
        <v>2499</v>
      </c>
      <c r="J449" s="282" t="s">
        <v>2453</v>
      </c>
      <c r="K449" s="292" t="s">
        <v>1622</v>
      </c>
      <c r="L449" s="292" t="s">
        <v>1622</v>
      </c>
      <c r="M449" s="292" t="s">
        <v>1622</v>
      </c>
      <c r="N449" s="292" t="s">
        <v>1622</v>
      </c>
      <c r="O449" s="10"/>
      <c r="P449" s="10"/>
    </row>
    <row r="450" spans="1:16" x14ac:dyDescent="0.3">
      <c r="A450">
        <f t="shared" si="6"/>
        <v>449</v>
      </c>
      <c r="B450" t="s">
        <v>135</v>
      </c>
      <c r="C450" s="3">
        <v>2</v>
      </c>
      <c r="D450">
        <v>923</v>
      </c>
      <c r="E450" s="2" t="str">
        <f>VLOOKUP( T_Aop[[#This Row],[Id]], T_Aop[], ID_Jezik +10, 1)</f>
        <v>23</v>
      </c>
      <c r="F450" t="str">
        <f>REPT( "  ", T_Aop[[#This Row],[Aop nivo]]) &amp; VLOOKUP( T_Aop[[#This Row],[Id]], T_Aop[], ID_Jezik + 6, 1)</f>
        <v xml:space="preserve">    23. Drugi oblici raspodjele dobiti i pokriće gubitka</v>
      </c>
      <c r="G450" s="56" t="s">
        <v>1614</v>
      </c>
      <c r="H450" s="56" t="s">
        <v>1643</v>
      </c>
      <c r="I450" s="308" t="s">
        <v>2500</v>
      </c>
      <c r="J450" s="282" t="s">
        <v>2454</v>
      </c>
      <c r="K450" s="292" t="s">
        <v>1623</v>
      </c>
      <c r="L450" s="292" t="s">
        <v>1623</v>
      </c>
      <c r="M450" s="292" t="s">
        <v>1623</v>
      </c>
      <c r="N450" s="292" t="s">
        <v>1623</v>
      </c>
      <c r="O450" s="10"/>
      <c r="P450" s="10"/>
    </row>
    <row r="451" spans="1:16" x14ac:dyDescent="0.3">
      <c r="A451">
        <f t="shared" si="6"/>
        <v>450</v>
      </c>
      <c r="B451" t="s">
        <v>135</v>
      </c>
      <c r="C451" s="3">
        <v>2</v>
      </c>
      <c r="D451">
        <v>924</v>
      </c>
      <c r="E451" s="2" t="str">
        <f>VLOOKUP( T_Aop[[#This Row],[Id]], T_Aop[], ID_Jezik +10, 1)</f>
        <v>24</v>
      </c>
      <c r="F451" t="str">
        <f>REPT( "  ", T_Aop[[#This Row],[Aop nivo]]) &amp; VLOOKUP( T_Aop[[#This Row],[Id]], T_Aop[], ID_Jezik + 6, 1)</f>
        <v xml:space="preserve">    24. Ostale promjene</v>
      </c>
      <c r="G451" s="56" t="s">
        <v>1615</v>
      </c>
      <c r="H451" s="56" t="s">
        <v>1644</v>
      </c>
      <c r="I451" s="308" t="s">
        <v>2502</v>
      </c>
      <c r="J451" s="282" t="s">
        <v>2455</v>
      </c>
      <c r="K451" s="292" t="s">
        <v>1624</v>
      </c>
      <c r="L451" s="292" t="s">
        <v>1624</v>
      </c>
      <c r="M451" s="292" t="s">
        <v>1624</v>
      </c>
      <c r="N451" s="292" t="s">
        <v>1624</v>
      </c>
      <c r="O451" s="10"/>
      <c r="P451" s="10"/>
    </row>
    <row r="452" spans="1:16" x14ac:dyDescent="0.3">
      <c r="A452">
        <f t="shared" si="6"/>
        <v>451</v>
      </c>
      <c r="B452" t="s">
        <v>135</v>
      </c>
      <c r="C452" s="3"/>
      <c r="E452" s="2">
        <f>VLOOKUP( T_Aop[[#This Row],[Id]], T_Aop[], ID_Jezik +10, 1)</f>
        <v>0</v>
      </c>
      <c r="F452" t="str">
        <f>REPT( "  ", T_Aop[[#This Row],[Aop nivo]]) &amp; VLOOKUP( T_Aop[[#This Row],[Id]], T_Aop[], ID_Jezik + 6, 1)</f>
        <v/>
      </c>
      <c r="H452" s="56"/>
      <c r="I452" s="56"/>
      <c r="J452" s="285"/>
      <c r="K452" s="292"/>
      <c r="L452" s="292"/>
      <c r="M452" s="292"/>
      <c r="N452" s="292"/>
      <c r="O452" s="10"/>
      <c r="P452" s="10"/>
    </row>
    <row r="453" spans="1:16" x14ac:dyDescent="0.3">
      <c r="A453">
        <f t="shared" si="6"/>
        <v>452</v>
      </c>
      <c r="B453" t="s">
        <v>135</v>
      </c>
      <c r="C453" s="3">
        <v>0</v>
      </c>
      <c r="D453">
        <v>925</v>
      </c>
      <c r="E453" s="2" t="str">
        <f>VLOOKUP( T_Aop[[#This Row],[Id]], T_Aop[], ID_Jezik +10, 1)</f>
        <v>25</v>
      </c>
      <c r="F453" t="str">
        <f>REPT( "  ", T_Aop[[#This Row],[Aop nivo]]) &amp; VLOOKUP( T_Aop[[#This Row],[Id]], T_Aop[], ID_Jezik + 6, 1)</f>
        <v>25. Stanje na dan 30.06.2026. godine (916 ± 919 ± 920  - 921 - 922± 923 ± 924)</v>
      </c>
      <c r="G453" s="306" t="str">
        <f>CONCATENATE("25. Stanje na dan ",Datum_Format," godine (916 ± 919 ± 920  - 921 - 922± 923 ± 924)")</f>
        <v>25. Stanje na dan 30.06.2026. godine (916 ± 919 ± 920  - 921 - 922± 923 ± 924)</v>
      </c>
      <c r="H453" s="306" t="str">
        <f>CONCATENATE("25. Стање на дан ",Datum_Format," године (916 ± 919 ± 920  - 921 - 922± 923 ± 924)")</f>
        <v>25. Стање на дан 30.06.2026. године (916 ± 919 ± 920  - 921 - 922± 923 ± 924)</v>
      </c>
      <c r="I453" s="306" t="str">
        <f>CONCATENATE("25. Value on day ",  Podesavanja!$Y$3,"(916 ± 919 ± 920  - 921 - 922± 923 ± 924)")</f>
        <v>25. Value on day 30.06.2026(916 ± 919 ± 920  - 921 - 922± 923 ± 924)</v>
      </c>
      <c r="J453" s="306" t="str">
        <f>CONCATENATE("25. Состояние на дату ",  ,Datum_Format," года (916 ± 919 ± 920  - 921 - 922± 923 ± 924)")</f>
        <v>25. Состояние на дату 30.06.2026. года (916 ± 919 ± 920  - 921 - 922± 923 ± 924)</v>
      </c>
      <c r="K453" s="292" t="s">
        <v>1625</v>
      </c>
      <c r="L453" s="292" t="s">
        <v>1625</v>
      </c>
      <c r="M453" s="292" t="s">
        <v>1625</v>
      </c>
      <c r="N453" s="292" t="s">
        <v>1625</v>
      </c>
      <c r="O453" s="10">
        <v>1</v>
      </c>
      <c r="P453" s="10"/>
    </row>
  </sheetData>
  <sheetProtection algorithmName="SHA-512" hashValue="LMXNegT4wHujIzz2YS4jvC3ry03aR7ZZjTqXiiDs2nj3bmFyEngdqBrKu4tIqP9VKUrr2wuwuzsdpKYqjiSaUg==" saltValue="E/rUmJs0VO4grLcN1cHY0Q==" spinCount="100000" sheet="1" objects="1" scenarios="1"/>
  <phoneticPr fontId="27" type="noConversion"/>
  <conditionalFormatting sqref="A134 O134:P134 A136 A138">
    <cfRule type="expression" dxfId="188" priority="142" stopIfTrue="1">
      <formula>$B134&lt;&gt;#REF!</formula>
    </cfRule>
  </conditionalFormatting>
  <conditionalFormatting sqref="A242:A352 E264:E352">
    <cfRule type="expression" dxfId="187" priority="2416" stopIfTrue="1">
      <formula>#REF!&lt;&gt;#REF!</formula>
    </cfRule>
  </conditionalFormatting>
  <conditionalFormatting sqref="A241:C241 E241 G241 J241 O241:P241">
    <cfRule type="expression" dxfId="186" priority="2501" stopIfTrue="1">
      <formula>$B241&lt;&gt;#REF!</formula>
    </cfRule>
  </conditionalFormatting>
  <conditionalFormatting sqref="A368:G368 K368:P368 A383:C383 E383:G383 I383 K383:P383">
    <cfRule type="expression" dxfId="185" priority="2652" stopIfTrue="1">
      <formula>$B368&lt;&gt;#REF!</formula>
    </cfRule>
  </conditionalFormatting>
  <conditionalFormatting sqref="A421:M421 C425:M425 O138:P138 O262:P262 B279:D279 G279:P280 C280:D280 B280:B281 A379 E379:G379 I379 K379:P379 A419:P419 B420 N421:P422 A422 C422:I422 K422:M422 B422:B451 A425:A426 N425:P426 C426:I426 K426:M426 C429:J429 A429:A430 K429:P430 C430:I430 A435 C435:P435 A437 C437:P437 E438:E441 A439 C439:D439 F439:H439 K439:P439 C441:D441 F441:J441 A441:A442 K441:P442 C442:I442 A447 C447:H447 K447:P447 A451 C451:H451 K451:P451">
    <cfRule type="expression" dxfId="184" priority="111" stopIfTrue="1">
      <formula>$B138&lt;&gt;$B140</formula>
    </cfRule>
  </conditionalFormatting>
  <conditionalFormatting sqref="A452:P453">
    <cfRule type="expression" dxfId="183" priority="2605" stopIfTrue="1">
      <formula>$B452&lt;&gt;#REF!</formula>
    </cfRule>
  </conditionalFormatting>
  <conditionalFormatting sqref="B139:C139">
    <cfRule type="expression" dxfId="182" priority="148" stopIfTrue="1">
      <formula>$B139&lt;&gt;#REF!</formula>
    </cfRule>
  </conditionalFormatting>
  <conditionalFormatting sqref="B314:C314 G314 I314:K314 M314:P314 B316:C316 B318 B320:C320 B322:C322 B324 B326:C326 B328:C328 B330 B332:C332 B334:C334 B336 B338:C338 B340:C340 B342:B343 C343 B345 B347:C347 B349:C349 B351">
    <cfRule type="expression" dxfId="181" priority="2502" stopIfTrue="1">
      <formula>$B314&lt;&gt;#REF!</formula>
    </cfRule>
  </conditionalFormatting>
  <conditionalFormatting sqref="D2:D77">
    <cfRule type="expression" dxfId="180" priority="16">
      <formula>$B3&lt;&gt;$B2</formula>
    </cfRule>
  </conditionalFormatting>
  <conditionalFormatting sqref="D133 I133:J133">
    <cfRule type="expression" dxfId="179" priority="161" stopIfTrue="1">
      <formula>$B134&lt;&gt;#REF!</formula>
    </cfRule>
  </conditionalFormatting>
  <conditionalFormatting sqref="D134:D136 I137:J137">
    <cfRule type="expression" dxfId="178" priority="125" stopIfTrue="1">
      <formula>$B135&lt;&gt;$B137</formula>
    </cfRule>
  </conditionalFormatting>
  <conditionalFormatting sqref="D138">
    <cfRule type="expression" dxfId="177" priority="2" stopIfTrue="1">
      <formula>$B138&lt;&gt;$B139</formula>
    </cfRule>
  </conditionalFormatting>
  <conditionalFormatting sqref="D139 I139:J139">
    <cfRule type="expression" dxfId="176" priority="156" stopIfTrue="1">
      <formula>#REF!&lt;&gt;$B140</formula>
    </cfRule>
  </conditionalFormatting>
  <conditionalFormatting sqref="D381">
    <cfRule type="expression" dxfId="175" priority="2688" stopIfTrue="1">
      <formula>$B381&lt;&gt;#REF!</formula>
    </cfRule>
  </conditionalFormatting>
  <conditionalFormatting sqref="D383 D385 D387 D389 D392 D394 D396 D398 D401 D403 D405 D407 D409 D411 D413 D415 D417">
    <cfRule type="expression" dxfId="174" priority="2697" stopIfTrue="1">
      <formula>$B383&lt;&gt;#REF!</formula>
    </cfRule>
  </conditionalFormatting>
  <conditionalFormatting sqref="E242:E262">
    <cfRule type="expression" dxfId="173" priority="2433" stopIfTrue="1">
      <formula>#REF!&lt;&gt;#REF!</formula>
    </cfRule>
  </conditionalFormatting>
  <conditionalFormatting sqref="E263">
    <cfRule type="expression" dxfId="172" priority="21" stopIfTrue="1">
      <formula>$B263&lt;&gt;$B264</formula>
    </cfRule>
  </conditionalFormatting>
  <conditionalFormatting sqref="E134:F135">
    <cfRule type="expression" dxfId="171" priority="10" stopIfTrue="1">
      <formula>$B134&lt;&gt;#REF!</formula>
    </cfRule>
  </conditionalFormatting>
  <conditionalFormatting sqref="E136:F139">
    <cfRule type="expression" dxfId="170" priority="8" stopIfTrue="1">
      <formula>$B136&lt;&gt;$B137</formula>
    </cfRule>
  </conditionalFormatting>
  <conditionalFormatting sqref="F242:F246">
    <cfRule type="expression" dxfId="169" priority="391" stopIfTrue="1">
      <formula>#REF!&lt;&gt;$B243</formula>
    </cfRule>
  </conditionalFormatting>
  <conditionalFormatting sqref="F247">
    <cfRule type="expression" dxfId="168" priority="374" stopIfTrue="1">
      <formula>#REF!&lt;&gt;$B243</formula>
    </cfRule>
  </conditionalFormatting>
  <conditionalFormatting sqref="F248">
    <cfRule type="expression" dxfId="167" priority="365" stopIfTrue="1">
      <formula>#REF!&lt;&gt;$B243</formula>
    </cfRule>
  </conditionalFormatting>
  <conditionalFormatting sqref="F249">
    <cfRule type="expression" dxfId="166" priority="366" stopIfTrue="1">
      <formula>#REF!&lt;&gt;$B243</formula>
    </cfRule>
  </conditionalFormatting>
  <conditionalFormatting sqref="F250">
    <cfRule type="expression" dxfId="165" priority="368" stopIfTrue="1">
      <formula>#REF!&lt;&gt;$B243</formula>
    </cfRule>
  </conditionalFormatting>
  <conditionalFormatting sqref="F251:F252">
    <cfRule type="expression" dxfId="164" priority="364" stopIfTrue="1">
      <formula>#REF!&lt;&gt;$B243</formula>
    </cfRule>
  </conditionalFormatting>
  <conditionalFormatting sqref="F253:F257">
    <cfRule type="expression" dxfId="163" priority="1026" stopIfTrue="1">
      <formula>#REF!&lt;&gt;$B244</formula>
    </cfRule>
  </conditionalFormatting>
  <conditionalFormatting sqref="F258:F261">
    <cfRule type="expression" dxfId="162" priority="1297" stopIfTrue="1">
      <formula>#REF!&lt;&gt;$B245</formula>
    </cfRule>
  </conditionalFormatting>
  <conditionalFormatting sqref="F262:F265">
    <cfRule type="expression" dxfId="161" priority="1241" stopIfTrue="1">
      <formula>#REF!&lt;&gt;$B245</formula>
    </cfRule>
  </conditionalFormatting>
  <conditionalFormatting sqref="F266:F273">
    <cfRule type="expression" dxfId="160" priority="1195" stopIfTrue="1">
      <formula>#REF!&lt;&gt;$B245</formula>
    </cfRule>
  </conditionalFormatting>
  <conditionalFormatting sqref="F274:F280">
    <cfRule type="expression" dxfId="159" priority="1633" stopIfTrue="1">
      <formula>#REF!&lt;&gt;$B247</formula>
    </cfRule>
  </conditionalFormatting>
  <conditionalFormatting sqref="F281:F286">
    <cfRule type="expression" dxfId="158" priority="2510" stopIfTrue="1">
      <formula>#REF!&lt;&gt;$B253</formula>
    </cfRule>
  </conditionalFormatting>
  <conditionalFormatting sqref="F287:F289">
    <cfRule type="expression" dxfId="157" priority="1744" stopIfTrue="1">
      <formula>#REF!&lt;&gt;$B250</formula>
    </cfRule>
  </conditionalFormatting>
  <conditionalFormatting sqref="F290:F291">
    <cfRule type="expression" dxfId="156" priority="1578" stopIfTrue="1">
      <formula>#REF!&lt;&gt;$B247</formula>
    </cfRule>
  </conditionalFormatting>
  <conditionalFormatting sqref="F292">
    <cfRule type="expression" dxfId="155" priority="980" stopIfTrue="1">
      <formula>#REF!&lt;&gt;$B244</formula>
    </cfRule>
  </conditionalFormatting>
  <conditionalFormatting sqref="F293">
    <cfRule type="expression" dxfId="154" priority="936" stopIfTrue="1">
      <formula>#REF!&lt;&gt;$B244</formula>
    </cfRule>
  </conditionalFormatting>
  <conditionalFormatting sqref="F294:F311">
    <cfRule type="expression" dxfId="153" priority="890" stopIfTrue="1">
      <formula>#REF!&lt;&gt;$B244</formula>
    </cfRule>
  </conditionalFormatting>
  <conditionalFormatting sqref="F312:F337">
    <cfRule type="expression" dxfId="152" priority="2279" stopIfTrue="1">
      <formula>#REF!&lt;&gt;$B245</formula>
    </cfRule>
  </conditionalFormatting>
  <conditionalFormatting sqref="F338:F341">
    <cfRule type="expression" dxfId="151" priority="2515" stopIfTrue="1">
      <formula>#REF!&lt;&gt;$B258</formula>
    </cfRule>
  </conditionalFormatting>
  <conditionalFormatting sqref="F342">
    <cfRule type="expression" dxfId="150" priority="2249" stopIfTrue="1">
      <formula>#REF!&lt;&gt;$B245</formula>
    </cfRule>
  </conditionalFormatting>
  <conditionalFormatting sqref="F343">
    <cfRule type="expression" dxfId="149" priority="2219" stopIfTrue="1">
      <formula>#REF!&lt;&gt;$B245</formula>
    </cfRule>
  </conditionalFormatting>
  <conditionalFormatting sqref="F344">
    <cfRule type="expression" dxfId="148" priority="2189" stopIfTrue="1">
      <formula>#REF!&lt;&gt;$B245</formula>
    </cfRule>
  </conditionalFormatting>
  <conditionalFormatting sqref="F345">
    <cfRule type="expression" dxfId="147" priority="2159" stopIfTrue="1">
      <formula>#REF!&lt;&gt;$B245</formula>
    </cfRule>
  </conditionalFormatting>
  <conditionalFormatting sqref="F346">
    <cfRule type="expression" dxfId="146" priority="2129" stopIfTrue="1">
      <formula>#REF!&lt;&gt;$B245</formula>
    </cfRule>
  </conditionalFormatting>
  <conditionalFormatting sqref="F347">
    <cfRule type="expression" dxfId="145" priority="2103" stopIfTrue="1">
      <formula>#REF!&lt;&gt;$B245</formula>
    </cfRule>
  </conditionalFormatting>
  <conditionalFormatting sqref="F348">
    <cfRule type="expression" dxfId="144" priority="2069" stopIfTrue="1">
      <formula>#REF!&lt;&gt;$B245</formula>
    </cfRule>
  </conditionalFormatting>
  <conditionalFormatting sqref="F349">
    <cfRule type="expression" dxfId="143" priority="2039" stopIfTrue="1">
      <formula>#REF!&lt;&gt;$B245</formula>
    </cfRule>
  </conditionalFormatting>
  <conditionalFormatting sqref="F350">
    <cfRule type="expression" dxfId="142" priority="2013" stopIfTrue="1">
      <formula>#REF!&lt;&gt;$B245</formula>
    </cfRule>
  </conditionalFormatting>
  <conditionalFormatting sqref="F351">
    <cfRule type="expression" dxfId="141" priority="1979" stopIfTrue="1">
      <formula>#REF!&lt;&gt;$B245</formula>
    </cfRule>
  </conditionalFormatting>
  <conditionalFormatting sqref="F352">
    <cfRule type="expression" dxfId="140" priority="1949" stopIfTrue="1">
      <formula>#REF!&lt;&gt;$B245</formula>
    </cfRule>
  </conditionalFormatting>
  <conditionalFormatting sqref="G246:G248 J246:P248 G250:G258 J250:J262 L250:N262 K252 G260 O261:P261 K262 G262:G263">
    <cfRule type="expression" dxfId="139" priority="164" stopIfTrue="1">
      <formula>$B246&lt;&gt;$B250</formula>
    </cfRule>
  </conditionalFormatting>
  <conditionalFormatting sqref="G249 J249:P249 K253 K255 K257 G259 K259 G261 K261">
    <cfRule type="expression" dxfId="138" priority="26" stopIfTrue="1">
      <formula>$B249&lt;&gt;$B263</formula>
    </cfRule>
  </conditionalFormatting>
  <conditionalFormatting sqref="G315:G337 I315:K337 M315:P337">
    <cfRule type="expression" dxfId="137" priority="2359" stopIfTrue="1">
      <formula>$B315&lt;&gt;$B299</formula>
    </cfRule>
  </conditionalFormatting>
  <conditionalFormatting sqref="G338:G341 I338:K341 M338:P341">
    <cfRule type="expression" dxfId="136" priority="2517" stopIfTrue="1">
      <formula>$B338&lt;&gt;$B309</formula>
    </cfRule>
  </conditionalFormatting>
  <conditionalFormatting sqref="G342 I342:K342 M342:P342">
    <cfRule type="expression" dxfId="135" priority="2357" stopIfTrue="1">
      <formula>$B342&lt;&gt;$B296</formula>
    </cfRule>
  </conditionalFormatting>
  <conditionalFormatting sqref="G343 I343:K343 M343:P343">
    <cfRule type="expression" dxfId="134" priority="2355" stopIfTrue="1">
      <formula>$B343&lt;&gt;$B296</formula>
    </cfRule>
  </conditionalFormatting>
  <conditionalFormatting sqref="G344 I344:K344 M344:P344">
    <cfRule type="expression" dxfId="133" priority="2353" stopIfTrue="1">
      <formula>$B344&lt;&gt;$B296</formula>
    </cfRule>
  </conditionalFormatting>
  <conditionalFormatting sqref="G345 I345:K345 M345:P345">
    <cfRule type="expression" dxfId="132" priority="2351" stopIfTrue="1">
      <formula>$B345&lt;&gt;$B296</formula>
    </cfRule>
  </conditionalFormatting>
  <conditionalFormatting sqref="G346 I346:K346 M346:P346">
    <cfRule type="expression" dxfId="131" priority="2349" stopIfTrue="1">
      <formula>$B346&lt;&gt;$B296</formula>
    </cfRule>
  </conditionalFormatting>
  <conditionalFormatting sqref="G347 I347:K347 M347:P347">
    <cfRule type="expression" dxfId="130" priority="2324" stopIfTrue="1">
      <formula>$B347&lt;&gt;$B296</formula>
    </cfRule>
  </conditionalFormatting>
  <conditionalFormatting sqref="G348 I348:K348 M348:P348">
    <cfRule type="expression" dxfId="129" priority="2347" stopIfTrue="1">
      <formula>$B348&lt;&gt;$B296</formula>
    </cfRule>
  </conditionalFormatting>
  <conditionalFormatting sqref="G349 I349:K349 M349:P349">
    <cfRule type="expression" dxfId="128" priority="2345" stopIfTrue="1">
      <formula>$B349&lt;&gt;$B296</formula>
    </cfRule>
  </conditionalFormatting>
  <conditionalFormatting sqref="G350 I350:K350 M350:P350">
    <cfRule type="expression" dxfId="127" priority="2322" stopIfTrue="1">
      <formula>$B350&lt;&gt;$B296</formula>
    </cfRule>
  </conditionalFormatting>
  <conditionalFormatting sqref="G351 I351:K351 M351:P351">
    <cfRule type="expression" dxfId="126" priority="2343" stopIfTrue="1">
      <formula>$B351&lt;&gt;$B296</formula>
    </cfRule>
  </conditionalFormatting>
  <conditionalFormatting sqref="G352 I352:K352 M352:P352">
    <cfRule type="expression" dxfId="125" priority="2335" stopIfTrue="1">
      <formula>$B352&lt;&gt;$B296</formula>
    </cfRule>
  </conditionalFormatting>
  <conditionalFormatting sqref="G445:J445">
    <cfRule type="expression" dxfId="124" priority="20" stopIfTrue="1">
      <formula>$B445&lt;&gt;$B447</formula>
    </cfRule>
  </conditionalFormatting>
  <conditionalFormatting sqref="H365:H368 J365:J368 H371:H378 J371:J378 H382:H383 J382:J383">
    <cfRule type="expression" dxfId="123" priority="102" stopIfTrue="1">
      <formula>$B363&lt;&gt;$B364</formula>
    </cfRule>
  </conditionalFormatting>
  <conditionalFormatting sqref="H369 J369 H384 J384">
    <cfRule type="expression" dxfId="122" priority="2663" stopIfTrue="1">
      <formula>#REF!&lt;&gt;#REF!</formula>
    </cfRule>
  </conditionalFormatting>
  <conditionalFormatting sqref="H370 J370">
    <cfRule type="expression" dxfId="121" priority="2665" stopIfTrue="1">
      <formula>#REF!&lt;&gt;$B369</formula>
    </cfRule>
  </conditionalFormatting>
  <conditionalFormatting sqref="H379 J379 H387:H397 J387:J397">
    <cfRule type="expression" dxfId="120" priority="106" stopIfTrue="1">
      <formula>$B376&lt;&gt;$B377</formula>
    </cfRule>
  </conditionalFormatting>
  <conditionalFormatting sqref="H380 J380">
    <cfRule type="expression" dxfId="119" priority="2633" stopIfTrue="1">
      <formula>$B376&lt;&gt;$B377</formula>
    </cfRule>
  </conditionalFormatting>
  <conditionalFormatting sqref="H381 J381">
    <cfRule type="expression" dxfId="118" priority="2649" stopIfTrue="1">
      <formula>$B377&lt;&gt;$B380</formula>
    </cfRule>
  </conditionalFormatting>
  <conditionalFormatting sqref="H386 J386">
    <cfRule type="expression" dxfId="117" priority="2695" stopIfTrue="1">
      <formula>#REF!&lt;&gt;$B384</formula>
    </cfRule>
  </conditionalFormatting>
  <conditionalFormatting sqref="I213:I239 N55:N65 I69:J132 D78:D132 D137 I138:J138 I241:I244">
    <cfRule type="expression" dxfId="116" priority="121" stopIfTrue="1">
      <formula>$B56&lt;&gt;$B57</formula>
    </cfRule>
  </conditionalFormatting>
  <conditionalFormatting sqref="I240">
    <cfRule type="expression" dxfId="115" priority="2595" stopIfTrue="1">
      <formula>$B241&lt;&gt;#REF!</formula>
    </cfRule>
  </conditionalFormatting>
  <conditionalFormatting sqref="I245:I246">
    <cfRule type="expression" dxfId="114" priority="129" stopIfTrue="1">
      <formula>$B246&lt;&gt;$B250</formula>
    </cfRule>
  </conditionalFormatting>
  <conditionalFormatting sqref="I247">
    <cfRule type="expression" dxfId="113" priority="2593" stopIfTrue="1">
      <formula>$B249&lt;&gt;$B263</formula>
    </cfRule>
  </conditionalFormatting>
  <conditionalFormatting sqref="I248:I260">
    <cfRule type="expression" dxfId="112" priority="2603" stopIfTrue="1">
      <formula>$B250&lt;&gt;$B254</formula>
    </cfRule>
  </conditionalFormatting>
  <conditionalFormatting sqref="I261">
    <cfRule type="expression" dxfId="111" priority="2604" stopIfTrue="1">
      <formula>$B263&lt;&gt;$B264</formula>
    </cfRule>
  </conditionalFormatting>
  <conditionalFormatting sqref="I363:I368">
    <cfRule type="expression" dxfId="110" priority="1" stopIfTrue="1">
      <formula>$B363&lt;&gt;$B366</formula>
    </cfRule>
  </conditionalFormatting>
  <conditionalFormatting sqref="I134:J135">
    <cfRule type="expression" dxfId="109" priority="114" stopIfTrue="1">
      <formula>$B135&lt;&gt;$B140</formula>
    </cfRule>
  </conditionalFormatting>
  <conditionalFormatting sqref="I136:J136">
    <cfRule type="expression" dxfId="108" priority="127" stopIfTrue="1">
      <formula>$B137&lt;&gt;$B140</formula>
    </cfRule>
  </conditionalFormatting>
  <conditionalFormatting sqref="I437:J437">
    <cfRule type="expression" dxfId="107" priority="2582" stopIfTrue="1">
      <formula>$B435&lt;&gt;$B437</formula>
    </cfRule>
  </conditionalFormatting>
  <conditionalFormatting sqref="J398:J399">
    <cfRule type="expression" dxfId="106" priority="13" stopIfTrue="1">
      <formula>$B398&lt;&gt;$B399</formula>
    </cfRule>
  </conditionalFormatting>
  <conditionalFormatting sqref="J421">
    <cfRule type="expression" dxfId="105" priority="18" stopIfTrue="1">
      <formula>$B420&lt;&gt;$B422</formula>
    </cfRule>
  </conditionalFormatting>
  <conditionalFormatting sqref="J423 J427 J431 J442:J443">
    <cfRule type="expression" dxfId="104" priority="2599" stopIfTrue="1">
      <formula>$B422&lt;&gt;$B424</formula>
    </cfRule>
  </conditionalFormatting>
  <conditionalFormatting sqref="J424">
    <cfRule type="expression" dxfId="103" priority="2601" stopIfTrue="1">
      <formula>$B423&lt;&gt;$B424</formula>
    </cfRule>
  </conditionalFormatting>
  <conditionalFormatting sqref="J425">
    <cfRule type="expression" dxfId="102" priority="17" stopIfTrue="1">
      <formula>$B424&lt;&gt;$B426</formula>
    </cfRule>
  </conditionalFormatting>
  <conditionalFormatting sqref="J439 J447">
    <cfRule type="expression" dxfId="101" priority="2597" stopIfTrue="1">
      <formula>$B438&lt;&gt;$B441</formula>
    </cfRule>
  </conditionalFormatting>
  <conditionalFormatting sqref="K70:N245">
    <cfRule type="expression" dxfId="100" priority="5" stopIfTrue="1">
      <formula>$B71&lt;&gt;$B72</formula>
    </cfRule>
  </conditionalFormatting>
  <conditionalFormatting sqref="L2:P15 I2:J68 A2:C133 E2:F133 M16:P18 L19:P54 L55:M66 O55:P67 M67 M68:P68 K69:P69 O70:P133 B134:C138 A135 A137 A139 O139:P240 A140:F140 I140:J213 A141:G240 J214:J240 H214:H263 F241 D241:D250 G242:G245 J242:J245 O242:P245 B242:C250 K250:K251 O250:P251 B251:D278 K254 K256 K258 K260 J263:P263 G264:P278 C281:D281 G281:P284 B282:D286 G285:K311 M285:P313 L285:L352 B287:C313 D287:D352 G312:G313 I312:K313 H312:H352 B315:C315 B317:C317 C318:C319 B319 B321:C321 B323:C323 C324:C325 B325 B327:C327 B329 C329:C331 B331 B333:C333 B335:C335 C336:C337 B337 B339:C339 B341:C341 C342 B344 C344:C346 B346 B348:C348 B350 C350:C352 B352 B353:J362 A353:A367 K353:P367 B363:G367 A369:G376 I369:I376 K369:P376 B378 D378 D380 A380:C382 E380:G382 I380:I382 K380:P382 D382 D384 I384 E384:G400 A384:C418 K384:P418 D386 I386:I400 D388 D390:D391 D393 D395 D397 H398:H399 D399:D400 E401:J418 D402 D404 D406 D408 D410 D412 D414 D416 D418 A423:A424 C423:I424 K423:P424 A427:A428 C427:H428 K427:P428 A431:A434 C431:H434 K431:P434 A443:A444 C443:H444 K443:P444 A448:A450 C448:H450 K448:P450">
    <cfRule type="expression" dxfId="99" priority="36" stopIfTrue="1">
      <formula>$B2&lt;&gt;$B3</formula>
    </cfRule>
  </conditionalFormatting>
  <conditionalFormatting sqref="N66">
    <cfRule type="expression" dxfId="98" priority="12" stopIfTrue="1">
      <formula>$B66&lt;&gt;$B67</formula>
    </cfRule>
  </conditionalFormatting>
  <conditionalFormatting sqref="O135:P136 O260:P260">
    <cfRule type="expression" dxfId="97" priority="143" stopIfTrue="1">
      <formula>$B135&lt;&gt;$B140</formula>
    </cfRule>
  </conditionalFormatting>
  <conditionalFormatting sqref="O137:P137 A377:G377 I377:I378 K377:P378 A378 E378:G378 C378:C379 B379 D379 A420 C420:I420 K420:P420 A436 C436:P436 A438 C438:D438 F438:I438 K438:P438 A440 C440:D440 F440:H440 K440:P440 C445:F445 A445:A446 K445:P446 C446:I446">
    <cfRule type="expression" dxfId="96" priority="112" stopIfTrue="1">
      <formula>$B137&lt;&gt;$B140</formula>
    </cfRule>
  </conditionalFormatting>
  <conditionalFormatting sqref="O252:P254">
    <cfRule type="expression" dxfId="95" priority="262" stopIfTrue="1">
      <formula>$B252&lt;&gt;$B263</formula>
    </cfRule>
  </conditionalFormatting>
  <conditionalFormatting sqref="O255:P256">
    <cfRule type="expression" dxfId="94" priority="1548" stopIfTrue="1">
      <formula>$B255&lt;&gt;$B264</formula>
    </cfRule>
  </conditionalFormatting>
  <conditionalFormatting sqref="O257:P258">
    <cfRule type="expression" dxfId="93" priority="1547" stopIfTrue="1">
      <formula>$B257&lt;&gt;$B264</formula>
    </cfRule>
  </conditionalFormatting>
  <conditionalFormatting sqref="O259:P259">
    <cfRule type="expression" dxfId="92" priority="116" stopIfTrue="1">
      <formula>$B259&lt;&gt;$B265</formula>
    </cfRule>
  </conditionalFormatting>
  <pageMargins left="0.7" right="0.7" top="0.75" bottom="0.75" header="0.3" footer="0.3"/>
  <pageSetup orientation="portrait"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7A6A431D41C545B989AD1911A9C9B9" ma:contentTypeVersion="4" ma:contentTypeDescription="Create a new document." ma:contentTypeScope="" ma:versionID="6f16756f3ff25187f47114e6e1070b06">
  <xsd:schema xmlns:xsd="http://www.w3.org/2001/XMLSchema" xmlns:xs="http://www.w3.org/2001/XMLSchema" xmlns:p="http://schemas.microsoft.com/office/2006/metadata/properties" xmlns:ns3="9d6a1510-f1c9-4ab0-a292-402b0f968c06" targetNamespace="http://schemas.microsoft.com/office/2006/metadata/properties" ma:root="true" ma:fieldsID="75a208bab64c4e367a5dbdd3aac38403" ns3:_="">
    <xsd:import namespace="9d6a1510-f1c9-4ab0-a292-402b0f968c0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a1510-f1c9-4ab0-a292-402b0f968c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73FA2B-D3A0-4049-8F9A-8E939F0B1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6a1510-f1c9-4ab0-a292-402b0f968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D034FA-0054-4D2E-9E6B-859936FD3D24}">
  <ds:schemaRef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9d6a1510-f1c9-4ab0-a292-402b0f968c06"/>
  </ds:schemaRefs>
</ds:datastoreItem>
</file>

<file path=customXml/itemProps3.xml><?xml version="1.0" encoding="utf-8"?>
<ds:datastoreItem xmlns:ds="http://schemas.openxmlformats.org/officeDocument/2006/customXml" ds:itemID="{59A1E9B2-1D39-4D11-9D67-477BE640F7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160</vt:i4>
      </vt:variant>
    </vt:vector>
  </HeadingPairs>
  <TitlesOfParts>
    <vt:vector size="174" baseType="lpstr">
      <vt:lpstr>Uputstvo</vt:lpstr>
      <vt:lpstr>Osnovni_podaci</vt:lpstr>
      <vt:lpstr>01</vt:lpstr>
      <vt:lpstr>02a</vt:lpstr>
      <vt:lpstr>02b</vt:lpstr>
      <vt:lpstr>03</vt:lpstr>
      <vt:lpstr>04</vt:lpstr>
      <vt:lpstr>Prevod</vt:lpstr>
      <vt:lpstr>Aop</vt:lpstr>
      <vt:lpstr>05</vt:lpstr>
      <vt:lpstr>Podesavanja</vt:lpstr>
      <vt:lpstr>Baza</vt:lpstr>
      <vt:lpstr>BazaBPK</vt:lpstr>
      <vt:lpstr>APIF_Import</vt:lpstr>
      <vt:lpstr>'01'!_FilterDatabase</vt:lpstr>
      <vt:lpstr>'02a'!_FilterDatabase</vt:lpstr>
      <vt:lpstr>Datum_Broj</vt:lpstr>
      <vt:lpstr>Datum_Format</vt:lpstr>
      <vt:lpstr>Datumi_Datum_Aneks</vt:lpstr>
      <vt:lpstr>Datumi_Datum_BPK</vt:lpstr>
      <vt:lpstr>Datumi_Datum_BS</vt:lpstr>
      <vt:lpstr>Datumi_Datum_BTG</vt:lpstr>
      <vt:lpstr>Datumi_Datum_BU</vt:lpstr>
      <vt:lpstr>Datumi_Datum_ODGP</vt:lpstr>
      <vt:lpstr>Godina</vt:lpstr>
      <vt:lpstr>ID_Izvjestaj</vt:lpstr>
      <vt:lpstr>ID_Jezik</vt:lpstr>
      <vt:lpstr>Id_Konsolidovani</vt:lpstr>
      <vt:lpstr>Konsolidovan_izvjestaj</vt:lpstr>
      <vt:lpstr>Konsolidovani_Konsolidavani_Izvjestaj</vt:lpstr>
      <vt:lpstr>Konsolidovani_Konsolidovani</vt:lpstr>
      <vt:lpstr>Kontakt_Adresa</vt:lpstr>
      <vt:lpstr>Kontakt_email</vt:lpstr>
      <vt:lpstr>Kontakt_fax</vt:lpstr>
      <vt:lpstr>Kontakt_tel</vt:lpstr>
      <vt:lpstr>Kontakt_web</vt:lpstr>
      <vt:lpstr>Kontrola_Neispravno</vt:lpstr>
      <vt:lpstr>Kontrola_Obavezno</vt:lpstr>
      <vt:lpstr>Linkovi_Link_Aneks</vt:lpstr>
      <vt:lpstr>Linkovi_Link_BPK</vt:lpstr>
      <vt:lpstr>Linkovi_Link_BS</vt:lpstr>
      <vt:lpstr>Linkovi_Link_BTG</vt:lpstr>
      <vt:lpstr>Linkovi_Link_BU</vt:lpstr>
      <vt:lpstr>Linkovi_Link_ODGP</vt:lpstr>
      <vt:lpstr>Linkovi_Link_Osnovni_podaci</vt:lpstr>
      <vt:lpstr>Linkovi_Link_Uputstvo</vt:lpstr>
      <vt:lpstr>Lookup_Aneks</vt:lpstr>
      <vt:lpstr>Lookup_BPK</vt:lpstr>
      <vt:lpstr>Lookup_BSa</vt:lpstr>
      <vt:lpstr>Lookup_BSp</vt:lpstr>
      <vt:lpstr>Lookup_BTG</vt:lpstr>
      <vt:lpstr>Lookup_BUa</vt:lpstr>
      <vt:lpstr>Lookup_BUb</vt:lpstr>
      <vt:lpstr>Napomena</vt:lpstr>
      <vt:lpstr>Nazivi_bilansa_Aneks</vt:lpstr>
      <vt:lpstr>Nazivi_bilansa_Aneks1</vt:lpstr>
      <vt:lpstr>Nazivi_bilansa_BPK</vt:lpstr>
      <vt:lpstr>Nazivi_bilansa_BS</vt:lpstr>
      <vt:lpstr>Nazivi_bilansa_BS1</vt:lpstr>
      <vt:lpstr>Nazivi_bilansa_BTG</vt:lpstr>
      <vt:lpstr>Nazivi_bilansa_BTG1</vt:lpstr>
      <vt:lpstr>Nazivi_bilansa_BUa</vt:lpstr>
      <vt:lpstr>Nazivi_bilansa_BUa1</vt:lpstr>
      <vt:lpstr>Nazivi_bilansa_BUb</vt:lpstr>
      <vt:lpstr>Nazivi_bilansa_BUb1</vt:lpstr>
      <vt:lpstr>Nazivi_bilansa_Konsolidovani_naziv</vt:lpstr>
      <vt:lpstr>Objasnjenja_Banka</vt:lpstr>
      <vt:lpstr>Objasnjenja_Bankovni_racun</vt:lpstr>
      <vt:lpstr>Objasnjenja_Dan</vt:lpstr>
      <vt:lpstr>Objasnjenja_Glavni_racun</vt:lpstr>
      <vt:lpstr>Objasnjenja_Godina</vt:lpstr>
      <vt:lpstr>Objasnjenja_Kontakt</vt:lpstr>
      <vt:lpstr>Objasnjenja_Mjesec</vt:lpstr>
      <vt:lpstr>Objasnjenja_Navigacija</vt:lpstr>
      <vt:lpstr>Objasnjenja_Podnozje</vt:lpstr>
      <vt:lpstr>Objasnjenja_Zaglavlje</vt:lpstr>
      <vt:lpstr>Osnovno_Izaberite_jezik</vt:lpstr>
      <vt:lpstr>Osnovno_Izvjestajni_period</vt:lpstr>
      <vt:lpstr>Osnovno_Kraj_perioda</vt:lpstr>
      <vt:lpstr>Osnovno_Pocetak_perioda</vt:lpstr>
      <vt:lpstr>Osnovno_Vrsta_izvjestaja</vt:lpstr>
      <vt:lpstr>Period_Kraj_Dan</vt:lpstr>
      <vt:lpstr>Period_Kraj_Godina</vt:lpstr>
      <vt:lpstr>Period_Kraj_Mjesec</vt:lpstr>
      <vt:lpstr>Period_Pocetak_Dan</vt:lpstr>
      <vt:lpstr>Period_Pocetak_Mjesec</vt:lpstr>
      <vt:lpstr>Podatak_Adresa</vt:lpstr>
      <vt:lpstr>Podatak_Broj_Licence</vt:lpstr>
      <vt:lpstr>Podatak_Dana</vt:lpstr>
      <vt:lpstr>Podatak_Direktor</vt:lpstr>
      <vt:lpstr>Podatak_email</vt:lpstr>
      <vt:lpstr>Podatak_fax</vt:lpstr>
      <vt:lpstr>Podatak_JIB</vt:lpstr>
      <vt:lpstr>Podatak_Lice_sa_licencom</vt:lpstr>
      <vt:lpstr>Podatak_MB</vt:lpstr>
      <vt:lpstr>Podatak_Naziv_preduzeca</vt:lpstr>
      <vt:lpstr>Podatak_Sifra_djelatnosti</vt:lpstr>
      <vt:lpstr>Podatak_Sjediste</vt:lpstr>
      <vt:lpstr>Podatak_tel</vt:lpstr>
      <vt:lpstr>Podatak_U</vt:lpstr>
      <vt:lpstr>Podatak_web</vt:lpstr>
      <vt:lpstr>Podatak_Ziro_racun_1</vt:lpstr>
      <vt:lpstr>Podatak_Ziro_racun_2</vt:lpstr>
      <vt:lpstr>Podatak_Ziro_racun_3</vt:lpstr>
      <vt:lpstr>Podatak_Ziro_racun_4</vt:lpstr>
      <vt:lpstr>Podatak_Ziro_racun_5</vt:lpstr>
      <vt:lpstr>Podatak_Ziro_racun_6</vt:lpstr>
      <vt:lpstr>Podnozje_Broj_licence</vt:lpstr>
      <vt:lpstr>Podnozje_Dana</vt:lpstr>
      <vt:lpstr>Podnozje_Direktor</vt:lpstr>
      <vt:lpstr>Podnozje_Lice_sa_licencom</vt:lpstr>
      <vt:lpstr>Podnozje_MP</vt:lpstr>
      <vt:lpstr>Podnozje_U</vt:lpstr>
      <vt:lpstr>'01'!Print_Area</vt:lpstr>
      <vt:lpstr>'02a'!Print_Area</vt:lpstr>
      <vt:lpstr>'02b'!Print_Area</vt:lpstr>
      <vt:lpstr>'03'!Print_Area</vt:lpstr>
      <vt:lpstr>'04'!Print_Area</vt:lpstr>
      <vt:lpstr>'05'!Print_Area</vt:lpstr>
      <vt:lpstr>APIF_Import!Print_Area</vt:lpstr>
      <vt:lpstr>Osnovni_podaci!Print_Area</vt:lpstr>
      <vt:lpstr>Uputstvo!Print_Area</vt:lpstr>
      <vt:lpstr>'02a'!Print_Titles</vt:lpstr>
      <vt:lpstr>'03'!Print_Titles</vt:lpstr>
      <vt:lpstr>'04'!Print_Titles</vt:lpstr>
      <vt:lpstr>Revidiran_izvjestaj</vt:lpstr>
      <vt:lpstr>Revizija_Misljenje</vt:lpstr>
      <vt:lpstr>Revizija_Naziv_revizorske_firme</vt:lpstr>
      <vt:lpstr>Revizija_Negativno</vt:lpstr>
      <vt:lpstr>Revizija_Podaci_o_revizorskoj_firmi</vt:lpstr>
      <vt:lpstr>Revizija_Pozitivno</vt:lpstr>
      <vt:lpstr>Revizija_Revidiran_izvjestaj</vt:lpstr>
      <vt:lpstr>Revizija_Sa_rezervom</vt:lpstr>
      <vt:lpstr>Revizija_Uzdrzavanje</vt:lpstr>
      <vt:lpstr>Tabela_Zaglavlje_Napomena_aop</vt:lpstr>
      <vt:lpstr>Tabele_Tekuca_godina</vt:lpstr>
      <vt:lpstr>Tabele_zaglavlje_BPK0</vt:lpstr>
      <vt:lpstr>Tabele_zaglavlje_BPK1</vt:lpstr>
      <vt:lpstr>Tabele_zaglavlje_BPK10</vt:lpstr>
      <vt:lpstr>Tabele_zaglavlje_BPK11</vt:lpstr>
      <vt:lpstr>Tabele_zaglavlje_BPK12</vt:lpstr>
      <vt:lpstr>Tabele_zaglavlje_BPK3</vt:lpstr>
      <vt:lpstr>Tabele_zaglavlje_BPK4</vt:lpstr>
      <vt:lpstr>Tabele_zaglavlje_BPK5</vt:lpstr>
      <vt:lpstr>Tabele_zaglavlje_BPK6</vt:lpstr>
      <vt:lpstr>Tabele_zaglavlje_BPK7</vt:lpstr>
      <vt:lpstr>Tabele_zaglavlje_BPK8</vt:lpstr>
      <vt:lpstr>Tabele_zaglavlje_BPK9</vt:lpstr>
      <vt:lpstr>Tabele_zaglavlje_BS_bruto</vt:lpstr>
      <vt:lpstr>Tabele_zaglavlje_BS_ispravka</vt:lpstr>
      <vt:lpstr>Tabele_zaglavlje_BS_iznos_prethodna</vt:lpstr>
      <vt:lpstr>Tabele_zaglavlje_BS_iznos_tekuca</vt:lpstr>
      <vt:lpstr>Tabele_zaglavlje_BS_neto</vt:lpstr>
      <vt:lpstr>Tabele_zaglavlje_Grupa_racuna</vt:lpstr>
      <vt:lpstr>Tabele_zaglavlje_Iznos</vt:lpstr>
      <vt:lpstr>Tabele_zaglavlje_Napomena_aop</vt:lpstr>
      <vt:lpstr>Tabele_zaglavlje_Oznaka_aop</vt:lpstr>
      <vt:lpstr>Tabele_zaglavlje_Pozicija</vt:lpstr>
      <vt:lpstr>Tabele_zaglavlje_Prethodna_godina</vt:lpstr>
      <vt:lpstr>Tabele_zaglavlje_Redni_broj</vt:lpstr>
      <vt:lpstr>Tabele_zaglavlje_Tekuca_godina</vt:lpstr>
      <vt:lpstr>Tabele_zaglavlje_Valuta</vt:lpstr>
      <vt:lpstr>Vrsta_izvjestaja</vt:lpstr>
      <vt:lpstr>Vrsta_izvjestaja_Godisnji</vt:lpstr>
      <vt:lpstr>Vrsta_izvjestaja_Polugodisnji</vt:lpstr>
      <vt:lpstr>Vrsta_izvjestaja_Prvi_kvartal</vt:lpstr>
      <vt:lpstr>Vrsta_izvjestaja_Specificni</vt:lpstr>
      <vt:lpstr>Vrsta_izvjestaja_Treci_kvartal</vt:lpstr>
      <vt:lpstr>Zaglavlje_JIB</vt:lpstr>
      <vt:lpstr>Zaglavlje_MB</vt:lpstr>
      <vt:lpstr>Zaglavlje_Naziv_preduzeca</vt:lpstr>
      <vt:lpstr>Zaglavlje_Sifra_djelatnosti</vt:lpstr>
      <vt:lpstr>Zaglavlje_Sjediste</vt:lpstr>
      <vt:lpstr>Zaglavlje_Ziro_racun</vt:lpstr>
    </vt:vector>
  </TitlesOfParts>
  <Company>BLBERZA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Jelenko</dc:creator>
  <cp:keywords>V2.86</cp:keywords>
  <dc:description>SG RS 62/16_x000d_
SG RS 63/16</dc:description>
  <cp:lastModifiedBy>mladen.saric</cp:lastModifiedBy>
  <cp:lastPrinted>2026-07-30T12:03:16Z</cp:lastPrinted>
  <dcterms:created xsi:type="dcterms:W3CDTF">2007-02-19T09:55:19Z</dcterms:created>
  <dcterms:modified xsi:type="dcterms:W3CDTF">2026-08-03T12:48:01Z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0x0101002C7A6A431D41C545B989AD1911A9C9B9</vt:lpwstr>
  </property>
</Properties>
</file>